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<sst xmlns="http://schemas.openxmlformats.org/spreadsheetml/2006/main" count="589" uniqueCount="86">
  <si>
    <t>Fine Structure Energy Levels for Ar XI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</si>
  <si>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</si>
  <si>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</si>
  <si>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</si>
  <si>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</si>
  <si>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</si>
  <si>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</si>
  <si>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</si>
  <si>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</si>
  <si>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</si>
  <si>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</si>
  <si>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</si>
  <si>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2s2.2p4</t>
  </si>
  <si>
    <t>3P</t>
  </si>
  <si>
    <t>1D</t>
  </si>
  <si>
    <t>1S</t>
  </si>
  <si>
    <t>2s.2p5</t>
  </si>
  <si>
    <t>1P</t>
  </si>
  <si>
    <t>2p6</t>
  </si>
  <si>
    <t>2s2.2p3(4S).3s</t>
  </si>
  <si>
    <t>5S</t>
  </si>
  <si>
    <t>3S</t>
  </si>
  <si>
    <t>2s2.2p3(2D).3s</t>
  </si>
  <si>
    <t>3D</t>
  </si>
  <si>
    <t>2s2.2p3(4S).3p</t>
  </si>
  <si>
    <t>5P</t>
  </si>
  <si>
    <t>2s2.2p3(2P).3s</t>
  </si>
  <si>
    <t>2s2.2p3(2D).3p</t>
  </si>
  <si>
    <t>3F</t>
  </si>
  <si>
    <t>1F</t>
  </si>
  <si>
    <t>2s2.2p3(4S).3d</t>
  </si>
  <si>
    <t>5D</t>
  </si>
  <si>
    <t>2s2.2p3(2P).3p</t>
  </si>
  <si>
    <t>2s2.2p3(2D).3d</t>
  </si>
  <si>
    <t>3G</t>
  </si>
  <si>
    <t>1G</t>
  </si>
  <si>
    <t>2s2.2p3(2P).3d</t>
  </si>
  <si>
    <t>A-values for fine-structure transitions in Ar XI</t>
  </si>
  <si>
    <t>k</t>
  </si>
  <si>
    <t>WL Vac (A)</t>
  </si>
  <si>
    <t>A (s-1)</t>
  </si>
  <si>
    <t>A2E1(s-1)</t>
  </si>
  <si>
    <t>Effective Collision Strengths for Ar XI</t>
  </si>
  <si>
    <t>np</t>
  </si>
  <si>
    <t>Log_T(K)</t>
  </si>
  <si>
    <t>EColSt</t>
  </si>
  <si>
    <t>1   1</t>
  </si>
  <si>
    <t>1   2</t>
  </si>
  <si>
    <t>1   3</t>
  </si>
  <si>
    <t>1   4</t>
  </si>
  <si>
    <t>1   5</t>
  </si>
  <si>
    <t>1   6</t>
  </si>
  <si>
    <t>1   7</t>
  </si>
  <si>
    <t>1   8</t>
  </si>
  <si>
    <t>2   1</t>
  </si>
  <si>
    <t>2   2</t>
  </si>
  <si>
    <t>2   3</t>
  </si>
  <si>
    <t>2   4</t>
  </si>
  <si>
    <t>2   5</t>
  </si>
  <si>
    <t>2   6</t>
  </si>
  <si>
    <t>2   7</t>
  </si>
  <si>
    <t>2   8</t>
  </si>
  <si>
    <t>3   1</t>
  </si>
  <si>
    <t>3   2</t>
  </si>
  <si>
    <t>3   3</t>
  </si>
  <si>
    <t>3   4</t>
  </si>
  <si>
    <t>3   5</t>
  </si>
  <si>
    <t>3   6</t>
  </si>
  <si>
    <t>3   7</t>
  </si>
  <si>
    <t>3   8</t>
  </si>
  <si>
    <t>4   1</t>
  </si>
  <si>
    <t>4   2</t>
  </si>
  <si>
    <t>4   3</t>
  </si>
  <si>
    <t>4   4</t>
  </si>
  <si>
    <t>4   5</t>
  </si>
  <si>
    <t>4   6</t>
  </si>
  <si>
    <t>4   7</t>
  </si>
  <si>
    <t>4   8</t>
  </si>
  <si>
    <t>5   1</t>
  </si>
  <si>
    <t>5   2</t>
  </si>
  <si>
    <t>5   3</t>
  </si>
  <si>
    <t>5   4</t>
  </si>
  <si>
    <t>5   5</t>
  </si>
  <si>
    <t>5   6</t>
  </si>
  <si>
    <t>5   7</t>
  </si>
  <si>
    <t>5   8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</si>
</sst>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HYPERLINK("http://141.218.60.56/~jnz1568/getInfo.php?workbook=18_08.xlsx&amp;sheet=E0&amp;row=4&amp;col=10&amp;number=0&amp;sourceID=14","0")</f>
        <v>0</v>
      </c>
    </row>
    <row r="5" spans="1:10">
      <c r="A5" s="3">
        <v>18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HYPERLINK("http://141.218.60.56/~jnz1568/getInfo.php?workbook=18_08.xlsx&amp;sheet=E0&amp;row=5&amp;col=10&amp;number=14455&amp;sourceID=14","14455")</f>
        <v>14455</v>
      </c>
    </row>
    <row r="6" spans="1:10">
      <c r="A6" s="3">
        <v>18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HYPERLINK("http://141.218.60.56/~jnz1568/getInfo.php?workbook=18_08.xlsx&amp;sheet=E0&amp;row=6&amp;col=10&amp;number=18307&amp;sourceID=14","18307")</f>
        <v>18307</v>
      </c>
    </row>
    <row r="7" spans="1:10">
      <c r="A7" s="3">
        <v>18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HYPERLINK("http://141.218.60.56/~jnz1568/getInfo.php?workbook=18_08.xlsx&amp;sheet=E0&amp;row=7&amp;col=10&amp;number=71834&amp;sourceID=14","71834")</f>
        <v>71834</v>
      </c>
    </row>
    <row r="8" spans="1:10">
      <c r="A8" s="3">
        <v>18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HYPERLINK("http://141.218.60.56/~jnz1568/getInfo.php?workbook=18_08.xlsx&amp;sheet=E0&amp;row=8&amp;col=10&amp;number=148513&amp;sourceID=14","148513")</f>
        <v>148513</v>
      </c>
    </row>
    <row r="9" spans="1:10">
      <c r="A9" s="3">
        <v>18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HYPERLINK("http://141.218.60.56/~jnz1568/getInfo.php?workbook=18_08.xlsx&amp;sheet=E0&amp;row=9&amp;col=10&amp;number=529643&amp;sourceID=14","529643")</f>
        <v>529643</v>
      </c>
    </row>
    <row r="10" spans="1:10">
      <c r="A10" s="3">
        <v>18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HYPERLINK("http://141.218.60.56/~jnz1568/getInfo.php?workbook=18_08.xlsx&amp;sheet=E0&amp;row=10&amp;col=10&amp;number=541936&amp;sourceID=14","541936")</f>
        <v>541936</v>
      </c>
    </row>
    <row r="11" spans="1:10">
      <c r="A11" s="3">
        <v>18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HYPERLINK("http://141.218.60.56/~jnz1568/getInfo.php?workbook=18_08.xlsx&amp;sheet=E0&amp;row=11&amp;col=10&amp;number=548958&amp;sourceID=14","548958")</f>
        <v>548958</v>
      </c>
    </row>
    <row r="12" spans="1:10">
      <c r="A12" s="3">
        <v>18</v>
      </c>
      <c r="B12" s="3">
        <v>8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HYPERLINK("http://141.218.60.56/~jnz1568/getInfo.php?workbook=18_08.xlsx&amp;sheet=E0&amp;row=12&amp;col=10&amp;number=730362&amp;sourceID=14","730362")</f>
        <v>730362</v>
      </c>
    </row>
    <row r="13" spans="1:10">
      <c r="A13" s="3">
        <v>18</v>
      </c>
      <c r="B13" s="3">
        <v>8</v>
      </c>
      <c r="C13" s="3">
        <v>10</v>
      </c>
      <c r="D13" s="3" t="s">
        <v>18</v>
      </c>
      <c r="E13" s="3" t="s">
        <v>15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HYPERLINK("http://141.218.60.56/~jnz1568/getInfo.php?workbook=18_08.xlsx&amp;sheet=E0&amp;row=13&amp;col=10&amp;number=1235523&amp;sourceID=14","1235523")</f>
        <v>1235523</v>
      </c>
    </row>
    <row r="14" spans="1:10">
      <c r="A14" s="3">
        <v>18</v>
      </c>
      <c r="B14" s="3">
        <v>8</v>
      </c>
      <c r="C14" s="3">
        <v>11</v>
      </c>
      <c r="D14" s="3" t="s">
        <v>19</v>
      </c>
      <c r="E14" s="3" t="s">
        <v>20</v>
      </c>
      <c r="F14" s="3">
        <v>5</v>
      </c>
      <c r="G14" s="3">
        <v>0</v>
      </c>
      <c r="H14" s="3">
        <v>0</v>
      </c>
      <c r="I14" s="3">
        <v>2</v>
      </c>
      <c r="J14" s="4" t="str">
        <f>HYPERLINK("http://141.218.60.56/~jnz1568/getInfo.php?workbook=18_08.xlsx&amp;sheet=E0&amp;row=14&amp;col=10&amp;number=2483300&amp;sourceID=14","2483300")</f>
        <v>2483300</v>
      </c>
    </row>
    <row r="15" spans="1:10">
      <c r="A15" s="3">
        <v>18</v>
      </c>
      <c r="B15" s="3">
        <v>8</v>
      </c>
      <c r="C15" s="3">
        <v>12</v>
      </c>
      <c r="D15" s="3" t="s">
        <v>19</v>
      </c>
      <c r="E15" s="3" t="s">
        <v>21</v>
      </c>
      <c r="F15" s="3">
        <v>3</v>
      </c>
      <c r="G15" s="3">
        <v>0</v>
      </c>
      <c r="H15" s="3">
        <v>0</v>
      </c>
      <c r="I15" s="3">
        <v>1</v>
      </c>
      <c r="J15" s="4" t="str">
        <f>HYPERLINK("http://141.218.60.56/~jnz1568/getInfo.php?workbook=18_08.xlsx&amp;sheet=E0&amp;row=15&amp;col=10&amp;number=2521015&amp;sourceID=14","2521015")</f>
        <v>2521015</v>
      </c>
    </row>
    <row r="16" spans="1:10">
      <c r="A16" s="3">
        <v>18</v>
      </c>
      <c r="B16" s="3">
        <v>8</v>
      </c>
      <c r="C16" s="3">
        <v>13</v>
      </c>
      <c r="D16" s="3" t="s">
        <v>22</v>
      </c>
      <c r="E16" s="3" t="s">
        <v>23</v>
      </c>
      <c r="F16" s="3">
        <v>3</v>
      </c>
      <c r="G16" s="3">
        <v>2</v>
      </c>
      <c r="H16" s="3">
        <v>0</v>
      </c>
      <c r="I16" s="3">
        <v>1</v>
      </c>
      <c r="J16" s="4" t="str">
        <f>HYPERLINK("http://141.218.60.56/~jnz1568/getInfo.php?workbook=18_08.xlsx&amp;sheet=E0&amp;row=16&amp;col=10&amp;number=2587133&amp;sourceID=14","2587133")</f>
        <v>2587133</v>
      </c>
    </row>
    <row r="17" spans="1:10">
      <c r="A17" s="3">
        <v>18</v>
      </c>
      <c r="B17" s="3">
        <v>8</v>
      </c>
      <c r="C17" s="3">
        <v>14</v>
      </c>
      <c r="D17" s="3" t="s">
        <v>22</v>
      </c>
      <c r="E17" s="3" t="s">
        <v>23</v>
      </c>
      <c r="F17" s="3">
        <v>3</v>
      </c>
      <c r="G17" s="3">
        <v>2</v>
      </c>
      <c r="H17" s="3">
        <v>0</v>
      </c>
      <c r="I17" s="3">
        <v>2</v>
      </c>
      <c r="J17" s="4" t="str">
        <f>HYPERLINK("http://141.218.60.56/~jnz1568/getInfo.php?workbook=18_08.xlsx&amp;sheet=E0&amp;row=17&amp;col=10&amp;number=2588400&amp;sourceID=14","2588400")</f>
        <v>2588400</v>
      </c>
    </row>
    <row r="18" spans="1:10">
      <c r="A18" s="3">
        <v>18</v>
      </c>
      <c r="B18" s="3">
        <v>8</v>
      </c>
      <c r="C18" s="3">
        <v>15</v>
      </c>
      <c r="D18" s="3" t="s">
        <v>22</v>
      </c>
      <c r="E18" s="3" t="s">
        <v>23</v>
      </c>
      <c r="F18" s="3">
        <v>3</v>
      </c>
      <c r="G18" s="3">
        <v>2</v>
      </c>
      <c r="H18" s="3">
        <v>0</v>
      </c>
      <c r="I18" s="3">
        <v>3</v>
      </c>
      <c r="J18" s="4" t="str">
        <f>HYPERLINK("http://141.218.60.56/~jnz1568/getInfo.php?workbook=18_08.xlsx&amp;sheet=E0&amp;row=18&amp;col=10&amp;number=2589667&amp;sourceID=14","2589667")</f>
        <v>2589667</v>
      </c>
    </row>
    <row r="19" spans="1:10">
      <c r="A19" s="3">
        <v>18</v>
      </c>
      <c r="B19" s="3">
        <v>8</v>
      </c>
      <c r="C19" s="3">
        <v>16</v>
      </c>
      <c r="D19" s="3" t="s">
        <v>22</v>
      </c>
      <c r="E19" s="3" t="s">
        <v>14</v>
      </c>
      <c r="F19" s="3">
        <v>1</v>
      </c>
      <c r="G19" s="3">
        <v>2</v>
      </c>
      <c r="H19" s="3">
        <v>0</v>
      </c>
      <c r="I19" s="3">
        <v>2</v>
      </c>
      <c r="J19" s="4" t="str">
        <f>HYPERLINK("http://141.218.60.56/~jnz1568/getInfo.php?workbook=18_08.xlsx&amp;sheet=E0&amp;row=19&amp;col=10&amp;number=2604121&amp;sourceID=14","2604121")</f>
        <v>2604121</v>
      </c>
    </row>
    <row r="20" spans="1:10">
      <c r="A20" s="3">
        <v>18</v>
      </c>
      <c r="B20" s="3">
        <v>8</v>
      </c>
      <c r="C20" s="3">
        <v>17</v>
      </c>
      <c r="D20" s="3" t="s">
        <v>24</v>
      </c>
      <c r="E20" s="3" t="s">
        <v>25</v>
      </c>
      <c r="F20" s="3">
        <v>5</v>
      </c>
      <c r="G20" s="3">
        <v>1</v>
      </c>
      <c r="H20" s="3">
        <v>1</v>
      </c>
      <c r="I20" s="3">
        <v>1</v>
      </c>
      <c r="J20" s="4" t="str">
        <f>HYPERLINK("http://141.218.60.56/~jnz1568/getInfo.php?workbook=18_08.xlsx&amp;sheet=E0&amp;row=20&amp;col=10&amp;number=2619092&amp;sourceID=14","2619092")</f>
        <v>2619092</v>
      </c>
    </row>
    <row r="21" spans="1:10">
      <c r="A21" s="3">
        <v>18</v>
      </c>
      <c r="B21" s="3">
        <v>8</v>
      </c>
      <c r="C21" s="3">
        <v>18</v>
      </c>
      <c r="D21" s="3" t="s">
        <v>24</v>
      </c>
      <c r="E21" s="3" t="s">
        <v>25</v>
      </c>
      <c r="F21" s="3">
        <v>5</v>
      </c>
      <c r="G21" s="3">
        <v>1</v>
      </c>
      <c r="H21" s="3">
        <v>1</v>
      </c>
      <c r="I21" s="3">
        <v>2</v>
      </c>
      <c r="J21" s="4" t="str">
        <f>HYPERLINK("http://141.218.60.56/~jnz1568/getInfo.php?workbook=18_08.xlsx&amp;sheet=E0&amp;row=21&amp;col=10&amp;number=2620209&amp;sourceID=14","2620209")</f>
        <v>2620209</v>
      </c>
    </row>
    <row r="22" spans="1:10">
      <c r="A22" s="3">
        <v>18</v>
      </c>
      <c r="B22" s="3">
        <v>8</v>
      </c>
      <c r="C22" s="3">
        <v>19</v>
      </c>
      <c r="D22" s="3" t="s">
        <v>24</v>
      </c>
      <c r="E22" s="3" t="s">
        <v>25</v>
      </c>
      <c r="F22" s="3">
        <v>5</v>
      </c>
      <c r="G22" s="3">
        <v>1</v>
      </c>
      <c r="H22" s="3">
        <v>1</v>
      </c>
      <c r="I22" s="3">
        <v>3</v>
      </c>
      <c r="J22" s="4" t="str">
        <f>HYPERLINK("http://141.218.60.56/~jnz1568/getInfo.php?workbook=18_08.xlsx&amp;sheet=E0&amp;row=22&amp;col=10&amp;number=2622605&amp;sourceID=14","2622605")</f>
        <v>2622605</v>
      </c>
    </row>
    <row r="23" spans="1:10">
      <c r="A23" s="3">
        <v>18</v>
      </c>
      <c r="B23" s="3">
        <v>8</v>
      </c>
      <c r="C23" s="3">
        <v>20</v>
      </c>
      <c r="D23" s="3" t="s">
        <v>24</v>
      </c>
      <c r="E23" s="3" t="s">
        <v>13</v>
      </c>
      <c r="F23" s="3">
        <v>3</v>
      </c>
      <c r="G23" s="3">
        <v>1</v>
      </c>
      <c r="H23" s="3">
        <v>1</v>
      </c>
      <c r="I23" s="3">
        <v>1</v>
      </c>
      <c r="J23" s="4" t="str">
        <f>HYPERLINK("http://141.218.60.56/~jnz1568/getInfo.php?workbook=18_08.xlsx&amp;sheet=E0&amp;row=23&amp;col=10&amp;number=0&amp;sourceID=14","0")</f>
        <v>0</v>
      </c>
    </row>
    <row r="24" spans="1:10">
      <c r="A24" s="3">
        <v>18</v>
      </c>
      <c r="B24" s="3">
        <v>8</v>
      </c>
      <c r="C24" s="3">
        <v>21</v>
      </c>
      <c r="D24" s="3" t="s">
        <v>24</v>
      </c>
      <c r="E24" s="3" t="s">
        <v>13</v>
      </c>
      <c r="F24" s="3">
        <v>3</v>
      </c>
      <c r="G24" s="3">
        <v>1</v>
      </c>
      <c r="H24" s="3">
        <v>1</v>
      </c>
      <c r="I24" s="3">
        <v>2</v>
      </c>
      <c r="J24" s="4" t="str">
        <f>HYPERLINK("http://141.218.60.56/~jnz1568/getInfo.php?workbook=18_08.xlsx&amp;sheet=E0&amp;row=24&amp;col=10&amp;number=0&amp;sourceID=14","0")</f>
        <v>0</v>
      </c>
    </row>
    <row r="25" spans="1:10">
      <c r="A25" s="3">
        <v>18</v>
      </c>
      <c r="B25" s="3">
        <v>8</v>
      </c>
      <c r="C25" s="3">
        <v>22</v>
      </c>
      <c r="D25" s="3" t="s">
        <v>24</v>
      </c>
      <c r="E25" s="3" t="s">
        <v>13</v>
      </c>
      <c r="F25" s="3">
        <v>3</v>
      </c>
      <c r="G25" s="3">
        <v>1</v>
      </c>
      <c r="H25" s="3">
        <v>1</v>
      </c>
      <c r="I25" s="3">
        <v>0</v>
      </c>
      <c r="J25" s="4" t="str">
        <f>HYPERLINK("http://141.218.60.56/~jnz1568/getInfo.php?workbook=18_08.xlsx&amp;sheet=E0&amp;row=25&amp;col=10&amp;number=0&amp;sourceID=14","0")</f>
        <v>0</v>
      </c>
    </row>
    <row r="26" spans="1:10">
      <c r="A26" s="3">
        <v>18</v>
      </c>
      <c r="B26" s="3">
        <v>8</v>
      </c>
      <c r="C26" s="3">
        <v>23</v>
      </c>
      <c r="D26" s="3" t="s">
        <v>26</v>
      </c>
      <c r="E26" s="3" t="s">
        <v>13</v>
      </c>
      <c r="F26" s="3">
        <v>3</v>
      </c>
      <c r="G26" s="3">
        <v>1</v>
      </c>
      <c r="H26" s="3">
        <v>1</v>
      </c>
      <c r="I26" s="3">
        <v>0</v>
      </c>
      <c r="J26" s="4" t="str">
        <f>HYPERLINK("http://141.218.60.56/~jnz1568/getInfo.php?workbook=18_08.xlsx&amp;sheet=E0&amp;row=26&amp;col=10&amp;number=0&amp;sourceID=14","0")</f>
        <v>0</v>
      </c>
    </row>
    <row r="27" spans="1:10">
      <c r="A27" s="3">
        <v>18</v>
      </c>
      <c r="B27" s="3">
        <v>8</v>
      </c>
      <c r="C27" s="3">
        <v>24</v>
      </c>
      <c r="D27" s="3" t="s">
        <v>26</v>
      </c>
      <c r="E27" s="3" t="s">
        <v>13</v>
      </c>
      <c r="F27" s="3">
        <v>3</v>
      </c>
      <c r="G27" s="3">
        <v>1</v>
      </c>
      <c r="H27" s="3">
        <v>1</v>
      </c>
      <c r="I27" s="3">
        <v>1</v>
      </c>
      <c r="J27" s="4" t="str">
        <f>HYPERLINK("http://141.218.60.56/~jnz1568/getInfo.php?workbook=18_08.xlsx&amp;sheet=E0&amp;row=27&amp;col=10&amp;number=0&amp;sourceID=14","0")</f>
        <v>0</v>
      </c>
    </row>
    <row r="28" spans="1:10">
      <c r="A28" s="3">
        <v>18</v>
      </c>
      <c r="B28" s="3">
        <v>8</v>
      </c>
      <c r="C28" s="3">
        <v>25</v>
      </c>
      <c r="D28" s="3" t="s">
        <v>26</v>
      </c>
      <c r="E28" s="3" t="s">
        <v>13</v>
      </c>
      <c r="F28" s="3">
        <v>3</v>
      </c>
      <c r="G28" s="3">
        <v>1</v>
      </c>
      <c r="H28" s="3">
        <v>1</v>
      </c>
      <c r="I28" s="3">
        <v>2</v>
      </c>
      <c r="J28" s="4" t="str">
        <f>HYPERLINK("http://141.218.60.56/~jnz1568/getInfo.php?workbook=18_08.xlsx&amp;sheet=E0&amp;row=28&amp;col=10&amp;number=2644800&amp;sourceID=14","2644800")</f>
        <v>2644800</v>
      </c>
    </row>
    <row r="29" spans="1:10">
      <c r="A29" s="3">
        <v>18</v>
      </c>
      <c r="B29" s="3">
        <v>8</v>
      </c>
      <c r="C29" s="3">
        <v>26</v>
      </c>
      <c r="D29" s="3" t="s">
        <v>26</v>
      </c>
      <c r="E29" s="3" t="s">
        <v>17</v>
      </c>
      <c r="F29" s="3">
        <v>1</v>
      </c>
      <c r="G29" s="3">
        <v>1</v>
      </c>
      <c r="H29" s="3">
        <v>1</v>
      </c>
      <c r="I29" s="3">
        <v>1</v>
      </c>
      <c r="J29" s="4" t="str">
        <f>HYPERLINK("http://141.218.60.56/~jnz1568/getInfo.php?workbook=18_08.xlsx&amp;sheet=E0&amp;row=29&amp;col=10&amp;number=2649791&amp;sourceID=14","2649791")</f>
        <v>2649791</v>
      </c>
    </row>
    <row r="30" spans="1:10">
      <c r="A30" s="3">
        <v>18</v>
      </c>
      <c r="B30" s="3">
        <v>8</v>
      </c>
      <c r="C30" s="3">
        <v>27</v>
      </c>
      <c r="D30" s="3" t="s">
        <v>27</v>
      </c>
      <c r="E30" s="3" t="s">
        <v>23</v>
      </c>
      <c r="F30" s="3">
        <v>3</v>
      </c>
      <c r="G30" s="3">
        <v>2</v>
      </c>
      <c r="H30" s="3">
        <v>0</v>
      </c>
      <c r="I30" s="3">
        <v>1</v>
      </c>
      <c r="J30" s="4" t="str">
        <f>HYPERLINK("http://141.218.60.56/~jnz1568/getInfo.php?workbook=18_08.xlsx&amp;sheet=E0&amp;row=30&amp;col=10&amp;number=0&amp;sourceID=14","0")</f>
        <v>0</v>
      </c>
    </row>
    <row r="31" spans="1:10">
      <c r="A31" s="3">
        <v>18</v>
      </c>
      <c r="B31" s="3">
        <v>8</v>
      </c>
      <c r="C31" s="3">
        <v>28</v>
      </c>
      <c r="D31" s="3" t="s">
        <v>27</v>
      </c>
      <c r="E31" s="3" t="s">
        <v>23</v>
      </c>
      <c r="F31" s="3">
        <v>3</v>
      </c>
      <c r="G31" s="3">
        <v>2</v>
      </c>
      <c r="H31" s="3">
        <v>0</v>
      </c>
      <c r="I31" s="3">
        <v>2</v>
      </c>
      <c r="J31" s="4" t="str">
        <f>HYPERLINK("http://141.218.60.56/~jnz1568/getInfo.php?workbook=18_08.xlsx&amp;sheet=E0&amp;row=31&amp;col=10&amp;number=0&amp;sourceID=14","0")</f>
        <v>0</v>
      </c>
    </row>
    <row r="32" spans="1:10">
      <c r="A32" s="3">
        <v>18</v>
      </c>
      <c r="B32" s="3">
        <v>8</v>
      </c>
      <c r="C32" s="3">
        <v>29</v>
      </c>
      <c r="D32" s="3" t="s">
        <v>27</v>
      </c>
      <c r="E32" s="3" t="s">
        <v>23</v>
      </c>
      <c r="F32" s="3">
        <v>3</v>
      </c>
      <c r="G32" s="3">
        <v>2</v>
      </c>
      <c r="H32" s="3">
        <v>0</v>
      </c>
      <c r="I32" s="3">
        <v>3</v>
      </c>
      <c r="J32" s="4" t="str">
        <f>HYPERLINK("http://141.218.60.56/~jnz1568/getInfo.php?workbook=18_08.xlsx&amp;sheet=E0&amp;row=32&amp;col=10&amp;number=0&amp;sourceID=14","0")</f>
        <v>0</v>
      </c>
    </row>
    <row r="33" spans="1:10">
      <c r="A33" s="3">
        <v>18</v>
      </c>
      <c r="B33" s="3">
        <v>8</v>
      </c>
      <c r="C33" s="3">
        <v>30</v>
      </c>
      <c r="D33" s="3" t="s">
        <v>27</v>
      </c>
      <c r="E33" s="3" t="s">
        <v>17</v>
      </c>
      <c r="F33" s="3">
        <v>1</v>
      </c>
      <c r="G33" s="3">
        <v>1</v>
      </c>
      <c r="H33" s="3">
        <v>1</v>
      </c>
      <c r="I33" s="3">
        <v>1</v>
      </c>
      <c r="J33" s="4" t="str">
        <f>HYPERLINK("http://141.218.60.56/~jnz1568/getInfo.php?workbook=18_08.xlsx&amp;sheet=E0&amp;row=33&amp;col=10&amp;number=0&amp;sourceID=14","0")</f>
        <v>0</v>
      </c>
    </row>
    <row r="34" spans="1:10">
      <c r="A34" s="3">
        <v>18</v>
      </c>
      <c r="B34" s="3">
        <v>8</v>
      </c>
      <c r="C34" s="3">
        <v>31</v>
      </c>
      <c r="D34" s="3" t="s">
        <v>27</v>
      </c>
      <c r="E34" s="3" t="s">
        <v>28</v>
      </c>
      <c r="F34" s="3">
        <v>3</v>
      </c>
      <c r="G34" s="3">
        <v>3</v>
      </c>
      <c r="H34" s="3">
        <v>1</v>
      </c>
      <c r="I34" s="3">
        <v>2</v>
      </c>
      <c r="J34" s="4" t="str">
        <f>HYPERLINK("http://141.218.60.56/~jnz1568/getInfo.php?workbook=18_08.xlsx&amp;sheet=E0&amp;row=34&amp;col=10&amp;number=0&amp;sourceID=14","0")</f>
        <v>0</v>
      </c>
    </row>
    <row r="35" spans="1:10">
      <c r="A35" s="3">
        <v>18</v>
      </c>
      <c r="B35" s="3">
        <v>8</v>
      </c>
      <c r="C35" s="3">
        <v>32</v>
      </c>
      <c r="D35" s="3" t="s">
        <v>27</v>
      </c>
      <c r="E35" s="3" t="s">
        <v>28</v>
      </c>
      <c r="F35" s="3">
        <v>3</v>
      </c>
      <c r="G35" s="3">
        <v>3</v>
      </c>
      <c r="H35" s="3">
        <v>1</v>
      </c>
      <c r="I35" s="3">
        <v>3</v>
      </c>
      <c r="J35" s="4" t="str">
        <f>HYPERLINK("http://141.218.60.56/~jnz1568/getInfo.php?workbook=18_08.xlsx&amp;sheet=E0&amp;row=35&amp;col=10&amp;number=0&amp;sourceID=14","0")</f>
        <v>0</v>
      </c>
    </row>
    <row r="36" spans="1:10">
      <c r="A36" s="3">
        <v>18</v>
      </c>
      <c r="B36" s="3">
        <v>8</v>
      </c>
      <c r="C36" s="3">
        <v>33</v>
      </c>
      <c r="D36" s="3" t="s">
        <v>27</v>
      </c>
      <c r="E36" s="3" t="s">
        <v>28</v>
      </c>
      <c r="F36" s="3">
        <v>3</v>
      </c>
      <c r="G36" s="3">
        <v>3</v>
      </c>
      <c r="H36" s="3">
        <v>1</v>
      </c>
      <c r="I36" s="3">
        <v>4</v>
      </c>
      <c r="J36" s="4" t="str">
        <f>HYPERLINK("http://141.218.60.56/~jnz1568/getInfo.php?workbook=18_08.xlsx&amp;sheet=E0&amp;row=36&amp;col=10&amp;number=0&amp;sourceID=14","0")</f>
        <v>0</v>
      </c>
    </row>
    <row r="37" spans="1:10">
      <c r="A37" s="3">
        <v>18</v>
      </c>
      <c r="B37" s="3">
        <v>8</v>
      </c>
      <c r="C37" s="3">
        <v>34</v>
      </c>
      <c r="D37" s="3" t="s">
        <v>27</v>
      </c>
      <c r="E37" s="3" t="s">
        <v>29</v>
      </c>
      <c r="F37" s="3">
        <v>1</v>
      </c>
      <c r="G37" s="3">
        <v>3</v>
      </c>
      <c r="H37" s="3">
        <v>1</v>
      </c>
      <c r="I37" s="3">
        <v>3</v>
      </c>
      <c r="J37" s="4" t="str">
        <f>HYPERLINK("http://141.218.60.56/~jnz1568/getInfo.php?workbook=18_08.xlsx&amp;sheet=E0&amp;row=37&amp;col=10&amp;number=0&amp;sourceID=14","0")</f>
        <v>0</v>
      </c>
    </row>
    <row r="38" spans="1:10">
      <c r="A38" s="3">
        <v>18</v>
      </c>
      <c r="B38" s="3">
        <v>8</v>
      </c>
      <c r="C38" s="3">
        <v>35</v>
      </c>
      <c r="D38" s="3" t="s">
        <v>27</v>
      </c>
      <c r="E38" s="3" t="s">
        <v>13</v>
      </c>
      <c r="F38" s="3">
        <v>3</v>
      </c>
      <c r="G38" s="3">
        <v>1</v>
      </c>
      <c r="H38" s="3">
        <v>1</v>
      </c>
      <c r="I38" s="3">
        <v>0</v>
      </c>
      <c r="J38" s="4" t="str">
        <f>HYPERLINK("http://141.218.60.56/~jnz1568/getInfo.php?workbook=18_08.xlsx&amp;sheet=E0&amp;row=38&amp;col=10&amp;number=0&amp;sourceID=14","0")</f>
        <v>0</v>
      </c>
    </row>
    <row r="39" spans="1:10">
      <c r="A39" s="3">
        <v>18</v>
      </c>
      <c r="B39" s="3">
        <v>8</v>
      </c>
      <c r="C39" s="3">
        <v>36</v>
      </c>
      <c r="D39" s="3" t="s">
        <v>27</v>
      </c>
      <c r="E39" s="3" t="s">
        <v>13</v>
      </c>
      <c r="F39" s="3">
        <v>3</v>
      </c>
      <c r="G39" s="3">
        <v>1</v>
      </c>
      <c r="H39" s="3">
        <v>1</v>
      </c>
      <c r="I39" s="3">
        <v>1</v>
      </c>
      <c r="J39" s="4" t="str">
        <f>HYPERLINK("http://141.218.60.56/~jnz1568/getInfo.php?workbook=18_08.xlsx&amp;sheet=E0&amp;row=39&amp;col=10&amp;number=0&amp;sourceID=14","0")</f>
        <v>0</v>
      </c>
    </row>
    <row r="40" spans="1:10">
      <c r="A40" s="3">
        <v>18</v>
      </c>
      <c r="B40" s="3">
        <v>8</v>
      </c>
      <c r="C40" s="3">
        <v>37</v>
      </c>
      <c r="D40" s="3" t="s">
        <v>27</v>
      </c>
      <c r="E40" s="3" t="s">
        <v>13</v>
      </c>
      <c r="F40" s="3">
        <v>3</v>
      </c>
      <c r="G40" s="3">
        <v>1</v>
      </c>
      <c r="H40" s="3">
        <v>1</v>
      </c>
      <c r="I40" s="3">
        <v>2</v>
      </c>
      <c r="J40" s="4" t="str">
        <f>HYPERLINK("http://141.218.60.56/~jnz1568/getInfo.php?workbook=18_08.xlsx&amp;sheet=E0&amp;row=40&amp;col=10&amp;number=2769686&amp;sourceID=14","2769686")</f>
        <v>2769686</v>
      </c>
    </row>
    <row r="41" spans="1:10">
      <c r="A41" s="3">
        <v>18</v>
      </c>
      <c r="B41" s="3">
        <v>8</v>
      </c>
      <c r="C41" s="3">
        <v>38</v>
      </c>
      <c r="D41" s="3" t="s">
        <v>30</v>
      </c>
      <c r="E41" s="3" t="s">
        <v>31</v>
      </c>
      <c r="F41" s="3">
        <v>5</v>
      </c>
      <c r="G41" s="3">
        <v>2</v>
      </c>
      <c r="H41" s="3">
        <v>0</v>
      </c>
      <c r="I41" s="3">
        <v>0</v>
      </c>
      <c r="J41" s="4" t="str">
        <f>HYPERLINK("http://141.218.60.56/~jnz1568/getInfo.php?workbook=18_08.xlsx&amp;sheet=E0&amp;row=41&amp;col=10&amp;number=0&amp;sourceID=14","0")</f>
        <v>0</v>
      </c>
    </row>
    <row r="42" spans="1:10">
      <c r="A42" s="3">
        <v>18</v>
      </c>
      <c r="B42" s="3">
        <v>8</v>
      </c>
      <c r="C42" s="3">
        <v>39</v>
      </c>
      <c r="D42" s="3" t="s">
        <v>30</v>
      </c>
      <c r="E42" s="3" t="s">
        <v>31</v>
      </c>
      <c r="F42" s="3">
        <v>5</v>
      </c>
      <c r="G42" s="3">
        <v>2</v>
      </c>
      <c r="H42" s="3">
        <v>0</v>
      </c>
      <c r="I42" s="3">
        <v>1</v>
      </c>
      <c r="J42" s="4" t="str">
        <f>HYPERLINK("http://141.218.60.56/~jnz1568/getInfo.php?workbook=18_08.xlsx&amp;sheet=E0&amp;row=42&amp;col=10&amp;number=0&amp;sourceID=14","0")</f>
        <v>0</v>
      </c>
    </row>
    <row r="43" spans="1:10">
      <c r="A43" s="3">
        <v>18</v>
      </c>
      <c r="B43" s="3">
        <v>8</v>
      </c>
      <c r="C43" s="3">
        <v>40</v>
      </c>
      <c r="D43" s="3" t="s">
        <v>30</v>
      </c>
      <c r="E43" s="3" t="s">
        <v>31</v>
      </c>
      <c r="F43" s="3">
        <v>5</v>
      </c>
      <c r="G43" s="3">
        <v>2</v>
      </c>
      <c r="H43" s="3">
        <v>0</v>
      </c>
      <c r="I43" s="3">
        <v>2</v>
      </c>
      <c r="J43" s="4" t="str">
        <f>HYPERLINK("http://141.218.60.56/~jnz1568/getInfo.php?workbook=18_08.xlsx&amp;sheet=E0&amp;row=43&amp;col=10&amp;number=2780868&amp;sourceID=14","2780868")</f>
        <v>2780868</v>
      </c>
    </row>
    <row r="44" spans="1:10">
      <c r="A44" s="3">
        <v>18</v>
      </c>
      <c r="B44" s="3">
        <v>8</v>
      </c>
      <c r="C44" s="3">
        <v>41</v>
      </c>
      <c r="D44" s="3" t="s">
        <v>30</v>
      </c>
      <c r="E44" s="3" t="s">
        <v>31</v>
      </c>
      <c r="F44" s="3">
        <v>5</v>
      </c>
      <c r="G44" s="3">
        <v>2</v>
      </c>
      <c r="H44" s="3">
        <v>0</v>
      </c>
      <c r="I44" s="3">
        <v>3</v>
      </c>
      <c r="J44" s="4" t="str">
        <f>HYPERLINK("http://141.218.60.56/~jnz1568/getInfo.php?workbook=18_08.xlsx&amp;sheet=E0&amp;row=44&amp;col=10&amp;number=0&amp;sourceID=14","0")</f>
        <v>0</v>
      </c>
    </row>
    <row r="45" spans="1:10">
      <c r="A45" s="3">
        <v>18</v>
      </c>
      <c r="B45" s="3">
        <v>8</v>
      </c>
      <c r="C45" s="3">
        <v>42</v>
      </c>
      <c r="D45" s="3" t="s">
        <v>30</v>
      </c>
      <c r="E45" s="3" t="s">
        <v>31</v>
      </c>
      <c r="F45" s="3">
        <v>5</v>
      </c>
      <c r="G45" s="3">
        <v>2</v>
      </c>
      <c r="H45" s="3">
        <v>0</v>
      </c>
      <c r="I45" s="3">
        <v>4</v>
      </c>
      <c r="J45" s="4" t="str">
        <f>HYPERLINK("http://141.218.60.56/~jnz1568/getInfo.php?workbook=18_08.xlsx&amp;sheet=E0&amp;row=45&amp;col=10&amp;number=0&amp;sourceID=14","0")</f>
        <v>0</v>
      </c>
    </row>
    <row r="46" spans="1:10">
      <c r="A46" s="3">
        <v>18</v>
      </c>
      <c r="B46" s="3">
        <v>8</v>
      </c>
      <c r="C46" s="3">
        <v>43</v>
      </c>
      <c r="D46" s="3" t="s">
        <v>32</v>
      </c>
      <c r="E46" s="3" t="s">
        <v>23</v>
      </c>
      <c r="F46" s="3">
        <v>3</v>
      </c>
      <c r="G46" s="3">
        <v>2</v>
      </c>
      <c r="H46" s="3">
        <v>0</v>
      </c>
      <c r="I46" s="3">
        <v>2</v>
      </c>
      <c r="J46" s="4" t="str">
        <f>HYPERLINK("http://141.218.60.56/~jnz1568/getInfo.php?workbook=18_08.xlsx&amp;sheet=E0&amp;row=46&amp;col=10&amp;number=0&amp;sourceID=14","0")</f>
        <v>0</v>
      </c>
    </row>
    <row r="47" spans="1:10">
      <c r="A47" s="3">
        <v>18</v>
      </c>
      <c r="B47" s="3">
        <v>8</v>
      </c>
      <c r="C47" s="3">
        <v>44</v>
      </c>
      <c r="D47" s="3" t="s">
        <v>32</v>
      </c>
      <c r="E47" s="3" t="s">
        <v>21</v>
      </c>
      <c r="F47" s="3">
        <v>3</v>
      </c>
      <c r="G47" s="3">
        <v>0</v>
      </c>
      <c r="H47" s="3">
        <v>0</v>
      </c>
      <c r="I47" s="3">
        <v>1</v>
      </c>
      <c r="J47" s="4" t="str">
        <f>HYPERLINK("http://141.218.60.56/~jnz1568/getInfo.php?workbook=18_08.xlsx&amp;sheet=E0&amp;row=47&amp;col=10&amp;number=0&amp;sourceID=14","0")</f>
        <v>0</v>
      </c>
    </row>
    <row r="48" spans="1:10">
      <c r="A48" s="3">
        <v>18</v>
      </c>
      <c r="B48" s="3">
        <v>8</v>
      </c>
      <c r="C48" s="3">
        <v>45</v>
      </c>
      <c r="D48" s="3" t="s">
        <v>32</v>
      </c>
      <c r="E48" s="3" t="s">
        <v>23</v>
      </c>
      <c r="F48" s="3">
        <v>3</v>
      </c>
      <c r="G48" s="3">
        <v>2</v>
      </c>
      <c r="H48" s="3">
        <v>0</v>
      </c>
      <c r="I48" s="3">
        <v>1</v>
      </c>
      <c r="J48" s="4" t="str">
        <f>HYPERLINK("http://141.218.60.56/~jnz1568/getInfo.php?workbook=18_08.xlsx&amp;sheet=E0&amp;row=48&amp;col=10&amp;number=0&amp;sourceID=14","0")</f>
        <v>0</v>
      </c>
    </row>
    <row r="49" spans="1:10">
      <c r="A49" s="3">
        <v>18</v>
      </c>
      <c r="B49" s="3">
        <v>8</v>
      </c>
      <c r="C49" s="3">
        <v>46</v>
      </c>
      <c r="D49" s="3" t="s">
        <v>27</v>
      </c>
      <c r="E49" s="3" t="s">
        <v>14</v>
      </c>
      <c r="F49" s="3">
        <v>1</v>
      </c>
      <c r="G49" s="3">
        <v>2</v>
      </c>
      <c r="H49" s="3">
        <v>0</v>
      </c>
      <c r="I49" s="3">
        <v>2</v>
      </c>
      <c r="J49" s="4" t="str">
        <f>HYPERLINK("http://141.218.60.56/~jnz1568/getInfo.php?workbook=18_08.xlsx&amp;sheet=E0&amp;row=49&amp;col=10&amp;number=0&amp;sourceID=14","0")</f>
        <v>0</v>
      </c>
    </row>
    <row r="50" spans="1:10">
      <c r="A50" s="3">
        <v>18</v>
      </c>
      <c r="B50" s="3">
        <v>8</v>
      </c>
      <c r="C50" s="3">
        <v>47</v>
      </c>
      <c r="D50" s="3" t="s">
        <v>32</v>
      </c>
      <c r="E50" s="3" t="s">
        <v>23</v>
      </c>
      <c r="F50" s="3">
        <v>3</v>
      </c>
      <c r="G50" s="3">
        <v>2</v>
      </c>
      <c r="H50" s="3">
        <v>0</v>
      </c>
      <c r="I50" s="3">
        <v>3</v>
      </c>
      <c r="J50" s="4" t="str">
        <f>HYPERLINK("http://141.218.60.56/~jnz1568/getInfo.php?workbook=18_08.xlsx&amp;sheet=E0&amp;row=50&amp;col=10&amp;number=0&amp;sourceID=14","0")</f>
        <v>0</v>
      </c>
    </row>
    <row r="51" spans="1:10">
      <c r="A51" s="3">
        <v>18</v>
      </c>
      <c r="B51" s="3">
        <v>8</v>
      </c>
      <c r="C51" s="3">
        <v>48</v>
      </c>
      <c r="D51" s="3" t="s">
        <v>32</v>
      </c>
      <c r="E51" s="3" t="s">
        <v>17</v>
      </c>
      <c r="F51" s="3">
        <v>1</v>
      </c>
      <c r="G51" s="3">
        <v>1</v>
      </c>
      <c r="H51" s="3">
        <v>1</v>
      </c>
      <c r="I51" s="3">
        <v>1</v>
      </c>
      <c r="J51" s="4" t="str">
        <f>HYPERLINK("http://141.218.60.56/~jnz1568/getInfo.php?workbook=18_08.xlsx&amp;sheet=E0&amp;row=51&amp;col=10&amp;number=0&amp;sourceID=14","0")</f>
        <v>0</v>
      </c>
    </row>
    <row r="52" spans="1:10">
      <c r="A52" s="3">
        <v>18</v>
      </c>
      <c r="B52" s="3">
        <v>8</v>
      </c>
      <c r="C52" s="3">
        <v>49</v>
      </c>
      <c r="D52" s="3" t="s">
        <v>32</v>
      </c>
      <c r="E52" s="3" t="s">
        <v>13</v>
      </c>
      <c r="F52" s="3">
        <v>3</v>
      </c>
      <c r="G52" s="3">
        <v>1</v>
      </c>
      <c r="H52" s="3">
        <v>1</v>
      </c>
      <c r="I52" s="3">
        <v>2</v>
      </c>
      <c r="J52" s="4" t="str">
        <f>HYPERLINK("http://141.218.60.56/~jnz1568/getInfo.php?workbook=18_08.xlsx&amp;sheet=E0&amp;row=52&amp;col=10&amp;number=0&amp;sourceID=14","0")</f>
        <v>0</v>
      </c>
    </row>
    <row r="53" spans="1:10">
      <c r="A53" s="3">
        <v>18</v>
      </c>
      <c r="B53" s="3">
        <v>8</v>
      </c>
      <c r="C53" s="3">
        <v>50</v>
      </c>
      <c r="D53" s="3" t="s">
        <v>32</v>
      </c>
      <c r="E53" s="3" t="s">
        <v>13</v>
      </c>
      <c r="F53" s="3">
        <v>3</v>
      </c>
      <c r="G53" s="3">
        <v>1</v>
      </c>
      <c r="H53" s="3">
        <v>1</v>
      </c>
      <c r="I53" s="3">
        <v>1</v>
      </c>
      <c r="J53" s="4" t="str">
        <f>HYPERLINK("http://141.218.60.56/~jnz1568/getInfo.php?workbook=18_08.xlsx&amp;sheet=E0&amp;row=53&amp;col=10&amp;number=0&amp;sourceID=14","0")</f>
        <v>0</v>
      </c>
    </row>
    <row r="54" spans="1:10">
      <c r="A54" s="3">
        <v>18</v>
      </c>
      <c r="B54" s="3">
        <v>8</v>
      </c>
      <c r="C54" s="3">
        <v>51</v>
      </c>
      <c r="D54" s="3" t="s">
        <v>30</v>
      </c>
      <c r="E54" s="3" t="s">
        <v>23</v>
      </c>
      <c r="F54" s="3">
        <v>3</v>
      </c>
      <c r="G54" s="3">
        <v>2</v>
      </c>
      <c r="H54" s="3">
        <v>0</v>
      </c>
      <c r="I54" s="3">
        <v>2</v>
      </c>
      <c r="J54" s="4" t="str">
        <f>HYPERLINK("http://141.218.60.56/~jnz1568/getInfo.php?workbook=18_08.xlsx&amp;sheet=E0&amp;row=54&amp;col=10&amp;number=2826216&amp;sourceID=14","2826216")</f>
        <v>2826216</v>
      </c>
    </row>
    <row r="55" spans="1:10">
      <c r="A55" s="3">
        <v>18</v>
      </c>
      <c r="B55" s="3">
        <v>8</v>
      </c>
      <c r="C55" s="3">
        <v>52</v>
      </c>
      <c r="D55" s="3" t="s">
        <v>30</v>
      </c>
      <c r="E55" s="3" t="s">
        <v>23</v>
      </c>
      <c r="F55" s="3">
        <v>3</v>
      </c>
      <c r="G55" s="3">
        <v>2</v>
      </c>
      <c r="H55" s="3">
        <v>0</v>
      </c>
      <c r="I55" s="3">
        <v>1</v>
      </c>
      <c r="J55" s="4" t="str">
        <f>HYPERLINK("http://141.218.60.56/~jnz1568/getInfo.php?workbook=18_08.xlsx&amp;sheet=E0&amp;row=55&amp;col=10&amp;number=2825023&amp;sourceID=14","2825023")</f>
        <v>2825023</v>
      </c>
    </row>
    <row r="56" spans="1:10">
      <c r="A56" s="3">
        <v>18</v>
      </c>
      <c r="B56" s="3">
        <v>8</v>
      </c>
      <c r="C56" s="3">
        <v>53</v>
      </c>
      <c r="D56" s="3" t="s">
        <v>32</v>
      </c>
      <c r="E56" s="3" t="s">
        <v>13</v>
      </c>
      <c r="F56" s="3">
        <v>3</v>
      </c>
      <c r="G56" s="3">
        <v>1</v>
      </c>
      <c r="H56" s="3">
        <v>1</v>
      </c>
      <c r="I56" s="3">
        <v>0</v>
      </c>
      <c r="J56" s="4" t="str">
        <f>HYPERLINK("http://141.218.60.56/~jnz1568/getInfo.php?workbook=18_08.xlsx&amp;sheet=E0&amp;row=56&amp;col=10&amp;number=0&amp;sourceID=14","0")</f>
        <v>0</v>
      </c>
    </row>
    <row r="57" spans="1:10">
      <c r="A57" s="3">
        <v>18</v>
      </c>
      <c r="B57" s="3">
        <v>8</v>
      </c>
      <c r="C57" s="3">
        <v>54</v>
      </c>
      <c r="D57" s="3" t="s">
        <v>30</v>
      </c>
      <c r="E57" s="3" t="s">
        <v>23</v>
      </c>
      <c r="F57" s="3">
        <v>3</v>
      </c>
      <c r="G57" s="3">
        <v>2</v>
      </c>
      <c r="H57" s="3">
        <v>0</v>
      </c>
      <c r="I57" s="3">
        <v>3</v>
      </c>
      <c r="J57" s="4" t="str">
        <f>HYPERLINK("http://141.218.60.56/~jnz1568/getInfo.php?workbook=18_08.xlsx&amp;sheet=E0&amp;row=57&amp;col=10&amp;number=2826216&amp;sourceID=14","2826216")</f>
        <v>2826216</v>
      </c>
    </row>
    <row r="58" spans="1:10">
      <c r="A58" s="3">
        <v>18</v>
      </c>
      <c r="B58" s="3">
        <v>8</v>
      </c>
      <c r="C58" s="3">
        <v>55</v>
      </c>
      <c r="D58" s="3" t="s">
        <v>32</v>
      </c>
      <c r="E58" s="3" t="s">
        <v>14</v>
      </c>
      <c r="F58" s="3">
        <v>1</v>
      </c>
      <c r="G58" s="3">
        <v>2</v>
      </c>
      <c r="H58" s="3">
        <v>0</v>
      </c>
      <c r="I58" s="3">
        <v>2</v>
      </c>
      <c r="J58" s="4" t="str">
        <f>HYPERLINK("http://141.218.60.56/~jnz1568/getInfo.php?workbook=18_08.xlsx&amp;sheet=E0&amp;row=58&amp;col=10&amp;number=0&amp;sourceID=14","0")</f>
        <v>0</v>
      </c>
    </row>
    <row r="59" spans="1:10">
      <c r="A59" s="3">
        <v>18</v>
      </c>
      <c r="B59" s="3">
        <v>8</v>
      </c>
      <c r="C59" s="3">
        <v>56</v>
      </c>
      <c r="D59" s="3" t="s">
        <v>33</v>
      </c>
      <c r="E59" s="3" t="s">
        <v>28</v>
      </c>
      <c r="F59" s="3">
        <v>3</v>
      </c>
      <c r="G59" s="3">
        <v>3</v>
      </c>
      <c r="H59" s="3">
        <v>1</v>
      </c>
      <c r="I59" s="3">
        <v>2</v>
      </c>
      <c r="J59" s="4" t="str">
        <f>HYPERLINK("http://141.218.60.56/~jnz1568/getInfo.php?workbook=18_08.xlsx&amp;sheet=E0&amp;row=59&amp;col=10&amp;number=2888018&amp;sourceID=14","2888018")</f>
        <v>2888018</v>
      </c>
    </row>
    <row r="60" spans="1:10">
      <c r="A60" s="3">
        <v>18</v>
      </c>
      <c r="B60" s="3">
        <v>8</v>
      </c>
      <c r="C60" s="3">
        <v>57</v>
      </c>
      <c r="D60" s="3" t="s">
        <v>33</v>
      </c>
      <c r="E60" s="3" t="s">
        <v>28</v>
      </c>
      <c r="F60" s="3">
        <v>3</v>
      </c>
      <c r="G60" s="3">
        <v>3</v>
      </c>
      <c r="H60" s="3">
        <v>1</v>
      </c>
      <c r="I60" s="3">
        <v>3</v>
      </c>
      <c r="J60" s="4" t="str">
        <f>HYPERLINK("http://141.218.60.56/~jnz1568/getInfo.php?workbook=18_08.xlsx&amp;sheet=E0&amp;row=60&amp;col=10&amp;number=0&amp;sourceID=14","0")</f>
        <v>0</v>
      </c>
    </row>
    <row r="61" spans="1:10">
      <c r="A61" s="3">
        <v>18</v>
      </c>
      <c r="B61" s="3">
        <v>8</v>
      </c>
      <c r="C61" s="3">
        <v>58</v>
      </c>
      <c r="D61" s="3" t="s">
        <v>33</v>
      </c>
      <c r="E61" s="3" t="s">
        <v>15</v>
      </c>
      <c r="F61" s="3">
        <v>1</v>
      </c>
      <c r="G61" s="3">
        <v>0</v>
      </c>
      <c r="H61" s="3">
        <v>0</v>
      </c>
      <c r="I61" s="3">
        <v>0</v>
      </c>
      <c r="J61" s="4" t="str">
        <f>HYPERLINK("http://141.218.60.56/~jnz1568/getInfo.php?workbook=18_08.xlsx&amp;sheet=E0&amp;row=61&amp;col=10&amp;number=0&amp;sourceID=14","0")</f>
        <v>0</v>
      </c>
    </row>
    <row r="62" spans="1:10">
      <c r="A62" s="3">
        <v>18</v>
      </c>
      <c r="B62" s="3">
        <v>8</v>
      </c>
      <c r="C62" s="3">
        <v>59</v>
      </c>
      <c r="D62" s="3" t="s">
        <v>33</v>
      </c>
      <c r="E62" s="3" t="s">
        <v>28</v>
      </c>
      <c r="F62" s="3">
        <v>3</v>
      </c>
      <c r="G62" s="3">
        <v>3</v>
      </c>
      <c r="H62" s="3">
        <v>1</v>
      </c>
      <c r="I62" s="3">
        <v>4</v>
      </c>
      <c r="J62" s="4" t="str">
        <f>HYPERLINK("http://141.218.60.56/~jnz1568/getInfo.php?workbook=18_08.xlsx&amp;sheet=E0&amp;row=62&amp;col=10&amp;number=0&amp;sourceID=14","0")</f>
        <v>0</v>
      </c>
    </row>
    <row r="63" spans="1:10">
      <c r="A63" s="3">
        <v>18</v>
      </c>
      <c r="B63" s="3">
        <v>8</v>
      </c>
      <c r="C63" s="3">
        <v>60</v>
      </c>
      <c r="D63" s="3" t="s">
        <v>33</v>
      </c>
      <c r="E63" s="3" t="s">
        <v>34</v>
      </c>
      <c r="F63" s="3">
        <v>3</v>
      </c>
      <c r="G63" s="3">
        <v>4</v>
      </c>
      <c r="H63" s="3">
        <v>0</v>
      </c>
      <c r="I63" s="3">
        <v>3</v>
      </c>
      <c r="J63" s="4" t="str">
        <f>HYPERLINK("http://141.218.60.56/~jnz1568/getInfo.php?workbook=18_08.xlsx&amp;sheet=E0&amp;row=63&amp;col=10&amp;number=0&amp;sourceID=14","0")</f>
        <v>0</v>
      </c>
    </row>
    <row r="64" spans="1:10">
      <c r="A64" s="3">
        <v>18</v>
      </c>
      <c r="B64" s="3">
        <v>8</v>
      </c>
      <c r="C64" s="3">
        <v>61</v>
      </c>
      <c r="D64" s="3" t="s">
        <v>33</v>
      </c>
      <c r="E64" s="3" t="s">
        <v>34</v>
      </c>
      <c r="F64" s="3">
        <v>3</v>
      </c>
      <c r="G64" s="3">
        <v>4</v>
      </c>
      <c r="H64" s="3">
        <v>0</v>
      </c>
      <c r="I64" s="3">
        <v>4</v>
      </c>
      <c r="J64" s="4" t="str">
        <f>HYPERLINK("http://141.218.60.56/~jnz1568/getInfo.php?workbook=18_08.xlsx&amp;sheet=E0&amp;row=64&amp;col=10&amp;number=0&amp;sourceID=14","0")</f>
        <v>0</v>
      </c>
    </row>
    <row r="65" spans="1:10">
      <c r="A65" s="3">
        <v>18</v>
      </c>
      <c r="B65" s="3">
        <v>8</v>
      </c>
      <c r="C65" s="3">
        <v>62</v>
      </c>
      <c r="D65" s="3" t="s">
        <v>33</v>
      </c>
      <c r="E65" s="3" t="s">
        <v>34</v>
      </c>
      <c r="F65" s="3">
        <v>3</v>
      </c>
      <c r="G65" s="3">
        <v>4</v>
      </c>
      <c r="H65" s="3">
        <v>0</v>
      </c>
      <c r="I65" s="3">
        <v>5</v>
      </c>
      <c r="J65" s="4" t="str">
        <f>HYPERLINK("http://141.218.60.56/~jnz1568/getInfo.php?workbook=18_08.xlsx&amp;sheet=E0&amp;row=65&amp;col=10&amp;number=0&amp;sourceID=14","0")</f>
        <v>0</v>
      </c>
    </row>
    <row r="66" spans="1:10">
      <c r="A66" s="3">
        <v>18</v>
      </c>
      <c r="B66" s="3">
        <v>8</v>
      </c>
      <c r="C66" s="3">
        <v>63</v>
      </c>
      <c r="D66" s="3" t="s">
        <v>33</v>
      </c>
      <c r="E66" s="3" t="s">
        <v>35</v>
      </c>
      <c r="F66" s="3">
        <v>1</v>
      </c>
      <c r="G66" s="3">
        <v>4</v>
      </c>
      <c r="H66" s="3">
        <v>0</v>
      </c>
      <c r="I66" s="3">
        <v>4</v>
      </c>
      <c r="J66" s="4" t="str">
        <f>HYPERLINK("http://141.218.60.56/~jnz1568/getInfo.php?workbook=18_08.xlsx&amp;sheet=E0&amp;row=66&amp;col=10&amp;number=0&amp;sourceID=14","0")</f>
        <v>0</v>
      </c>
    </row>
    <row r="67" spans="1:10">
      <c r="A67" s="3">
        <v>18</v>
      </c>
      <c r="B67" s="3">
        <v>8</v>
      </c>
      <c r="C67" s="3">
        <v>64</v>
      </c>
      <c r="D67" s="3" t="s">
        <v>33</v>
      </c>
      <c r="E67" s="3" t="s">
        <v>23</v>
      </c>
      <c r="F67" s="3">
        <v>3</v>
      </c>
      <c r="G67" s="3">
        <v>2</v>
      </c>
      <c r="H67" s="3">
        <v>0</v>
      </c>
      <c r="I67" s="3">
        <v>1</v>
      </c>
      <c r="J67" s="4" t="str">
        <f>HYPERLINK("http://141.218.60.56/~jnz1568/getInfo.php?workbook=18_08.xlsx&amp;sheet=E0&amp;row=67&amp;col=10&amp;number=2911700&amp;sourceID=14","2911700")</f>
        <v>2911700</v>
      </c>
    </row>
    <row r="68" spans="1:10">
      <c r="A68" s="3">
        <v>18</v>
      </c>
      <c r="B68" s="3">
        <v>8</v>
      </c>
      <c r="C68" s="3">
        <v>65</v>
      </c>
      <c r="D68" s="3" t="s">
        <v>32</v>
      </c>
      <c r="E68" s="3" t="s">
        <v>15</v>
      </c>
      <c r="F68" s="3">
        <v>1</v>
      </c>
      <c r="G68" s="3">
        <v>0</v>
      </c>
      <c r="H68" s="3">
        <v>0</v>
      </c>
      <c r="I68" s="3">
        <v>0</v>
      </c>
      <c r="J68" s="4" t="str">
        <f>HYPERLINK("http://141.218.60.56/~jnz1568/getInfo.php?workbook=18_08.xlsx&amp;sheet=E0&amp;row=68&amp;col=10&amp;number=0&amp;sourceID=14","0")</f>
        <v>0</v>
      </c>
    </row>
    <row r="69" spans="1:10">
      <c r="A69" s="3">
        <v>18</v>
      </c>
      <c r="B69" s="3">
        <v>8</v>
      </c>
      <c r="C69" s="3">
        <v>66</v>
      </c>
      <c r="D69" s="3" t="s">
        <v>33</v>
      </c>
      <c r="E69" s="3" t="s">
        <v>23</v>
      </c>
      <c r="F69" s="3">
        <v>3</v>
      </c>
      <c r="G69" s="3">
        <v>2</v>
      </c>
      <c r="H69" s="3">
        <v>0</v>
      </c>
      <c r="I69" s="3">
        <v>2</v>
      </c>
      <c r="J69" s="4" t="str">
        <f>HYPERLINK("http://141.218.60.56/~jnz1568/getInfo.php?workbook=18_08.xlsx&amp;sheet=E0&amp;row=69&amp;col=10&amp;number=2911326&amp;sourceID=14","2911326")</f>
        <v>2911326</v>
      </c>
    </row>
    <row r="70" spans="1:10">
      <c r="A70" s="3">
        <v>18</v>
      </c>
      <c r="B70" s="3">
        <v>8</v>
      </c>
      <c r="C70" s="3">
        <v>67</v>
      </c>
      <c r="D70" s="3" t="s">
        <v>33</v>
      </c>
      <c r="E70" s="3" t="s">
        <v>17</v>
      </c>
      <c r="F70" s="3">
        <v>1</v>
      </c>
      <c r="G70" s="3">
        <v>1</v>
      </c>
      <c r="H70" s="3">
        <v>1</v>
      </c>
      <c r="I70" s="3">
        <v>1</v>
      </c>
      <c r="J70" s="4" t="str">
        <f>HYPERLINK("http://141.218.60.56/~jnz1568/getInfo.php?workbook=18_08.xlsx&amp;sheet=E0&amp;row=70&amp;col=10&amp;number=2902630&amp;sourceID=14","2902630")</f>
        <v>2902630</v>
      </c>
    </row>
    <row r="71" spans="1:10">
      <c r="A71" s="3">
        <v>18</v>
      </c>
      <c r="B71" s="3">
        <v>8</v>
      </c>
      <c r="C71" s="3">
        <v>68</v>
      </c>
      <c r="D71" s="3" t="s">
        <v>33</v>
      </c>
      <c r="E71" s="3" t="s">
        <v>23</v>
      </c>
      <c r="F71" s="3">
        <v>3</v>
      </c>
      <c r="G71" s="3">
        <v>2</v>
      </c>
      <c r="H71" s="3">
        <v>0</v>
      </c>
      <c r="I71" s="3">
        <v>3</v>
      </c>
      <c r="J71" s="4" t="str">
        <f>HYPERLINK("http://141.218.60.56/~jnz1568/getInfo.php?workbook=18_08.xlsx&amp;sheet=E0&amp;row=71&amp;col=10&amp;number=2912904&amp;sourceID=14","2912904")</f>
        <v>2912904</v>
      </c>
    </row>
    <row r="72" spans="1:10">
      <c r="A72" s="3">
        <v>18</v>
      </c>
      <c r="B72" s="3">
        <v>8</v>
      </c>
      <c r="C72" s="3">
        <v>69</v>
      </c>
      <c r="D72" s="3" t="s">
        <v>33</v>
      </c>
      <c r="E72" s="3" t="s">
        <v>13</v>
      </c>
      <c r="F72" s="3">
        <v>3</v>
      </c>
      <c r="G72" s="3">
        <v>1</v>
      </c>
      <c r="H72" s="3">
        <v>1</v>
      </c>
      <c r="I72" s="3">
        <v>2</v>
      </c>
      <c r="J72" s="4" t="str">
        <f>HYPERLINK("http://141.218.60.56/~jnz1568/getInfo.php?workbook=18_08.xlsx&amp;sheet=E0&amp;row=72&amp;col=10&amp;number=2921917&amp;sourceID=14","2921917")</f>
        <v>2921917</v>
      </c>
    </row>
    <row r="73" spans="1:10">
      <c r="A73" s="3">
        <v>18</v>
      </c>
      <c r="B73" s="3">
        <v>8</v>
      </c>
      <c r="C73" s="3">
        <v>70</v>
      </c>
      <c r="D73" s="3" t="s">
        <v>33</v>
      </c>
      <c r="E73" s="3" t="s">
        <v>13</v>
      </c>
      <c r="F73" s="3">
        <v>3</v>
      </c>
      <c r="G73" s="3">
        <v>1</v>
      </c>
      <c r="H73" s="3">
        <v>1</v>
      </c>
      <c r="I73" s="3">
        <v>0</v>
      </c>
      <c r="J73" s="4" t="str">
        <f>HYPERLINK("http://141.218.60.56/~jnz1568/getInfo.php?workbook=18_08.xlsx&amp;sheet=E0&amp;row=73&amp;col=10&amp;number=0&amp;sourceID=14","0")</f>
        <v>0</v>
      </c>
    </row>
    <row r="74" spans="1:10">
      <c r="A74" s="3">
        <v>18</v>
      </c>
      <c r="B74" s="3">
        <v>8</v>
      </c>
      <c r="C74" s="3">
        <v>71</v>
      </c>
      <c r="D74" s="3" t="s">
        <v>33</v>
      </c>
      <c r="E74" s="3" t="s">
        <v>13</v>
      </c>
      <c r="F74" s="3">
        <v>3</v>
      </c>
      <c r="G74" s="3">
        <v>1</v>
      </c>
      <c r="H74" s="3">
        <v>1</v>
      </c>
      <c r="I74" s="3">
        <v>1</v>
      </c>
      <c r="J74" s="4" t="str">
        <f>HYPERLINK("http://141.218.60.56/~jnz1568/getInfo.php?workbook=18_08.xlsx&amp;sheet=E0&amp;row=74&amp;col=10&amp;number=2933326&amp;sourceID=14","2933326")</f>
        <v>2933326</v>
      </c>
    </row>
    <row r="75" spans="1:10">
      <c r="A75" s="3">
        <v>18</v>
      </c>
      <c r="B75" s="3">
        <v>8</v>
      </c>
      <c r="C75" s="3">
        <v>72</v>
      </c>
      <c r="D75" s="3" t="s">
        <v>33</v>
      </c>
      <c r="E75" s="3" t="s">
        <v>14</v>
      </c>
      <c r="F75" s="3">
        <v>1</v>
      </c>
      <c r="G75" s="3">
        <v>2</v>
      </c>
      <c r="H75" s="3">
        <v>0</v>
      </c>
      <c r="I75" s="3">
        <v>2</v>
      </c>
      <c r="J75" s="4" t="str">
        <f>HYPERLINK("http://141.218.60.56/~jnz1568/getInfo.php?workbook=18_08.xlsx&amp;sheet=E0&amp;row=75&amp;col=10&amp;number=2921917&amp;sourceID=14","2921917")</f>
        <v>2921917</v>
      </c>
    </row>
    <row r="76" spans="1:10">
      <c r="A76" s="3">
        <v>18</v>
      </c>
      <c r="B76" s="3">
        <v>8</v>
      </c>
      <c r="C76" s="3">
        <v>73</v>
      </c>
      <c r="D76" s="3" t="s">
        <v>33</v>
      </c>
      <c r="E76" s="3" t="s">
        <v>21</v>
      </c>
      <c r="F76" s="3">
        <v>3</v>
      </c>
      <c r="G76" s="3">
        <v>0</v>
      </c>
      <c r="H76" s="3">
        <v>0</v>
      </c>
      <c r="I76" s="3">
        <v>1</v>
      </c>
      <c r="J76" s="4" t="str">
        <f>HYPERLINK("http://141.218.60.56/~jnz1568/getInfo.php?workbook=18_08.xlsx&amp;sheet=E0&amp;row=76&amp;col=10&amp;number=2933326&amp;sourceID=14","2933326")</f>
        <v>2933326</v>
      </c>
    </row>
    <row r="77" spans="1:10">
      <c r="A77" s="3">
        <v>18</v>
      </c>
      <c r="B77" s="3">
        <v>8</v>
      </c>
      <c r="C77" s="3">
        <v>74</v>
      </c>
      <c r="D77" s="3" t="s">
        <v>36</v>
      </c>
      <c r="E77" s="3" t="s">
        <v>28</v>
      </c>
      <c r="F77" s="3">
        <v>3</v>
      </c>
      <c r="G77" s="3">
        <v>3</v>
      </c>
      <c r="H77" s="3">
        <v>1</v>
      </c>
      <c r="I77" s="3">
        <v>3</v>
      </c>
      <c r="J77" s="4" t="str">
        <f>HYPERLINK("http://141.218.60.56/~jnz1568/getInfo.php?workbook=18_08.xlsx&amp;sheet=E0&amp;row=77&amp;col=10&amp;number=2945397&amp;sourceID=14","2945397")</f>
        <v>2945397</v>
      </c>
    </row>
    <row r="78" spans="1:10">
      <c r="A78" s="3">
        <v>18</v>
      </c>
      <c r="B78" s="3">
        <v>8</v>
      </c>
      <c r="C78" s="3">
        <v>75</v>
      </c>
      <c r="D78" s="3" t="s">
        <v>36</v>
      </c>
      <c r="E78" s="3" t="s">
        <v>28</v>
      </c>
      <c r="F78" s="3">
        <v>3</v>
      </c>
      <c r="G78" s="3">
        <v>3</v>
      </c>
      <c r="H78" s="3">
        <v>1</v>
      </c>
      <c r="I78" s="3">
        <v>2</v>
      </c>
      <c r="J78" s="4" t="str">
        <f>HYPERLINK("http://141.218.60.56/~jnz1568/getInfo.php?workbook=18_08.xlsx&amp;sheet=E0&amp;row=78&amp;col=10&amp;number=0&amp;sourceID=14","0")</f>
        <v>0</v>
      </c>
    </row>
    <row r="79" spans="1:10">
      <c r="A79" s="3">
        <v>18</v>
      </c>
      <c r="B79" s="3">
        <v>8</v>
      </c>
      <c r="C79" s="3">
        <v>76</v>
      </c>
      <c r="D79" s="3" t="s">
        <v>36</v>
      </c>
      <c r="E79" s="3" t="s">
        <v>28</v>
      </c>
      <c r="F79" s="3">
        <v>3</v>
      </c>
      <c r="G79" s="3">
        <v>3</v>
      </c>
      <c r="H79" s="3">
        <v>1</v>
      </c>
      <c r="I79" s="3">
        <v>4</v>
      </c>
      <c r="J79" s="4" t="str">
        <f>HYPERLINK("http://141.218.60.56/~jnz1568/getInfo.php?workbook=18_08.xlsx&amp;sheet=E0&amp;row=79&amp;col=10&amp;number=0&amp;sourceID=14","0")</f>
        <v>0</v>
      </c>
    </row>
    <row r="80" spans="1:10">
      <c r="A80" s="3">
        <v>18</v>
      </c>
      <c r="B80" s="3">
        <v>8</v>
      </c>
      <c r="C80" s="3">
        <v>77</v>
      </c>
      <c r="D80" s="3" t="s">
        <v>33</v>
      </c>
      <c r="E80" s="3" t="s">
        <v>29</v>
      </c>
      <c r="F80" s="3">
        <v>1</v>
      </c>
      <c r="G80" s="3">
        <v>3</v>
      </c>
      <c r="H80" s="3">
        <v>1</v>
      </c>
      <c r="I80" s="3">
        <v>3</v>
      </c>
      <c r="J80" s="4" t="str">
        <f>HYPERLINK("http://141.218.60.56/~jnz1568/getInfo.php?workbook=18_08.xlsx&amp;sheet=E0&amp;row=80&amp;col=10&amp;number=2945430&amp;sourceID=14","2945430")</f>
        <v>2945430</v>
      </c>
    </row>
    <row r="81" spans="1:10">
      <c r="A81" s="3">
        <v>18</v>
      </c>
      <c r="B81" s="3">
        <v>8</v>
      </c>
      <c r="C81" s="3">
        <v>78</v>
      </c>
      <c r="D81" s="3" t="s">
        <v>36</v>
      </c>
      <c r="E81" s="3" t="s">
        <v>13</v>
      </c>
      <c r="F81" s="3">
        <v>3</v>
      </c>
      <c r="G81" s="3">
        <v>1</v>
      </c>
      <c r="H81" s="3">
        <v>1</v>
      </c>
      <c r="I81" s="3">
        <v>0</v>
      </c>
      <c r="J81" s="4" t="str">
        <f>HYPERLINK("http://141.218.60.56/~jnz1568/getInfo.php?workbook=18_08.xlsx&amp;sheet=E0&amp;row=81&amp;col=10&amp;number=0&amp;sourceID=14","0")</f>
        <v>0</v>
      </c>
    </row>
    <row r="82" spans="1:10">
      <c r="A82" s="3">
        <v>18</v>
      </c>
      <c r="B82" s="3">
        <v>8</v>
      </c>
      <c r="C82" s="3">
        <v>79</v>
      </c>
      <c r="D82" s="3" t="s">
        <v>36</v>
      </c>
      <c r="E82" s="3" t="s">
        <v>13</v>
      </c>
      <c r="F82" s="3">
        <v>3</v>
      </c>
      <c r="G82" s="3">
        <v>1</v>
      </c>
      <c r="H82" s="3">
        <v>1</v>
      </c>
      <c r="I82" s="3">
        <v>1</v>
      </c>
      <c r="J82" s="4" t="str">
        <f>HYPERLINK("http://141.218.60.56/~jnz1568/getInfo.php?workbook=18_08.xlsx&amp;sheet=E0&amp;row=82&amp;col=10&amp;number=0&amp;sourceID=14","0")</f>
        <v>0</v>
      </c>
    </row>
    <row r="83" spans="1:10">
      <c r="A83" s="3">
        <v>18</v>
      </c>
      <c r="B83" s="3">
        <v>8</v>
      </c>
      <c r="C83" s="3">
        <v>80</v>
      </c>
      <c r="D83" s="3" t="s">
        <v>36</v>
      </c>
      <c r="E83" s="3" t="s">
        <v>13</v>
      </c>
      <c r="F83" s="3">
        <v>3</v>
      </c>
      <c r="G83" s="3">
        <v>1</v>
      </c>
      <c r="H83" s="3">
        <v>1</v>
      </c>
      <c r="I83" s="3">
        <v>2</v>
      </c>
      <c r="J83" s="4" t="str">
        <f>HYPERLINK("http://141.218.60.56/~jnz1568/getInfo.php?workbook=18_08.xlsx&amp;sheet=E0&amp;row=83&amp;col=10&amp;number=0&amp;sourceID=14","0")</f>
        <v>0</v>
      </c>
    </row>
    <row r="84" spans="1:10">
      <c r="A84" s="3">
        <v>18</v>
      </c>
      <c r="B84" s="3">
        <v>8</v>
      </c>
      <c r="C84" s="3">
        <v>81</v>
      </c>
      <c r="D84" s="3" t="s">
        <v>36</v>
      </c>
      <c r="E84" s="3" t="s">
        <v>14</v>
      </c>
      <c r="F84" s="3">
        <v>1</v>
      </c>
      <c r="G84" s="3">
        <v>2</v>
      </c>
      <c r="H84" s="3">
        <v>0</v>
      </c>
      <c r="I84" s="3">
        <v>2</v>
      </c>
      <c r="J84" s="4" t="str">
        <f>HYPERLINK("http://141.218.60.56/~jnz1568/getInfo.php?workbook=18_08.xlsx&amp;sheet=E0&amp;row=84&amp;col=10&amp;number=2965330&amp;sourceID=14","2965330")</f>
        <v>2965330</v>
      </c>
    </row>
    <row r="85" spans="1:10">
      <c r="A85" s="3">
        <v>18</v>
      </c>
      <c r="B85" s="3">
        <v>8</v>
      </c>
      <c r="C85" s="3">
        <v>82</v>
      </c>
      <c r="D85" s="3" t="s">
        <v>36</v>
      </c>
      <c r="E85" s="3" t="s">
        <v>23</v>
      </c>
      <c r="F85" s="3">
        <v>3</v>
      </c>
      <c r="G85" s="3">
        <v>2</v>
      </c>
      <c r="H85" s="3">
        <v>0</v>
      </c>
      <c r="I85" s="3">
        <v>3</v>
      </c>
      <c r="J85" s="4" t="str">
        <f>HYPERLINK("http://141.218.60.56/~jnz1568/getInfo.php?workbook=18_08.xlsx&amp;sheet=E0&amp;row=85&amp;col=10&amp;number=2969209&amp;sourceID=14","2969209")</f>
        <v>2969209</v>
      </c>
    </row>
    <row r="86" spans="1:10">
      <c r="A86" s="3">
        <v>18</v>
      </c>
      <c r="B86" s="3">
        <v>8</v>
      </c>
      <c r="C86" s="3">
        <v>83</v>
      </c>
      <c r="D86" s="3" t="s">
        <v>36</v>
      </c>
      <c r="E86" s="3" t="s">
        <v>23</v>
      </c>
      <c r="F86" s="3">
        <v>3</v>
      </c>
      <c r="G86" s="3">
        <v>2</v>
      </c>
      <c r="H86" s="3">
        <v>0</v>
      </c>
      <c r="I86" s="3">
        <v>1</v>
      </c>
      <c r="J86" s="4" t="str">
        <f>HYPERLINK("http://141.218.60.56/~jnz1568/getInfo.php?workbook=18_08.xlsx&amp;sheet=E0&amp;row=86&amp;col=10&amp;number=2979000&amp;sourceID=14","2979000")</f>
        <v>2979000</v>
      </c>
    </row>
    <row r="87" spans="1:10">
      <c r="A87" s="3">
        <v>18</v>
      </c>
      <c r="B87" s="3">
        <v>8</v>
      </c>
      <c r="C87" s="3">
        <v>84</v>
      </c>
      <c r="D87" s="3" t="s">
        <v>36</v>
      </c>
      <c r="E87" s="3" t="s">
        <v>23</v>
      </c>
      <c r="F87" s="3">
        <v>3</v>
      </c>
      <c r="G87" s="3">
        <v>2</v>
      </c>
      <c r="H87" s="3">
        <v>0</v>
      </c>
      <c r="I87" s="3">
        <v>2</v>
      </c>
      <c r="J87" s="4" t="str">
        <f>HYPERLINK("http://141.218.60.56/~jnz1568/getInfo.php?workbook=18_08.xlsx&amp;sheet=E0&amp;row=87&amp;col=10&amp;number=2969500&amp;sourceID=14","2969500")</f>
        <v>2969500</v>
      </c>
    </row>
    <row r="88" spans="1:10">
      <c r="A88" s="3">
        <v>18</v>
      </c>
      <c r="B88" s="3">
        <v>8</v>
      </c>
      <c r="C88" s="3">
        <v>85</v>
      </c>
      <c r="D88" s="3" t="s">
        <v>36</v>
      </c>
      <c r="E88" s="3" t="s">
        <v>29</v>
      </c>
      <c r="F88" s="3">
        <v>1</v>
      </c>
      <c r="G88" s="3">
        <v>3</v>
      </c>
      <c r="H88" s="3">
        <v>1</v>
      </c>
      <c r="I88" s="3">
        <v>3</v>
      </c>
      <c r="J88" s="4" t="str">
        <f>HYPERLINK("http://141.218.60.56/~jnz1568/getInfo.php?workbook=18_08.xlsx&amp;sheet=E0&amp;row=88&amp;col=10&amp;number=2984730&amp;sourceID=14","2984730")</f>
        <v>2984730</v>
      </c>
    </row>
    <row r="89" spans="1:10">
      <c r="A89" s="3">
        <v>18</v>
      </c>
      <c r="B89" s="3">
        <v>8</v>
      </c>
      <c r="C89" s="3">
        <v>86</v>
      </c>
      <c r="D89" s="3" t="s">
        <v>36</v>
      </c>
      <c r="E89" s="3" t="s">
        <v>17</v>
      </c>
      <c r="F89" s="3">
        <v>1</v>
      </c>
      <c r="G89" s="3">
        <v>1</v>
      </c>
      <c r="H89" s="3">
        <v>1</v>
      </c>
      <c r="I89" s="3">
        <v>1</v>
      </c>
      <c r="J89" s="4" t="str">
        <f>HYPERLINK("http://141.218.60.56/~jnz1568/getInfo.php?workbook=18_08.xlsx&amp;sheet=E0&amp;row=89&amp;col=10&amp;number=3015430&amp;sourceID=14","3015430")</f>
        <v>3015430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35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3.7109375" customWidth="1"/>
    <col min="6" max="6" width="14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18</v>
      </c>
      <c r="B4" s="3">
        <v>8</v>
      </c>
      <c r="C4" s="3">
        <v>2</v>
      </c>
      <c r="D4" s="3">
        <v>1</v>
      </c>
      <c r="E4" s="3">
        <v>6918.021</v>
      </c>
      <c r="F4" s="4" t="str">
        <f>HYPERLINK("http://141.218.60.56/~jnz1568/getInfo.php?workbook=18_08.xlsx&amp;sheet=A0&amp;row=4&amp;col=6&amp;number=66.86&amp;sourceID=14","66.86")</f>
        <v>66.86</v>
      </c>
      <c r="G4" s="4" t="str">
        <f>HYPERLINK("http://141.218.60.56/~jnz1568/getInfo.php?workbook=18_08.xlsx&amp;sheet=A0&amp;row=4&amp;col=7&amp;number=0&amp;sourceID=14","0")</f>
        <v>0</v>
      </c>
    </row>
    <row r="5" spans="1:7">
      <c r="A5" s="3">
        <v>18</v>
      </c>
      <c r="B5" s="3">
        <v>8</v>
      </c>
      <c r="C5" s="3">
        <v>3</v>
      </c>
      <c r="D5" s="3">
        <v>1</v>
      </c>
      <c r="E5" s="3">
        <v>5462.392</v>
      </c>
      <c r="F5" s="4" t="str">
        <f>HYPERLINK("http://141.218.60.56/~jnz1568/getInfo.php?workbook=18_08.xlsx&amp;sheet=A0&amp;row=5&amp;col=6&amp;number=0.00216&amp;sourceID=14","0.00216")</f>
        <v>0.00216</v>
      </c>
      <c r="G5" s="4" t="str">
        <f>HYPERLINK("http://141.218.60.56/~jnz1568/getInfo.php?workbook=18_08.xlsx&amp;sheet=A0&amp;row=5&amp;col=7&amp;number=0&amp;sourceID=14","0")</f>
        <v>0</v>
      </c>
    </row>
    <row r="6" spans="1:7">
      <c r="A6" s="3">
        <v>18</v>
      </c>
      <c r="B6" s="3">
        <v>8</v>
      </c>
      <c r="C6" s="3">
        <v>4</v>
      </c>
      <c r="D6" s="3">
        <v>1</v>
      </c>
      <c r="E6" s="3">
        <v>1392.098</v>
      </c>
      <c r="F6" s="4" t="str">
        <f>HYPERLINK("http://141.218.60.56/~jnz1568/getInfo.php?workbook=18_08.xlsx&amp;sheet=A0&amp;row=6&amp;col=6&amp;number=223.4&amp;sourceID=14","223.4")</f>
        <v>223.4</v>
      </c>
      <c r="G6" s="4" t="str">
        <f>HYPERLINK("http://141.218.60.56/~jnz1568/getInfo.php?workbook=18_08.xlsx&amp;sheet=A0&amp;row=6&amp;col=7&amp;number=0&amp;sourceID=14","0")</f>
        <v>0</v>
      </c>
    </row>
    <row r="7" spans="1:7">
      <c r="A7" s="3">
        <v>18</v>
      </c>
      <c r="B7" s="3">
        <v>8</v>
      </c>
      <c r="C7" s="3">
        <v>5</v>
      </c>
      <c r="D7" s="3">
        <v>1</v>
      </c>
      <c r="E7" s="3">
        <v>673.342</v>
      </c>
      <c r="F7" s="4" t="str">
        <f>HYPERLINK("http://141.218.60.56/~jnz1568/getInfo.php?workbook=18_08.xlsx&amp;sheet=A0&amp;row=7&amp;col=6&amp;number=0.6886&amp;sourceID=14","0.6886")</f>
        <v>0.6886</v>
      </c>
      <c r="G7" s="4" t="str">
        <f>HYPERLINK("http://141.218.60.56/~jnz1568/getInfo.php?workbook=18_08.xlsx&amp;sheet=A0&amp;row=7&amp;col=7&amp;number=0&amp;sourceID=14","0")</f>
        <v>0</v>
      </c>
    </row>
    <row r="8" spans="1:7">
      <c r="A8" s="3">
        <v>18</v>
      </c>
      <c r="B8" s="3">
        <v>8</v>
      </c>
      <c r="C8" s="3">
        <v>6</v>
      </c>
      <c r="D8" s="3">
        <v>1</v>
      </c>
      <c r="E8" s="3">
        <v>188.806</v>
      </c>
      <c r="F8" s="4" t="str">
        <f>HYPERLINK("http://141.218.60.56/~jnz1568/getInfo.php?workbook=18_08.xlsx&amp;sheet=A0&amp;row=8&amp;col=6&amp;number=16740000000&amp;sourceID=14","16740000000")</f>
        <v>16740000000</v>
      </c>
      <c r="G8" s="4" t="str">
        <f>HYPERLINK("http://141.218.60.56/~jnz1568/getInfo.php?workbook=18_08.xlsx&amp;sheet=A0&amp;row=8&amp;col=7&amp;number=0&amp;sourceID=14","0")</f>
        <v>0</v>
      </c>
    </row>
    <row r="9" spans="1:7">
      <c r="A9" s="3">
        <v>18</v>
      </c>
      <c r="B9" s="3">
        <v>8</v>
      </c>
      <c r="C9" s="3">
        <v>7</v>
      </c>
      <c r="D9" s="3">
        <v>1</v>
      </c>
      <c r="E9" s="3">
        <v>184.524</v>
      </c>
      <c r="F9" s="4" t="str">
        <f>HYPERLINK("http://141.218.60.56/~jnz1568/getInfo.php?workbook=18_08.xlsx&amp;sheet=A0&amp;row=9&amp;col=6&amp;number=10200000000&amp;sourceID=14","10200000000")</f>
        <v>10200000000</v>
      </c>
      <c r="G9" s="4" t="str">
        <f>HYPERLINK("http://141.218.60.56/~jnz1568/getInfo.php?workbook=18_08.xlsx&amp;sheet=A0&amp;row=9&amp;col=7&amp;number=0&amp;sourceID=14","0")</f>
        <v>0</v>
      </c>
    </row>
    <row r="10" spans="1:7">
      <c r="A10" s="3">
        <v>18</v>
      </c>
      <c r="B10" s="3">
        <v>8</v>
      </c>
      <c r="C10" s="3">
        <v>8</v>
      </c>
      <c r="D10" s="3">
        <v>1</v>
      </c>
      <c r="E10" s="3">
        <v>182.163</v>
      </c>
      <c r="F10" s="4" t="str">
        <f>HYPERLINK("http://141.218.60.56/~jnz1568/getInfo.php?workbook=18_08.xlsx&amp;sheet=A0&amp;row=10&amp;col=6&amp;number=24.51&amp;sourceID=14","24.51")</f>
        <v>24.51</v>
      </c>
      <c r="G10" s="4" t="str">
        <f>HYPERLINK("http://141.218.60.56/~jnz1568/getInfo.php?workbook=18_08.xlsx&amp;sheet=A0&amp;row=10&amp;col=7&amp;number=0&amp;sourceID=14","0")</f>
        <v>0</v>
      </c>
    </row>
    <row r="11" spans="1:7">
      <c r="A11" s="3">
        <v>18</v>
      </c>
      <c r="B11" s="3">
        <v>8</v>
      </c>
      <c r="C11" s="3">
        <v>9</v>
      </c>
      <c r="D11" s="3">
        <v>1</v>
      </c>
      <c r="E11" s="3">
        <v>136.918</v>
      </c>
      <c r="F11" s="4" t="str">
        <f>HYPERLINK("http://141.218.60.56/~jnz1568/getInfo.php?workbook=18_08.xlsx&amp;sheet=A0&amp;row=11&amp;col=6&amp;number=1029000000&amp;sourceID=14","1029000000")</f>
        <v>1029000000</v>
      </c>
      <c r="G11" s="4" t="str">
        <f>HYPERLINK("http://141.218.60.56/~jnz1568/getInfo.php?workbook=18_08.xlsx&amp;sheet=A0&amp;row=11&amp;col=7&amp;number=0&amp;sourceID=14","0")</f>
        <v>0</v>
      </c>
    </row>
    <row r="12" spans="1:7">
      <c r="A12" s="3">
        <v>18</v>
      </c>
      <c r="B12" s="3">
        <v>8</v>
      </c>
      <c r="C12" s="3">
        <v>10</v>
      </c>
      <c r="D12" s="3">
        <v>1</v>
      </c>
      <c r="E12" s="3">
        <v>80.937</v>
      </c>
      <c r="F12" s="4" t="str">
        <f>HYPERLINK("http://141.218.60.56/~jnz1568/getInfo.php?workbook=18_08.xlsx&amp;sheet=A0&amp;row=12&amp;col=6&amp;number=7599&amp;sourceID=14","7599")</f>
        <v>7599</v>
      </c>
      <c r="G12" s="4" t="str">
        <f>HYPERLINK("http://141.218.60.56/~jnz1568/getInfo.php?workbook=18_08.xlsx&amp;sheet=A0&amp;row=12&amp;col=7&amp;number=0&amp;sourceID=14","0")</f>
        <v>0</v>
      </c>
    </row>
    <row r="13" spans="1:7">
      <c r="A13" s="3">
        <v>18</v>
      </c>
      <c r="B13" s="3">
        <v>8</v>
      </c>
      <c r="C13" s="3">
        <v>11</v>
      </c>
      <c r="D13" s="3">
        <v>1</v>
      </c>
      <c r="E13" s="3">
        <v>40.269</v>
      </c>
      <c r="F13" s="4" t="str">
        <f>HYPERLINK("http://141.218.60.56/~jnz1568/getInfo.php?workbook=18_08.xlsx&amp;sheet=A0&amp;row=13&amp;col=6&amp;number=1228000000&amp;sourceID=14","1228000000")</f>
        <v>1228000000</v>
      </c>
      <c r="G13" s="4" t="str">
        <f>HYPERLINK("http://141.218.60.56/~jnz1568/getInfo.php?workbook=18_08.xlsx&amp;sheet=A0&amp;row=13&amp;col=7&amp;number=0&amp;sourceID=14","0")</f>
        <v>0</v>
      </c>
    </row>
    <row r="14" spans="1:7">
      <c r="A14" s="3">
        <v>18</v>
      </c>
      <c r="B14" s="3">
        <v>8</v>
      </c>
      <c r="C14" s="3">
        <v>12</v>
      </c>
      <c r="D14" s="3">
        <v>1</v>
      </c>
      <c r="E14" s="3">
        <v>39.667</v>
      </c>
      <c r="F14" s="4" t="str">
        <f>HYPERLINK("http://141.218.60.56/~jnz1568/getInfo.php?workbook=18_08.xlsx&amp;sheet=A0&amp;row=14&amp;col=6&amp;number=341600000000&amp;sourceID=14","341600000000")</f>
        <v>341600000000</v>
      </c>
      <c r="G14" s="4" t="str">
        <f>HYPERLINK("http://141.218.60.56/~jnz1568/getInfo.php?workbook=18_08.xlsx&amp;sheet=A0&amp;row=14&amp;col=7&amp;number=0&amp;sourceID=14","0")</f>
        <v>0</v>
      </c>
    </row>
    <row r="15" spans="1:7">
      <c r="A15" s="3">
        <v>18</v>
      </c>
      <c r="B15" s="3">
        <v>8</v>
      </c>
      <c r="C15" s="3">
        <v>13</v>
      </c>
      <c r="D15" s="3">
        <v>1</v>
      </c>
      <c r="E15" s="3">
        <v>38.653</v>
      </c>
      <c r="F15" s="4" t="str">
        <f>HYPERLINK("http://141.218.60.56/~jnz1568/getInfo.php?workbook=18_08.xlsx&amp;sheet=A0&amp;row=15&amp;col=6&amp;number=9705000000&amp;sourceID=14","9705000000")</f>
        <v>9705000000</v>
      </c>
      <c r="G15" s="4" t="str">
        <f>HYPERLINK("http://141.218.60.56/~jnz1568/getInfo.php?workbook=18_08.xlsx&amp;sheet=A0&amp;row=15&amp;col=7&amp;number=0&amp;sourceID=14","0")</f>
        <v>0</v>
      </c>
    </row>
    <row r="16" spans="1:7">
      <c r="A16" s="3">
        <v>18</v>
      </c>
      <c r="B16" s="3">
        <v>8</v>
      </c>
      <c r="C16" s="3">
        <v>14</v>
      </c>
      <c r="D16" s="3">
        <v>1</v>
      </c>
      <c r="E16" s="3">
        <v>38.634</v>
      </c>
      <c r="F16" s="4" t="str">
        <f>HYPERLINK("http://141.218.60.56/~jnz1568/getInfo.php?workbook=18_08.xlsx&amp;sheet=A0&amp;row=16&amp;col=6&amp;number=92540000000&amp;sourceID=14","92540000000")</f>
        <v>92540000000</v>
      </c>
      <c r="G16" s="4" t="str">
        <f>HYPERLINK("http://141.218.60.56/~jnz1568/getInfo.php?workbook=18_08.xlsx&amp;sheet=A0&amp;row=16&amp;col=7&amp;number=0&amp;sourceID=14","0")</f>
        <v>0</v>
      </c>
    </row>
    <row r="17" spans="1:7">
      <c r="A17" s="3">
        <v>18</v>
      </c>
      <c r="B17" s="3">
        <v>8</v>
      </c>
      <c r="C17" s="3">
        <v>15</v>
      </c>
      <c r="D17" s="3">
        <v>1</v>
      </c>
      <c r="E17" s="3">
        <v>38.615</v>
      </c>
      <c r="F17" s="4" t="str">
        <f>HYPERLINK("http://141.218.60.56/~jnz1568/getInfo.php?workbook=18_08.xlsx&amp;sheet=A0&amp;row=17&amp;col=6&amp;number=183800000000&amp;sourceID=14","183800000000")</f>
        <v>183800000000</v>
      </c>
      <c r="G17" s="4" t="str">
        <f>HYPERLINK("http://141.218.60.56/~jnz1568/getInfo.php?workbook=18_08.xlsx&amp;sheet=A0&amp;row=17&amp;col=7&amp;number=0&amp;sourceID=14","0")</f>
        <v>0</v>
      </c>
    </row>
    <row r="18" spans="1:7">
      <c r="A18" s="3">
        <v>18</v>
      </c>
      <c r="B18" s="3">
        <v>8</v>
      </c>
      <c r="C18" s="3">
        <v>16</v>
      </c>
      <c r="D18" s="3">
        <v>1</v>
      </c>
      <c r="E18" s="3">
        <v>38.401</v>
      </c>
      <c r="F18" s="4" t="str">
        <f>HYPERLINK("http://141.218.60.56/~jnz1568/getInfo.php?workbook=18_08.xlsx&amp;sheet=A0&amp;row=18&amp;col=6&amp;number=15700000000&amp;sourceID=14","15700000000")</f>
        <v>15700000000</v>
      </c>
      <c r="G18" s="4" t="str">
        <f>HYPERLINK("http://141.218.60.56/~jnz1568/getInfo.php?workbook=18_08.xlsx&amp;sheet=A0&amp;row=18&amp;col=7&amp;number=0&amp;sourceID=14","0")</f>
        <v>0</v>
      </c>
    </row>
    <row r="19" spans="1:7">
      <c r="A19" s="3">
        <v>18</v>
      </c>
      <c r="B19" s="3">
        <v>8</v>
      </c>
      <c r="C19" s="3">
        <v>17</v>
      </c>
      <c r="D19" s="3">
        <v>1</v>
      </c>
      <c r="E19" s="3">
        <v>38.181</v>
      </c>
      <c r="F19" s="4" t="str">
        <f>HYPERLINK("http://141.218.60.56/~jnz1568/getInfo.php?workbook=18_08.xlsx&amp;sheet=A0&amp;row=19&amp;col=6&amp;number=1207000&amp;sourceID=14","1207000")</f>
        <v>1207000</v>
      </c>
      <c r="G19" s="4" t="str">
        <f>HYPERLINK("http://141.218.60.56/~jnz1568/getInfo.php?workbook=18_08.xlsx&amp;sheet=A0&amp;row=19&amp;col=7&amp;number=0&amp;sourceID=14","0")</f>
        <v>0</v>
      </c>
    </row>
    <row r="20" spans="1:7">
      <c r="A20" s="3">
        <v>18</v>
      </c>
      <c r="B20" s="3">
        <v>8</v>
      </c>
      <c r="C20" s="3">
        <v>18</v>
      </c>
      <c r="D20" s="3">
        <v>1</v>
      </c>
      <c r="E20" s="3">
        <v>38.165</v>
      </c>
      <c r="F20" s="4" t="str">
        <f>HYPERLINK("http://141.218.60.56/~jnz1568/getInfo.php?workbook=18_08.xlsx&amp;sheet=A0&amp;row=20&amp;col=6&amp;number=1864000&amp;sourceID=14","1864000")</f>
        <v>1864000</v>
      </c>
      <c r="G20" s="4" t="str">
        <f>HYPERLINK("http://141.218.60.56/~jnz1568/getInfo.php?workbook=18_08.xlsx&amp;sheet=A0&amp;row=20&amp;col=7&amp;number=0&amp;sourceID=14","0")</f>
        <v>0</v>
      </c>
    </row>
    <row r="21" spans="1:7">
      <c r="A21" s="3">
        <v>18</v>
      </c>
      <c r="B21" s="3">
        <v>8</v>
      </c>
      <c r="C21" s="3">
        <v>19</v>
      </c>
      <c r="D21" s="3">
        <v>1</v>
      </c>
      <c r="E21" s="3">
        <v>38.13</v>
      </c>
      <c r="F21" s="4" t="str">
        <f>HYPERLINK("http://141.218.60.56/~jnz1568/getInfo.php?workbook=18_08.xlsx&amp;sheet=A0&amp;row=21&amp;col=6&amp;number=393500&amp;sourceID=14","393500")</f>
        <v>393500</v>
      </c>
      <c r="G21" s="4" t="str">
        <f>HYPERLINK("http://141.218.60.56/~jnz1568/getInfo.php?workbook=18_08.xlsx&amp;sheet=A0&amp;row=21&amp;col=7&amp;number=0&amp;sourceID=14","0")</f>
        <v>0</v>
      </c>
    </row>
    <row r="22" spans="1:7">
      <c r="A22" s="3">
        <v>18</v>
      </c>
      <c r="B22" s="3">
        <v>8</v>
      </c>
      <c r="C22" s="3">
        <v>20</v>
      </c>
      <c r="D22" s="3">
        <v>1</v>
      </c>
      <c r="E22" s="3">
        <v>-37.769</v>
      </c>
      <c r="F22" s="4" t="str">
        <f>HYPERLINK("http://141.218.60.56/~jnz1568/getInfo.php?workbook=18_08.xlsx&amp;sheet=A0&amp;row=22&amp;col=6&amp;number=113100000&amp;sourceID=14","113100000")</f>
        <v>113100000</v>
      </c>
      <c r="G22" s="4" t="str">
        <f>HYPERLINK("http://141.218.60.56/~jnz1568/getInfo.php?workbook=18_08.xlsx&amp;sheet=A0&amp;row=22&amp;col=7&amp;number=0&amp;sourceID=14","0")</f>
        <v>0</v>
      </c>
    </row>
    <row r="23" spans="1:7">
      <c r="A23" s="3">
        <v>18</v>
      </c>
      <c r="B23" s="3">
        <v>8</v>
      </c>
      <c r="C23" s="3">
        <v>21</v>
      </c>
      <c r="D23" s="3">
        <v>1</v>
      </c>
      <c r="E23" s="3">
        <v>-37.751</v>
      </c>
      <c r="F23" s="4" t="str">
        <f>HYPERLINK("http://141.218.60.56/~jnz1568/getInfo.php?workbook=18_08.xlsx&amp;sheet=A0&amp;row=23&amp;col=6&amp;number=54550000&amp;sourceID=14","54550000")</f>
        <v>54550000</v>
      </c>
      <c r="G23" s="4" t="str">
        <f>HYPERLINK("http://141.218.60.56/~jnz1568/getInfo.php?workbook=18_08.xlsx&amp;sheet=A0&amp;row=23&amp;col=7&amp;number=0&amp;sourceID=14","0")</f>
        <v>0</v>
      </c>
    </row>
    <row r="24" spans="1:7">
      <c r="A24" s="3">
        <v>18</v>
      </c>
      <c r="B24" s="3">
        <v>8</v>
      </c>
      <c r="C24" s="3">
        <v>22</v>
      </c>
      <c r="D24" s="3">
        <v>1</v>
      </c>
      <c r="E24" s="3">
        <v>-37.744</v>
      </c>
      <c r="F24" s="4" t="str">
        <f>HYPERLINK("http://141.218.60.56/~jnz1568/getInfo.php?workbook=18_08.xlsx&amp;sheet=A0&amp;row=24&amp;col=6&amp;number=147400000&amp;sourceID=14","147400000")</f>
        <v>147400000</v>
      </c>
      <c r="G24" s="4" t="str">
        <f>HYPERLINK("http://141.218.60.56/~jnz1568/getInfo.php?workbook=18_08.xlsx&amp;sheet=A0&amp;row=24&amp;col=7&amp;number=0&amp;sourceID=14","0")</f>
        <v>0</v>
      </c>
    </row>
    <row r="25" spans="1:7">
      <c r="A25" s="3">
        <v>18</v>
      </c>
      <c r="B25" s="3">
        <v>8</v>
      </c>
      <c r="C25" s="3">
        <v>23</v>
      </c>
      <c r="D25" s="3">
        <v>1</v>
      </c>
      <c r="E25" s="3">
        <v>-37.96</v>
      </c>
      <c r="F25" s="4" t="str">
        <f>HYPERLINK("http://141.218.60.56/~jnz1568/getInfo.php?workbook=18_08.xlsx&amp;sheet=A0&amp;row=25&amp;col=6&amp;number=3443&amp;sourceID=14","3443")</f>
        <v>3443</v>
      </c>
      <c r="G25" s="4" t="str">
        <f>HYPERLINK("http://141.218.60.56/~jnz1568/getInfo.php?workbook=18_08.xlsx&amp;sheet=A0&amp;row=25&amp;col=7&amp;number=0&amp;sourceID=14","0")</f>
        <v>0</v>
      </c>
    </row>
    <row r="26" spans="1:7">
      <c r="A26" s="3">
        <v>18</v>
      </c>
      <c r="B26" s="3">
        <v>8</v>
      </c>
      <c r="C26" s="3">
        <v>24</v>
      </c>
      <c r="D26" s="3">
        <v>1</v>
      </c>
      <c r="E26" s="3">
        <v>-37.938</v>
      </c>
      <c r="F26" s="4" t="str">
        <f>HYPERLINK("http://141.218.60.56/~jnz1568/getInfo.php?workbook=18_08.xlsx&amp;sheet=A0&amp;row=26&amp;col=6&amp;number=47580000000&amp;sourceID=14","47580000000")</f>
        <v>47580000000</v>
      </c>
      <c r="G26" s="4" t="str">
        <f>HYPERLINK("http://141.218.60.56/~jnz1568/getInfo.php?workbook=18_08.xlsx&amp;sheet=A0&amp;row=26&amp;col=7&amp;number=0&amp;sourceID=14","0")</f>
        <v>0</v>
      </c>
    </row>
    <row r="27" spans="1:7">
      <c r="A27" s="3">
        <v>18</v>
      </c>
      <c r="B27" s="3">
        <v>8</v>
      </c>
      <c r="C27" s="3">
        <v>25</v>
      </c>
      <c r="D27" s="3">
        <v>1</v>
      </c>
      <c r="E27" s="3">
        <v>37.81</v>
      </c>
      <c r="F27" s="4" t="str">
        <f>HYPERLINK("http://141.218.60.56/~jnz1568/getInfo.php?workbook=18_08.xlsx&amp;sheet=A0&amp;row=27&amp;col=6&amp;number=75900000000&amp;sourceID=14","75900000000")</f>
        <v>75900000000</v>
      </c>
      <c r="G27" s="4" t="str">
        <f>HYPERLINK("http://141.218.60.56/~jnz1568/getInfo.php?workbook=18_08.xlsx&amp;sheet=A0&amp;row=27&amp;col=7&amp;number=0&amp;sourceID=14","0")</f>
        <v>0</v>
      </c>
    </row>
    <row r="28" spans="1:7">
      <c r="A28" s="3">
        <v>18</v>
      </c>
      <c r="B28" s="3">
        <v>8</v>
      </c>
      <c r="C28" s="3">
        <v>26</v>
      </c>
      <c r="D28" s="3">
        <v>1</v>
      </c>
      <c r="E28" s="3">
        <v>37.739</v>
      </c>
      <c r="F28" s="4" t="str">
        <f>HYPERLINK("http://141.218.60.56/~jnz1568/getInfo.php?workbook=18_08.xlsx&amp;sheet=A0&amp;row=28&amp;col=6&amp;number=746500000&amp;sourceID=14","746500000")</f>
        <v>746500000</v>
      </c>
      <c r="G28" s="4" t="str">
        <f>HYPERLINK("http://141.218.60.56/~jnz1568/getInfo.php?workbook=18_08.xlsx&amp;sheet=A0&amp;row=28&amp;col=7&amp;number=0&amp;sourceID=14","0")</f>
        <v>0</v>
      </c>
    </row>
    <row r="29" spans="1:7">
      <c r="A29" s="3">
        <v>18</v>
      </c>
      <c r="B29" s="3">
        <v>8</v>
      </c>
      <c r="C29" s="3">
        <v>27</v>
      </c>
      <c r="D29" s="3">
        <v>1</v>
      </c>
      <c r="E29" s="3">
        <v>-36.824</v>
      </c>
      <c r="F29" s="4" t="str">
        <f>HYPERLINK("http://141.218.60.56/~jnz1568/getInfo.php?workbook=18_08.xlsx&amp;sheet=A0&amp;row=29&amp;col=6&amp;number=2783000&amp;sourceID=14","2783000")</f>
        <v>2783000</v>
      </c>
      <c r="G29" s="4" t="str">
        <f>HYPERLINK("http://141.218.60.56/~jnz1568/getInfo.php?workbook=18_08.xlsx&amp;sheet=A0&amp;row=29&amp;col=7&amp;number=0&amp;sourceID=14","0")</f>
        <v>0</v>
      </c>
    </row>
    <row r="30" spans="1:7">
      <c r="A30" s="3">
        <v>18</v>
      </c>
      <c r="B30" s="3">
        <v>8</v>
      </c>
      <c r="C30" s="3">
        <v>28</v>
      </c>
      <c r="D30" s="3">
        <v>1</v>
      </c>
      <c r="E30" s="3">
        <v>-36.869</v>
      </c>
      <c r="F30" s="4" t="str">
        <f>HYPERLINK("http://141.218.60.56/~jnz1568/getInfo.php?workbook=18_08.xlsx&amp;sheet=A0&amp;row=30&amp;col=6&amp;number=26840000&amp;sourceID=14","26840000")</f>
        <v>26840000</v>
      </c>
      <c r="G30" s="4" t="str">
        <f>HYPERLINK("http://141.218.60.56/~jnz1568/getInfo.php?workbook=18_08.xlsx&amp;sheet=A0&amp;row=30&amp;col=7&amp;number=0&amp;sourceID=14","0")</f>
        <v>0</v>
      </c>
    </row>
    <row r="31" spans="1:7">
      <c r="A31" s="3">
        <v>18</v>
      </c>
      <c r="B31" s="3">
        <v>8</v>
      </c>
      <c r="C31" s="3">
        <v>29</v>
      </c>
      <c r="D31" s="3">
        <v>1</v>
      </c>
      <c r="E31" s="3">
        <v>-36.814</v>
      </c>
      <c r="F31" s="4" t="str">
        <f>HYPERLINK("http://141.218.60.56/~jnz1568/getInfo.php?workbook=18_08.xlsx&amp;sheet=A0&amp;row=31&amp;col=6&amp;number=38410000&amp;sourceID=14","38410000")</f>
        <v>38410000</v>
      </c>
      <c r="G31" s="4" t="str">
        <f>HYPERLINK("http://141.218.60.56/~jnz1568/getInfo.php?workbook=18_08.xlsx&amp;sheet=A0&amp;row=31&amp;col=7&amp;number=0&amp;sourceID=14","0")</f>
        <v>0</v>
      </c>
    </row>
    <row r="32" spans="1:7">
      <c r="A32" s="3">
        <v>18</v>
      </c>
      <c r="B32" s="3">
        <v>8</v>
      </c>
      <c r="C32" s="3">
        <v>30</v>
      </c>
      <c r="D32" s="3">
        <v>1</v>
      </c>
      <c r="E32" s="3">
        <v>-36.986</v>
      </c>
      <c r="F32" s="4" t="str">
        <f>HYPERLINK("http://141.218.60.56/~jnz1568/getInfo.php?workbook=18_08.xlsx&amp;sheet=A0&amp;row=32&amp;col=6&amp;number=5933000&amp;sourceID=14","5933000")</f>
        <v>5933000</v>
      </c>
      <c r="G32" s="4" t="str">
        <f>HYPERLINK("http://141.218.60.56/~jnz1568/getInfo.php?workbook=18_08.xlsx&amp;sheet=A0&amp;row=32&amp;col=7&amp;number=0&amp;sourceID=14","0")</f>
        <v>0</v>
      </c>
    </row>
    <row r="33" spans="1:7">
      <c r="A33" s="3">
        <v>18</v>
      </c>
      <c r="B33" s="3">
        <v>8</v>
      </c>
      <c r="C33" s="3">
        <v>31</v>
      </c>
      <c r="D33" s="3">
        <v>1</v>
      </c>
      <c r="E33" s="3">
        <v>-36.731</v>
      </c>
      <c r="F33" s="4" t="str">
        <f>HYPERLINK("http://141.218.60.56/~jnz1568/getInfo.php?workbook=18_08.xlsx&amp;sheet=A0&amp;row=33&amp;col=6&amp;number=2674000&amp;sourceID=14","2674000")</f>
        <v>2674000</v>
      </c>
      <c r="G33" s="4" t="str">
        <f>HYPERLINK("http://141.218.60.56/~jnz1568/getInfo.php?workbook=18_08.xlsx&amp;sheet=A0&amp;row=33&amp;col=7&amp;number=0&amp;sourceID=14","0")</f>
        <v>0</v>
      </c>
    </row>
    <row r="34" spans="1:7">
      <c r="A34" s="3">
        <v>18</v>
      </c>
      <c r="B34" s="3">
        <v>8</v>
      </c>
      <c r="C34" s="3">
        <v>32</v>
      </c>
      <c r="D34" s="3">
        <v>1</v>
      </c>
      <c r="E34" s="3">
        <v>-36.692</v>
      </c>
      <c r="F34" s="4" t="str">
        <f>HYPERLINK("http://141.218.60.56/~jnz1568/getInfo.php?workbook=18_08.xlsx&amp;sheet=A0&amp;row=34&amp;col=6&amp;number=17780000&amp;sourceID=14","17780000")</f>
        <v>17780000</v>
      </c>
      <c r="G34" s="4" t="str">
        <f>HYPERLINK("http://141.218.60.56/~jnz1568/getInfo.php?workbook=18_08.xlsx&amp;sheet=A0&amp;row=34&amp;col=7&amp;number=0&amp;sourceID=14","0")</f>
        <v>0</v>
      </c>
    </row>
    <row r="35" spans="1:7">
      <c r="A35" s="3">
        <v>18</v>
      </c>
      <c r="B35" s="3">
        <v>8</v>
      </c>
      <c r="C35" s="3">
        <v>33</v>
      </c>
      <c r="D35" s="3">
        <v>1</v>
      </c>
      <c r="E35" s="3">
        <v>-36.65</v>
      </c>
      <c r="F35" s="4" t="str">
        <f>HYPERLINK("http://141.218.60.56/~jnz1568/getInfo.php?workbook=18_08.xlsx&amp;sheet=A0&amp;row=35&amp;col=6&amp;number=74170000&amp;sourceID=14","74170000")</f>
        <v>74170000</v>
      </c>
      <c r="G35" s="4" t="str">
        <f>HYPERLINK("http://141.218.60.56/~jnz1568/getInfo.php?workbook=18_08.xlsx&amp;sheet=A0&amp;row=35&amp;col=7&amp;number=0&amp;sourceID=14","0")</f>
        <v>0</v>
      </c>
    </row>
    <row r="36" spans="1:7">
      <c r="A36" s="3">
        <v>18</v>
      </c>
      <c r="B36" s="3">
        <v>8</v>
      </c>
      <c r="C36" s="3">
        <v>34</v>
      </c>
      <c r="D36" s="3">
        <v>1</v>
      </c>
      <c r="E36" s="3">
        <v>-36.607</v>
      </c>
      <c r="F36" s="4" t="str">
        <f>HYPERLINK("http://141.218.60.56/~jnz1568/getInfo.php?workbook=18_08.xlsx&amp;sheet=A0&amp;row=36&amp;col=6&amp;number=4037000&amp;sourceID=14","4037000")</f>
        <v>4037000</v>
      </c>
      <c r="G36" s="4" t="str">
        <f>HYPERLINK("http://141.218.60.56/~jnz1568/getInfo.php?workbook=18_08.xlsx&amp;sheet=A0&amp;row=36&amp;col=7&amp;number=0&amp;sourceID=14","0")</f>
        <v>0</v>
      </c>
    </row>
    <row r="37" spans="1:7">
      <c r="A37" s="3">
        <v>18</v>
      </c>
      <c r="B37" s="3">
        <v>8</v>
      </c>
      <c r="C37" s="3">
        <v>35</v>
      </c>
      <c r="D37" s="3">
        <v>1</v>
      </c>
      <c r="E37" s="3">
        <v>-36.166</v>
      </c>
      <c r="F37" s="4" t="str">
        <f>HYPERLINK("http://141.218.60.56/~jnz1568/getInfo.php?workbook=18_08.xlsx&amp;sheet=A0&amp;row=37&amp;col=6&amp;number=43310000&amp;sourceID=14","43310000")</f>
        <v>43310000</v>
      </c>
      <c r="G37" s="4" t="str">
        <f>HYPERLINK("http://141.218.60.56/~jnz1568/getInfo.php?workbook=18_08.xlsx&amp;sheet=A0&amp;row=37&amp;col=7&amp;number=0&amp;sourceID=14","0")</f>
        <v>0</v>
      </c>
    </row>
    <row r="38" spans="1:7">
      <c r="A38" s="3">
        <v>18</v>
      </c>
      <c r="B38" s="3">
        <v>8</v>
      </c>
      <c r="C38" s="3">
        <v>36</v>
      </c>
      <c r="D38" s="3">
        <v>1</v>
      </c>
      <c r="E38" s="3">
        <v>-36.039</v>
      </c>
      <c r="F38" s="4" t="str">
        <f>HYPERLINK("http://141.218.60.56/~jnz1568/getInfo.php?workbook=18_08.xlsx&amp;sheet=A0&amp;row=38&amp;col=6&amp;number=15420000&amp;sourceID=14","15420000")</f>
        <v>15420000</v>
      </c>
      <c r="G38" s="4" t="str">
        <f>HYPERLINK("http://141.218.60.56/~jnz1568/getInfo.php?workbook=18_08.xlsx&amp;sheet=A0&amp;row=38&amp;col=7&amp;number=0&amp;sourceID=14","0")</f>
        <v>0</v>
      </c>
    </row>
    <row r="39" spans="1:7">
      <c r="A39" s="3">
        <v>18</v>
      </c>
      <c r="B39" s="3">
        <v>8</v>
      </c>
      <c r="C39" s="3">
        <v>37</v>
      </c>
      <c r="D39" s="3">
        <v>1</v>
      </c>
      <c r="E39" s="3">
        <v>36.105</v>
      </c>
      <c r="F39" s="4" t="str">
        <f>HYPERLINK("http://141.218.60.56/~jnz1568/getInfo.php?workbook=18_08.xlsx&amp;sheet=A0&amp;row=39&amp;col=6&amp;number=20120000&amp;sourceID=14","20120000")</f>
        <v>20120000</v>
      </c>
      <c r="G39" s="4" t="str">
        <f>HYPERLINK("http://141.218.60.56/~jnz1568/getInfo.php?workbook=18_08.xlsx&amp;sheet=A0&amp;row=39&amp;col=7&amp;number=0&amp;sourceID=14","0")</f>
        <v>0</v>
      </c>
    </row>
    <row r="40" spans="1:7">
      <c r="A40" s="3">
        <v>18</v>
      </c>
      <c r="B40" s="3">
        <v>8</v>
      </c>
      <c r="C40" s="3">
        <v>38</v>
      </c>
      <c r="D40" s="3">
        <v>1</v>
      </c>
      <c r="E40" s="3">
        <v>-35.878</v>
      </c>
      <c r="F40" s="4" t="str">
        <f>HYPERLINK("http://141.218.60.56/~jnz1568/getInfo.php?workbook=18_08.xlsx&amp;sheet=A0&amp;row=40&amp;col=6&amp;number=7546&amp;sourceID=14","7546")</f>
        <v>7546</v>
      </c>
      <c r="G40" s="4" t="str">
        <f>HYPERLINK("http://141.218.60.56/~jnz1568/getInfo.php?workbook=18_08.xlsx&amp;sheet=A0&amp;row=40&amp;col=7&amp;number=0&amp;sourceID=14","0")</f>
        <v>0</v>
      </c>
    </row>
    <row r="41" spans="1:7">
      <c r="A41" s="3">
        <v>18</v>
      </c>
      <c r="B41" s="3">
        <v>8</v>
      </c>
      <c r="C41" s="3">
        <v>39</v>
      </c>
      <c r="D41" s="3">
        <v>1</v>
      </c>
      <c r="E41" s="3">
        <v>-35.877</v>
      </c>
      <c r="F41" s="4" t="str">
        <f>HYPERLINK("http://141.218.60.56/~jnz1568/getInfo.php?workbook=18_08.xlsx&amp;sheet=A0&amp;row=41&amp;col=6&amp;number=2529000000&amp;sourceID=14","2529000000")</f>
        <v>2529000000</v>
      </c>
      <c r="G41" s="4" t="str">
        <f>HYPERLINK("http://141.218.60.56/~jnz1568/getInfo.php?workbook=18_08.xlsx&amp;sheet=A0&amp;row=41&amp;col=7&amp;number=0&amp;sourceID=14","0")</f>
        <v>0</v>
      </c>
    </row>
    <row r="42" spans="1:7">
      <c r="A42" s="3">
        <v>18</v>
      </c>
      <c r="B42" s="3">
        <v>8</v>
      </c>
      <c r="C42" s="3">
        <v>40</v>
      </c>
      <c r="D42" s="3">
        <v>1</v>
      </c>
      <c r="E42" s="3">
        <v>35.96</v>
      </c>
      <c r="F42" s="4" t="str">
        <f>HYPERLINK("http://141.218.60.56/~jnz1568/getInfo.php?workbook=18_08.xlsx&amp;sheet=A0&amp;row=42&amp;col=6&amp;number=2932000000&amp;sourceID=14","2932000000")</f>
        <v>2932000000</v>
      </c>
      <c r="G42" s="4" t="str">
        <f>HYPERLINK("http://141.218.60.56/~jnz1568/getInfo.php?workbook=18_08.xlsx&amp;sheet=A0&amp;row=42&amp;col=7&amp;number=0&amp;sourceID=14","0")</f>
        <v>0</v>
      </c>
    </row>
    <row r="43" spans="1:7">
      <c r="A43" s="3">
        <v>18</v>
      </c>
      <c r="B43" s="3">
        <v>8</v>
      </c>
      <c r="C43" s="3">
        <v>41</v>
      </c>
      <c r="D43" s="3">
        <v>1</v>
      </c>
      <c r="E43" s="3">
        <v>-35.872</v>
      </c>
      <c r="F43" s="4" t="str">
        <f>HYPERLINK("http://141.218.60.56/~jnz1568/getInfo.php?workbook=18_08.xlsx&amp;sheet=A0&amp;row=43&amp;col=6&amp;number=360800000&amp;sourceID=14","360800000")</f>
        <v>360800000</v>
      </c>
      <c r="G43" s="4" t="str">
        <f>HYPERLINK("http://141.218.60.56/~jnz1568/getInfo.php?workbook=18_08.xlsx&amp;sheet=A0&amp;row=43&amp;col=7&amp;number=0&amp;sourceID=14","0")</f>
        <v>0</v>
      </c>
    </row>
    <row r="44" spans="1:7">
      <c r="A44" s="3">
        <v>18</v>
      </c>
      <c r="B44" s="3">
        <v>8</v>
      </c>
      <c r="C44" s="3">
        <v>42</v>
      </c>
      <c r="D44" s="3">
        <v>1</v>
      </c>
      <c r="E44" s="3">
        <v>-35.867</v>
      </c>
      <c r="F44" s="4" t="str">
        <f>HYPERLINK("http://141.218.60.56/~jnz1568/getInfo.php?workbook=18_08.xlsx&amp;sheet=A0&amp;row=44&amp;col=6&amp;number=113900&amp;sourceID=14","113900")</f>
        <v>113900</v>
      </c>
      <c r="G44" s="4" t="str">
        <f>HYPERLINK("http://141.218.60.56/~jnz1568/getInfo.php?workbook=18_08.xlsx&amp;sheet=A0&amp;row=44&amp;col=7&amp;number=0&amp;sourceID=14","0")</f>
        <v>0</v>
      </c>
    </row>
    <row r="45" spans="1:7">
      <c r="A45" s="3">
        <v>18</v>
      </c>
      <c r="B45" s="3">
        <v>8</v>
      </c>
      <c r="C45" s="3">
        <v>43</v>
      </c>
      <c r="D45" s="3">
        <v>1</v>
      </c>
      <c r="E45" s="3">
        <v>-36.036</v>
      </c>
      <c r="F45" s="4" t="str">
        <f>HYPERLINK("http://141.218.60.56/~jnz1568/getInfo.php?workbook=18_08.xlsx&amp;sheet=A0&amp;row=45&amp;col=6&amp;number=6096000&amp;sourceID=14","6096000")</f>
        <v>6096000</v>
      </c>
      <c r="G45" s="4" t="str">
        <f>HYPERLINK("http://141.218.60.56/~jnz1568/getInfo.php?workbook=18_08.xlsx&amp;sheet=A0&amp;row=45&amp;col=7&amp;number=0&amp;sourceID=14","0")</f>
        <v>0</v>
      </c>
    </row>
    <row r="46" spans="1:7">
      <c r="A46" s="3">
        <v>18</v>
      </c>
      <c r="B46" s="3">
        <v>8</v>
      </c>
      <c r="C46" s="3">
        <v>44</v>
      </c>
      <c r="D46" s="3">
        <v>1</v>
      </c>
      <c r="E46" s="3">
        <v>-36.259</v>
      </c>
      <c r="F46" s="4" t="str">
        <f>HYPERLINK("http://141.218.60.56/~jnz1568/getInfo.php?workbook=18_08.xlsx&amp;sheet=A0&amp;row=46&amp;col=6&amp;number=13670000&amp;sourceID=14","13670000")</f>
        <v>13670000</v>
      </c>
      <c r="G46" s="4" t="str">
        <f>HYPERLINK("http://141.218.60.56/~jnz1568/getInfo.php?workbook=18_08.xlsx&amp;sheet=A0&amp;row=46&amp;col=7&amp;number=0&amp;sourceID=14","0")</f>
        <v>0</v>
      </c>
    </row>
    <row r="47" spans="1:7">
      <c r="A47" s="3">
        <v>18</v>
      </c>
      <c r="B47" s="3">
        <v>8</v>
      </c>
      <c r="C47" s="3">
        <v>45</v>
      </c>
      <c r="D47" s="3">
        <v>1</v>
      </c>
      <c r="E47" s="3">
        <v>-36.061</v>
      </c>
      <c r="F47" s="4" t="str">
        <f>HYPERLINK("http://141.218.60.56/~jnz1568/getInfo.php?workbook=18_08.xlsx&amp;sheet=A0&amp;row=47&amp;col=6&amp;number=7636000&amp;sourceID=14","7636000")</f>
        <v>7636000</v>
      </c>
      <c r="G47" s="4" t="str">
        <f>HYPERLINK("http://141.218.60.56/~jnz1568/getInfo.php?workbook=18_08.xlsx&amp;sheet=A0&amp;row=47&amp;col=7&amp;number=0&amp;sourceID=14","0")</f>
        <v>0</v>
      </c>
    </row>
    <row r="48" spans="1:7">
      <c r="A48" s="3">
        <v>18</v>
      </c>
      <c r="B48" s="3">
        <v>8</v>
      </c>
      <c r="C48" s="3">
        <v>46</v>
      </c>
      <c r="D48" s="3">
        <v>1</v>
      </c>
      <c r="E48" s="3">
        <v>-35.92</v>
      </c>
      <c r="F48" s="4" t="str">
        <f>HYPERLINK("http://141.218.60.56/~jnz1568/getInfo.php?workbook=18_08.xlsx&amp;sheet=A0&amp;row=48&amp;col=6&amp;number=2632&amp;sourceID=14","2632")</f>
        <v>2632</v>
      </c>
      <c r="G48" s="4" t="str">
        <f>HYPERLINK("http://141.218.60.56/~jnz1568/getInfo.php?workbook=18_08.xlsx&amp;sheet=A0&amp;row=48&amp;col=7&amp;number=0&amp;sourceID=14","0")</f>
        <v>0</v>
      </c>
    </row>
    <row r="49" spans="1:7">
      <c r="A49" s="3">
        <v>18</v>
      </c>
      <c r="B49" s="3">
        <v>8</v>
      </c>
      <c r="C49" s="3">
        <v>47</v>
      </c>
      <c r="D49" s="3">
        <v>1</v>
      </c>
      <c r="E49" s="3">
        <v>-35.989</v>
      </c>
      <c r="F49" s="4" t="str">
        <f>HYPERLINK("http://141.218.60.56/~jnz1568/getInfo.php?workbook=18_08.xlsx&amp;sheet=A0&amp;row=49&amp;col=6&amp;number=15330000&amp;sourceID=14","15330000")</f>
        <v>15330000</v>
      </c>
      <c r="G49" s="4" t="str">
        <f>HYPERLINK("http://141.218.60.56/~jnz1568/getInfo.php?workbook=18_08.xlsx&amp;sheet=A0&amp;row=49&amp;col=7&amp;number=0&amp;sourceID=14","0")</f>
        <v>0</v>
      </c>
    </row>
    <row r="50" spans="1:7">
      <c r="A50" s="3">
        <v>18</v>
      </c>
      <c r="B50" s="3">
        <v>8</v>
      </c>
      <c r="C50" s="3">
        <v>48</v>
      </c>
      <c r="D50" s="3">
        <v>1</v>
      </c>
      <c r="E50" s="3">
        <v>-35.866</v>
      </c>
      <c r="F50" s="4" t="str">
        <f>HYPERLINK("http://141.218.60.56/~jnz1568/getInfo.php?workbook=18_08.xlsx&amp;sheet=A0&amp;row=50&amp;col=6&amp;number=1831000&amp;sourceID=14","1831000")</f>
        <v>1831000</v>
      </c>
      <c r="G50" s="4" t="str">
        <f>HYPERLINK("http://141.218.60.56/~jnz1568/getInfo.php?workbook=18_08.xlsx&amp;sheet=A0&amp;row=50&amp;col=7&amp;number=0&amp;sourceID=14","0")</f>
        <v>0</v>
      </c>
    </row>
    <row r="51" spans="1:7">
      <c r="A51" s="3">
        <v>18</v>
      </c>
      <c r="B51" s="3">
        <v>8</v>
      </c>
      <c r="C51" s="3">
        <v>49</v>
      </c>
      <c r="D51" s="3">
        <v>1</v>
      </c>
      <c r="E51" s="3">
        <v>-35.731</v>
      </c>
      <c r="F51" s="4" t="str">
        <f>HYPERLINK("http://141.218.60.56/~jnz1568/getInfo.php?workbook=18_08.xlsx&amp;sheet=A0&amp;row=51&amp;col=6&amp;number=4353000&amp;sourceID=14","4353000")</f>
        <v>4353000</v>
      </c>
      <c r="G51" s="4" t="str">
        <f>HYPERLINK("http://141.218.60.56/~jnz1568/getInfo.php?workbook=18_08.xlsx&amp;sheet=A0&amp;row=51&amp;col=7&amp;number=0&amp;sourceID=14","0")</f>
        <v>0</v>
      </c>
    </row>
    <row r="52" spans="1:7">
      <c r="A52" s="3">
        <v>18</v>
      </c>
      <c r="B52" s="3">
        <v>8</v>
      </c>
      <c r="C52" s="3">
        <v>50</v>
      </c>
      <c r="D52" s="3">
        <v>1</v>
      </c>
      <c r="E52" s="3">
        <v>-35.694</v>
      </c>
      <c r="F52" s="4" t="str">
        <f>HYPERLINK("http://141.218.60.56/~jnz1568/getInfo.php?workbook=18_08.xlsx&amp;sheet=A0&amp;row=52&amp;col=6&amp;number=839000&amp;sourceID=14","839000")</f>
        <v>839000</v>
      </c>
      <c r="G52" s="4" t="str">
        <f>HYPERLINK("http://141.218.60.56/~jnz1568/getInfo.php?workbook=18_08.xlsx&amp;sheet=A0&amp;row=52&amp;col=7&amp;number=0&amp;sourceID=14","0")</f>
        <v>0</v>
      </c>
    </row>
    <row r="53" spans="1:7">
      <c r="A53" s="3">
        <v>18</v>
      </c>
      <c r="B53" s="3">
        <v>8</v>
      </c>
      <c r="C53" s="3">
        <v>51</v>
      </c>
      <c r="D53" s="3">
        <v>1</v>
      </c>
      <c r="E53" s="3">
        <v>35.383</v>
      </c>
      <c r="F53" s="4" t="str">
        <f>HYPERLINK("http://141.218.60.56/~jnz1568/getInfo.php?workbook=18_08.xlsx&amp;sheet=A0&amp;row=53&amp;col=6&amp;number=250700000000&amp;sourceID=14","250700000000")</f>
        <v>250700000000</v>
      </c>
      <c r="G53" s="4" t="str">
        <f>HYPERLINK("http://141.218.60.56/~jnz1568/getInfo.php?workbook=18_08.xlsx&amp;sheet=A0&amp;row=53&amp;col=7&amp;number=0&amp;sourceID=14","0")</f>
        <v>0</v>
      </c>
    </row>
    <row r="54" spans="1:7">
      <c r="A54" s="3">
        <v>18</v>
      </c>
      <c r="B54" s="3">
        <v>8</v>
      </c>
      <c r="C54" s="3">
        <v>52</v>
      </c>
      <c r="D54" s="3">
        <v>1</v>
      </c>
      <c r="E54" s="3">
        <v>35.398</v>
      </c>
      <c r="F54" s="4" t="str">
        <f>HYPERLINK("http://141.218.60.56/~jnz1568/getInfo.php?workbook=18_08.xlsx&amp;sheet=A0&amp;row=54&amp;col=6&amp;number=30290000000&amp;sourceID=14","30290000000")</f>
        <v>30290000000</v>
      </c>
      <c r="G54" s="4" t="str">
        <f>HYPERLINK("http://141.218.60.56/~jnz1568/getInfo.php?workbook=18_08.xlsx&amp;sheet=A0&amp;row=54&amp;col=7&amp;number=0&amp;sourceID=14","0")</f>
        <v>0</v>
      </c>
    </row>
    <row r="55" spans="1:7">
      <c r="A55" s="3">
        <v>18</v>
      </c>
      <c r="B55" s="3">
        <v>8</v>
      </c>
      <c r="C55" s="3">
        <v>53</v>
      </c>
      <c r="D55" s="3">
        <v>1</v>
      </c>
      <c r="E55" s="3">
        <v>-35.677</v>
      </c>
      <c r="F55" s="4" t="str">
        <f>HYPERLINK("http://141.218.60.56/~jnz1568/getInfo.php?workbook=18_08.xlsx&amp;sheet=A0&amp;row=55&amp;col=6&amp;number=21760&amp;sourceID=14","21760")</f>
        <v>21760</v>
      </c>
      <c r="G55" s="4" t="str">
        <f>HYPERLINK("http://141.218.60.56/~jnz1568/getInfo.php?workbook=18_08.xlsx&amp;sheet=A0&amp;row=55&amp;col=7&amp;number=0&amp;sourceID=14","0")</f>
        <v>0</v>
      </c>
    </row>
    <row r="56" spans="1:7">
      <c r="A56" s="3">
        <v>18</v>
      </c>
      <c r="B56" s="3">
        <v>8</v>
      </c>
      <c r="C56" s="3">
        <v>54</v>
      </c>
      <c r="D56" s="3">
        <v>1</v>
      </c>
      <c r="E56" s="3">
        <v>35.383</v>
      </c>
      <c r="F56" s="4" t="str">
        <f>HYPERLINK("http://141.218.60.56/~jnz1568/getInfo.php?workbook=18_08.xlsx&amp;sheet=A0&amp;row=56&amp;col=6&amp;number=888900000000&amp;sourceID=14","888900000000")</f>
        <v>888900000000</v>
      </c>
      <c r="G56" s="4" t="str">
        <f>HYPERLINK("http://141.218.60.56/~jnz1568/getInfo.php?workbook=18_08.xlsx&amp;sheet=A0&amp;row=56&amp;col=7&amp;number=0&amp;sourceID=14","0")</f>
        <v>0</v>
      </c>
    </row>
    <row r="57" spans="1:7">
      <c r="A57" s="3">
        <v>18</v>
      </c>
      <c r="B57" s="3">
        <v>8</v>
      </c>
      <c r="C57" s="3">
        <v>55</v>
      </c>
      <c r="D57" s="3">
        <v>1</v>
      </c>
      <c r="E57" s="3">
        <v>-35.303</v>
      </c>
      <c r="F57" s="4" t="str">
        <f>HYPERLINK("http://141.218.60.56/~jnz1568/getInfo.php?workbook=18_08.xlsx&amp;sheet=A0&amp;row=57&amp;col=6&amp;number=231800&amp;sourceID=14","231800")</f>
        <v>231800</v>
      </c>
      <c r="G57" s="4" t="str">
        <f>HYPERLINK("http://141.218.60.56/~jnz1568/getInfo.php?workbook=18_08.xlsx&amp;sheet=A0&amp;row=57&amp;col=7&amp;number=0&amp;sourceID=14","0")</f>
        <v>0</v>
      </c>
    </row>
    <row r="58" spans="1:7">
      <c r="A58" s="3">
        <v>18</v>
      </c>
      <c r="B58" s="3">
        <v>8</v>
      </c>
      <c r="C58" s="3">
        <v>56</v>
      </c>
      <c r="D58" s="3">
        <v>1</v>
      </c>
      <c r="E58" s="3">
        <v>34.626</v>
      </c>
      <c r="F58" s="4" t="str">
        <f>HYPERLINK("http://141.218.60.56/~jnz1568/getInfo.php?workbook=18_08.xlsx&amp;sheet=A0&amp;row=58&amp;col=6&amp;number=11230000000&amp;sourceID=14","11230000000")</f>
        <v>11230000000</v>
      </c>
      <c r="G58" s="4" t="str">
        <f>HYPERLINK("http://141.218.60.56/~jnz1568/getInfo.php?workbook=18_08.xlsx&amp;sheet=A0&amp;row=58&amp;col=7&amp;number=0&amp;sourceID=14","0")</f>
        <v>0</v>
      </c>
    </row>
    <row r="59" spans="1:7">
      <c r="A59" s="3">
        <v>18</v>
      </c>
      <c r="B59" s="3">
        <v>8</v>
      </c>
      <c r="C59" s="3">
        <v>57</v>
      </c>
      <c r="D59" s="3">
        <v>1</v>
      </c>
      <c r="E59" s="3">
        <v>-34.673</v>
      </c>
      <c r="F59" s="4" t="str">
        <f>HYPERLINK("http://141.218.60.56/~jnz1568/getInfo.php?workbook=18_08.xlsx&amp;sheet=A0&amp;row=59&amp;col=6&amp;number=34730000000&amp;sourceID=14","34730000000")</f>
        <v>34730000000</v>
      </c>
      <c r="G59" s="4" t="str">
        <f>HYPERLINK("http://141.218.60.56/~jnz1568/getInfo.php?workbook=18_08.xlsx&amp;sheet=A0&amp;row=59&amp;col=7&amp;number=0&amp;sourceID=14","0")</f>
        <v>0</v>
      </c>
    </row>
    <row r="60" spans="1:7">
      <c r="A60" s="3">
        <v>18</v>
      </c>
      <c r="B60" s="3">
        <v>8</v>
      </c>
      <c r="C60" s="3">
        <v>58</v>
      </c>
      <c r="D60" s="3">
        <v>1</v>
      </c>
      <c r="E60" s="3">
        <v>-34.64</v>
      </c>
      <c r="F60" s="4" t="str">
        <f>HYPERLINK("http://141.218.60.56/~jnz1568/getInfo.php?workbook=18_08.xlsx&amp;sheet=A0&amp;row=60&amp;col=6&amp;number=254600&amp;sourceID=14","254600")</f>
        <v>254600</v>
      </c>
      <c r="G60" s="4" t="str">
        <f>HYPERLINK("http://141.218.60.56/~jnz1568/getInfo.php?workbook=18_08.xlsx&amp;sheet=A0&amp;row=60&amp;col=7&amp;number=0&amp;sourceID=14","0")</f>
        <v>0</v>
      </c>
    </row>
    <row r="61" spans="1:7">
      <c r="A61" s="3">
        <v>18</v>
      </c>
      <c r="B61" s="3">
        <v>8</v>
      </c>
      <c r="C61" s="3">
        <v>59</v>
      </c>
      <c r="D61" s="3">
        <v>1</v>
      </c>
      <c r="E61" s="3">
        <v>-34.624</v>
      </c>
      <c r="F61" s="4" t="str">
        <f>HYPERLINK("http://141.218.60.56/~jnz1568/getInfo.php?workbook=18_08.xlsx&amp;sheet=A0&amp;row=61&amp;col=6&amp;number=20810&amp;sourceID=14","20810")</f>
        <v>20810</v>
      </c>
      <c r="G61" s="4" t="str">
        <f>HYPERLINK("http://141.218.60.56/~jnz1568/getInfo.php?workbook=18_08.xlsx&amp;sheet=A0&amp;row=61&amp;col=7&amp;number=0&amp;sourceID=14","0")</f>
        <v>0</v>
      </c>
    </row>
    <row r="62" spans="1:7">
      <c r="A62" s="3">
        <v>18</v>
      </c>
      <c r="B62" s="3">
        <v>8</v>
      </c>
      <c r="C62" s="3">
        <v>60</v>
      </c>
      <c r="D62" s="3">
        <v>1</v>
      </c>
      <c r="E62" s="3">
        <v>-34.54</v>
      </c>
      <c r="F62" s="4" t="str">
        <f>HYPERLINK("http://141.218.60.56/~jnz1568/getInfo.php?workbook=18_08.xlsx&amp;sheet=A0&amp;row=62&amp;col=6&amp;number=7939000000&amp;sourceID=14","7939000000")</f>
        <v>7939000000</v>
      </c>
      <c r="G62" s="4" t="str">
        <f>HYPERLINK("http://141.218.60.56/~jnz1568/getInfo.php?workbook=18_08.xlsx&amp;sheet=A0&amp;row=62&amp;col=7&amp;number=0&amp;sourceID=14","0")</f>
        <v>0</v>
      </c>
    </row>
    <row r="63" spans="1:7">
      <c r="A63" s="3">
        <v>18</v>
      </c>
      <c r="B63" s="3">
        <v>8</v>
      </c>
      <c r="C63" s="3">
        <v>61</v>
      </c>
      <c r="D63" s="3">
        <v>1</v>
      </c>
      <c r="E63" s="3">
        <v>-34.521</v>
      </c>
      <c r="F63" s="4" t="str">
        <f>HYPERLINK("http://141.218.60.56/~jnz1568/getInfo.php?workbook=18_08.xlsx&amp;sheet=A0&amp;row=63&amp;col=6&amp;number=10980&amp;sourceID=14","10980")</f>
        <v>10980</v>
      </c>
      <c r="G63" s="4" t="str">
        <f>HYPERLINK("http://141.218.60.56/~jnz1568/getInfo.php?workbook=18_08.xlsx&amp;sheet=A0&amp;row=63&amp;col=7&amp;number=0&amp;sourceID=14","0")</f>
        <v>0</v>
      </c>
    </row>
    <row r="64" spans="1:7">
      <c r="A64" s="3">
        <v>18</v>
      </c>
      <c r="B64" s="3">
        <v>8</v>
      </c>
      <c r="C64" s="3">
        <v>63</v>
      </c>
      <c r="D64" s="3">
        <v>1</v>
      </c>
      <c r="E64" s="3">
        <v>-34.46</v>
      </c>
      <c r="F64" s="4" t="str">
        <f>HYPERLINK("http://141.218.60.56/~jnz1568/getInfo.php?workbook=18_08.xlsx&amp;sheet=A0&amp;row=64&amp;col=6&amp;number=4960&amp;sourceID=14","4960")</f>
        <v>4960</v>
      </c>
      <c r="G64" s="4" t="str">
        <f>HYPERLINK("http://141.218.60.56/~jnz1568/getInfo.php?workbook=18_08.xlsx&amp;sheet=A0&amp;row=64&amp;col=7&amp;number=0&amp;sourceID=14","0")</f>
        <v>0</v>
      </c>
    </row>
    <row r="65" spans="1:7">
      <c r="A65" s="3">
        <v>18</v>
      </c>
      <c r="B65" s="3">
        <v>8</v>
      </c>
      <c r="C65" s="3">
        <v>64</v>
      </c>
      <c r="D65" s="3">
        <v>1</v>
      </c>
      <c r="E65" s="3">
        <v>34.344</v>
      </c>
      <c r="F65" s="4" t="str">
        <f>HYPERLINK("http://141.218.60.56/~jnz1568/getInfo.php?workbook=18_08.xlsx&amp;sheet=A0&amp;row=65&amp;col=6&amp;number=134200000000&amp;sourceID=14","134200000000")</f>
        <v>134200000000</v>
      </c>
      <c r="G65" s="4" t="str">
        <f>HYPERLINK("http://141.218.60.56/~jnz1568/getInfo.php?workbook=18_08.xlsx&amp;sheet=A0&amp;row=65&amp;col=7&amp;number=0&amp;sourceID=14","0")</f>
        <v>0</v>
      </c>
    </row>
    <row r="66" spans="1:7">
      <c r="A66" s="3">
        <v>18</v>
      </c>
      <c r="B66" s="3">
        <v>8</v>
      </c>
      <c r="C66" s="3">
        <v>65</v>
      </c>
      <c r="D66" s="3">
        <v>1</v>
      </c>
      <c r="E66" s="3">
        <v>-34.679</v>
      </c>
      <c r="F66" s="4" t="str">
        <f>HYPERLINK("http://141.218.60.56/~jnz1568/getInfo.php?workbook=18_08.xlsx&amp;sheet=A0&amp;row=66&amp;col=6&amp;number=143700&amp;sourceID=14","143700")</f>
        <v>143700</v>
      </c>
      <c r="G66" s="4" t="str">
        <f>HYPERLINK("http://141.218.60.56/~jnz1568/getInfo.php?workbook=18_08.xlsx&amp;sheet=A0&amp;row=66&amp;col=7&amp;number=0&amp;sourceID=14","0")</f>
        <v>0</v>
      </c>
    </row>
    <row r="67" spans="1:7">
      <c r="A67" s="3">
        <v>18</v>
      </c>
      <c r="B67" s="3">
        <v>8</v>
      </c>
      <c r="C67" s="3">
        <v>66</v>
      </c>
      <c r="D67" s="3">
        <v>1</v>
      </c>
      <c r="E67" s="3">
        <v>34.349</v>
      </c>
      <c r="F67" s="4" t="str">
        <f>HYPERLINK("http://141.218.60.56/~jnz1568/getInfo.php?workbook=18_08.xlsx&amp;sheet=A0&amp;row=67&amp;col=6&amp;number=31360000000&amp;sourceID=14","31360000000")</f>
        <v>31360000000</v>
      </c>
      <c r="G67" s="4" t="str">
        <f>HYPERLINK("http://141.218.60.56/~jnz1568/getInfo.php?workbook=18_08.xlsx&amp;sheet=A0&amp;row=67&amp;col=7&amp;number=0&amp;sourceID=14","0")</f>
        <v>0</v>
      </c>
    </row>
    <row r="68" spans="1:7">
      <c r="A68" s="3">
        <v>18</v>
      </c>
      <c r="B68" s="3">
        <v>8</v>
      </c>
      <c r="C68" s="3">
        <v>67</v>
      </c>
      <c r="D68" s="3">
        <v>1</v>
      </c>
      <c r="E68" s="3">
        <v>34.452</v>
      </c>
      <c r="F68" s="4" t="str">
        <f>HYPERLINK("http://141.218.60.56/~jnz1568/getInfo.php?workbook=18_08.xlsx&amp;sheet=A0&amp;row=68&amp;col=6&amp;number=54700000000&amp;sourceID=14","54700000000")</f>
        <v>54700000000</v>
      </c>
      <c r="G68" s="4" t="str">
        <f>HYPERLINK("http://141.218.60.56/~jnz1568/getInfo.php?workbook=18_08.xlsx&amp;sheet=A0&amp;row=68&amp;col=7&amp;number=0&amp;sourceID=14","0")</f>
        <v>0</v>
      </c>
    </row>
    <row r="69" spans="1:7">
      <c r="A69" s="3">
        <v>18</v>
      </c>
      <c r="B69" s="3">
        <v>8</v>
      </c>
      <c r="C69" s="3">
        <v>68</v>
      </c>
      <c r="D69" s="3">
        <v>1</v>
      </c>
      <c r="E69" s="3">
        <v>34.33</v>
      </c>
      <c r="F69" s="4" t="str">
        <f>HYPERLINK("http://141.218.60.56/~jnz1568/getInfo.php?workbook=18_08.xlsx&amp;sheet=A0&amp;row=69&amp;col=6&amp;number=2180000000000&amp;sourceID=14","2180000000000")</f>
        <v>2180000000000</v>
      </c>
      <c r="G69" s="4" t="str">
        <f>HYPERLINK("http://141.218.60.56/~jnz1568/getInfo.php?workbook=18_08.xlsx&amp;sheet=A0&amp;row=69&amp;col=7&amp;number=0&amp;sourceID=14","0")</f>
        <v>0</v>
      </c>
    </row>
    <row r="70" spans="1:7">
      <c r="A70" s="3">
        <v>18</v>
      </c>
      <c r="B70" s="3">
        <v>8</v>
      </c>
      <c r="C70" s="3">
        <v>69</v>
      </c>
      <c r="D70" s="3">
        <v>1</v>
      </c>
      <c r="E70" s="3">
        <v>34.224</v>
      </c>
      <c r="F70" s="4" t="str">
        <f>HYPERLINK("http://141.218.60.56/~jnz1568/getInfo.php?workbook=18_08.xlsx&amp;sheet=A0&amp;row=70&amp;col=6&amp;number=2250000000000&amp;sourceID=14","2250000000000")</f>
        <v>2250000000000</v>
      </c>
      <c r="G70" s="4" t="str">
        <f>HYPERLINK("http://141.218.60.56/~jnz1568/getInfo.php?workbook=18_08.xlsx&amp;sheet=A0&amp;row=70&amp;col=7&amp;number=0&amp;sourceID=14","0")</f>
        <v>0</v>
      </c>
    </row>
    <row r="71" spans="1:7">
      <c r="A71" s="3">
        <v>18</v>
      </c>
      <c r="B71" s="3">
        <v>8</v>
      </c>
      <c r="C71" s="3">
        <v>70</v>
      </c>
      <c r="D71" s="3">
        <v>1</v>
      </c>
      <c r="E71" s="3">
        <v>-34.179</v>
      </c>
      <c r="F71" s="4" t="str">
        <f>HYPERLINK("http://141.218.60.56/~jnz1568/getInfo.php?workbook=18_08.xlsx&amp;sheet=A0&amp;row=71&amp;col=6&amp;number=6644&amp;sourceID=14","6644")</f>
        <v>6644</v>
      </c>
      <c r="G71" s="4" t="str">
        <f>HYPERLINK("http://141.218.60.56/~jnz1568/getInfo.php?workbook=18_08.xlsx&amp;sheet=A0&amp;row=71&amp;col=7&amp;number=0&amp;sourceID=14","0")</f>
        <v>0</v>
      </c>
    </row>
    <row r="72" spans="1:7">
      <c r="A72" s="3">
        <v>18</v>
      </c>
      <c r="B72" s="3">
        <v>8</v>
      </c>
      <c r="C72" s="3">
        <v>71</v>
      </c>
      <c r="D72" s="3">
        <v>1</v>
      </c>
      <c r="E72" s="3">
        <v>34.091</v>
      </c>
      <c r="F72" s="4" t="str">
        <f>HYPERLINK("http://141.218.60.56/~jnz1568/getInfo.php?workbook=18_08.xlsx&amp;sheet=A0&amp;row=72&amp;col=6&amp;number=823100000000&amp;sourceID=14","823100000000")</f>
        <v>823100000000</v>
      </c>
      <c r="G72" s="4" t="str">
        <f>HYPERLINK("http://141.218.60.56/~jnz1568/getInfo.php?workbook=18_08.xlsx&amp;sheet=A0&amp;row=72&amp;col=7&amp;number=0&amp;sourceID=14","0")</f>
        <v>0</v>
      </c>
    </row>
    <row r="73" spans="1:7">
      <c r="A73" s="3">
        <v>18</v>
      </c>
      <c r="B73" s="3">
        <v>8</v>
      </c>
      <c r="C73" s="3">
        <v>72</v>
      </c>
      <c r="D73" s="3">
        <v>1</v>
      </c>
      <c r="E73" s="3">
        <v>34.224</v>
      </c>
      <c r="F73" s="4" t="str">
        <f>HYPERLINK("http://141.218.60.56/~jnz1568/getInfo.php?workbook=18_08.xlsx&amp;sheet=A0&amp;row=73&amp;col=6&amp;number=597400000000&amp;sourceID=14","597400000000")</f>
        <v>597400000000</v>
      </c>
      <c r="G73" s="4" t="str">
        <f>HYPERLINK("http://141.218.60.56/~jnz1568/getInfo.php?workbook=18_08.xlsx&amp;sheet=A0&amp;row=73&amp;col=7&amp;number=0&amp;sourceID=14","0")</f>
        <v>0</v>
      </c>
    </row>
    <row r="74" spans="1:7">
      <c r="A74" s="3">
        <v>18</v>
      </c>
      <c r="B74" s="3">
        <v>8</v>
      </c>
      <c r="C74" s="3">
        <v>73</v>
      </c>
      <c r="D74" s="3">
        <v>1</v>
      </c>
      <c r="E74" s="3">
        <v>34.091</v>
      </c>
      <c r="F74" s="4" t="str">
        <f>HYPERLINK("http://141.218.60.56/~jnz1568/getInfo.php?workbook=18_08.xlsx&amp;sheet=A0&amp;row=74&amp;col=6&amp;number=2027000000000&amp;sourceID=14","2027000000000")</f>
        <v>2027000000000</v>
      </c>
      <c r="G74" s="4" t="str">
        <f>HYPERLINK("http://141.218.60.56/~jnz1568/getInfo.php?workbook=18_08.xlsx&amp;sheet=A0&amp;row=74&amp;col=7&amp;number=0&amp;sourceID=14","0")</f>
        <v>0</v>
      </c>
    </row>
    <row r="75" spans="1:7">
      <c r="A75" s="3">
        <v>18</v>
      </c>
      <c r="B75" s="3">
        <v>8</v>
      </c>
      <c r="C75" s="3">
        <v>74</v>
      </c>
      <c r="D75" s="3">
        <v>1</v>
      </c>
      <c r="E75" s="3">
        <v>33.951</v>
      </c>
      <c r="F75" s="4" t="str">
        <f>HYPERLINK("http://141.218.60.56/~jnz1568/getInfo.php?workbook=18_08.xlsx&amp;sheet=A0&amp;row=75&amp;col=6&amp;number=94960000000&amp;sourceID=14","94960000000")</f>
        <v>94960000000</v>
      </c>
      <c r="G75" s="4" t="str">
        <f>HYPERLINK("http://141.218.60.56/~jnz1568/getInfo.php?workbook=18_08.xlsx&amp;sheet=A0&amp;row=75&amp;col=7&amp;number=0&amp;sourceID=14","0")</f>
        <v>0</v>
      </c>
    </row>
    <row r="76" spans="1:7">
      <c r="A76" s="3">
        <v>18</v>
      </c>
      <c r="B76" s="3">
        <v>8</v>
      </c>
      <c r="C76" s="3">
        <v>75</v>
      </c>
      <c r="D76" s="3">
        <v>1</v>
      </c>
      <c r="E76" s="3">
        <v>-33.912</v>
      </c>
      <c r="F76" s="4" t="str">
        <f>HYPERLINK("http://141.218.60.56/~jnz1568/getInfo.php?workbook=18_08.xlsx&amp;sheet=A0&amp;row=76&amp;col=6&amp;number=1854000000&amp;sourceID=14","1854000000")</f>
        <v>1854000000</v>
      </c>
      <c r="G76" s="4" t="str">
        <f>HYPERLINK("http://141.218.60.56/~jnz1568/getInfo.php?workbook=18_08.xlsx&amp;sheet=A0&amp;row=76&amp;col=7&amp;number=0&amp;sourceID=14","0")</f>
        <v>0</v>
      </c>
    </row>
    <row r="77" spans="1:7">
      <c r="A77" s="3">
        <v>18</v>
      </c>
      <c r="B77" s="3">
        <v>8</v>
      </c>
      <c r="C77" s="3">
        <v>76</v>
      </c>
      <c r="D77" s="3">
        <v>1</v>
      </c>
      <c r="E77" s="3">
        <v>-33.909</v>
      </c>
      <c r="F77" s="4" t="str">
        <f>HYPERLINK("http://141.218.60.56/~jnz1568/getInfo.php?workbook=18_08.xlsx&amp;sheet=A0&amp;row=77&amp;col=6&amp;number=22470&amp;sourceID=14","22470")</f>
        <v>22470</v>
      </c>
      <c r="G77" s="4" t="str">
        <f>HYPERLINK("http://141.218.60.56/~jnz1568/getInfo.php?workbook=18_08.xlsx&amp;sheet=A0&amp;row=77&amp;col=7&amp;number=0&amp;sourceID=14","0")</f>
        <v>0</v>
      </c>
    </row>
    <row r="78" spans="1:7">
      <c r="A78" s="3">
        <v>18</v>
      </c>
      <c r="B78" s="3">
        <v>8</v>
      </c>
      <c r="C78" s="3">
        <v>77</v>
      </c>
      <c r="D78" s="3">
        <v>1</v>
      </c>
      <c r="E78" s="3">
        <v>33.951</v>
      </c>
      <c r="F78" s="4" t="str">
        <f>HYPERLINK("http://141.218.60.56/~jnz1568/getInfo.php?workbook=18_08.xlsx&amp;sheet=A0&amp;row=78&amp;col=6&amp;number=500900000000&amp;sourceID=14","500900000000")</f>
        <v>500900000000</v>
      </c>
      <c r="G78" s="4" t="str">
        <f>HYPERLINK("http://141.218.60.56/~jnz1568/getInfo.php?workbook=18_08.xlsx&amp;sheet=A0&amp;row=78&amp;col=7&amp;number=0&amp;sourceID=14","0")</f>
        <v>0</v>
      </c>
    </row>
    <row r="79" spans="1:7">
      <c r="A79" s="3">
        <v>18</v>
      </c>
      <c r="B79" s="3">
        <v>8</v>
      </c>
      <c r="C79" s="3">
        <v>78</v>
      </c>
      <c r="D79" s="3">
        <v>1</v>
      </c>
      <c r="E79" s="3">
        <v>-33.902</v>
      </c>
      <c r="F79" s="4" t="str">
        <f>HYPERLINK("http://141.218.60.56/~jnz1568/getInfo.php?workbook=18_08.xlsx&amp;sheet=A0&amp;row=79&amp;col=6&amp;number=73220&amp;sourceID=14","73220")</f>
        <v>73220</v>
      </c>
      <c r="G79" s="4" t="str">
        <f>HYPERLINK("http://141.218.60.56/~jnz1568/getInfo.php?workbook=18_08.xlsx&amp;sheet=A0&amp;row=79&amp;col=7&amp;number=0&amp;sourceID=14","0")</f>
        <v>0</v>
      </c>
    </row>
    <row r="80" spans="1:7">
      <c r="A80" s="3">
        <v>18</v>
      </c>
      <c r="B80" s="3">
        <v>8</v>
      </c>
      <c r="C80" s="3">
        <v>79</v>
      </c>
      <c r="D80" s="3">
        <v>1</v>
      </c>
      <c r="E80" s="3">
        <v>-33.868</v>
      </c>
      <c r="F80" s="4" t="str">
        <f>HYPERLINK("http://141.218.60.56/~jnz1568/getInfo.php?workbook=18_08.xlsx&amp;sheet=A0&amp;row=80&amp;col=6&amp;number=746300000&amp;sourceID=14","746300000")</f>
        <v>746300000</v>
      </c>
      <c r="G80" s="4" t="str">
        <f>HYPERLINK("http://141.218.60.56/~jnz1568/getInfo.php?workbook=18_08.xlsx&amp;sheet=A0&amp;row=80&amp;col=7&amp;number=0&amp;sourceID=14","0")</f>
        <v>0</v>
      </c>
    </row>
    <row r="81" spans="1:7">
      <c r="A81" s="3">
        <v>18</v>
      </c>
      <c r="B81" s="3">
        <v>8</v>
      </c>
      <c r="C81" s="3">
        <v>80</v>
      </c>
      <c r="D81" s="3">
        <v>1</v>
      </c>
      <c r="E81" s="3">
        <v>-33.846</v>
      </c>
      <c r="F81" s="4" t="str">
        <f>HYPERLINK("http://141.218.60.56/~jnz1568/getInfo.php?workbook=18_08.xlsx&amp;sheet=A0&amp;row=81&amp;col=6&amp;number=8104000000&amp;sourceID=14","8104000000")</f>
        <v>8104000000</v>
      </c>
      <c r="G81" s="4" t="str">
        <f>HYPERLINK("http://141.218.60.56/~jnz1568/getInfo.php?workbook=18_08.xlsx&amp;sheet=A0&amp;row=81&amp;col=7&amp;number=0&amp;sourceID=14","0")</f>
        <v>0</v>
      </c>
    </row>
    <row r="82" spans="1:7">
      <c r="A82" s="3">
        <v>18</v>
      </c>
      <c r="B82" s="3">
        <v>8</v>
      </c>
      <c r="C82" s="3">
        <v>81</v>
      </c>
      <c r="D82" s="3">
        <v>1</v>
      </c>
      <c r="E82" s="3">
        <v>33.723</v>
      </c>
      <c r="F82" s="4" t="str">
        <f>HYPERLINK("http://141.218.60.56/~jnz1568/getInfo.php?workbook=18_08.xlsx&amp;sheet=A0&amp;row=82&amp;col=6&amp;number=323000000000&amp;sourceID=14","323000000000")</f>
        <v>323000000000</v>
      </c>
      <c r="G82" s="4" t="str">
        <f>HYPERLINK("http://141.218.60.56/~jnz1568/getInfo.php?workbook=18_08.xlsx&amp;sheet=A0&amp;row=82&amp;col=7&amp;number=0&amp;sourceID=14","0")</f>
        <v>0</v>
      </c>
    </row>
    <row r="83" spans="1:7">
      <c r="A83" s="3">
        <v>18</v>
      </c>
      <c r="B83" s="3">
        <v>8</v>
      </c>
      <c r="C83" s="3">
        <v>82</v>
      </c>
      <c r="D83" s="3">
        <v>1</v>
      </c>
      <c r="E83" s="3">
        <v>33.679</v>
      </c>
      <c r="F83" s="4" t="str">
        <f>HYPERLINK("http://141.218.60.56/~jnz1568/getInfo.php?workbook=18_08.xlsx&amp;sheet=A0&amp;row=83&amp;col=6&amp;number=841700000000&amp;sourceID=14","841700000000")</f>
        <v>841700000000</v>
      </c>
      <c r="G83" s="4" t="str">
        <f>HYPERLINK("http://141.218.60.56/~jnz1568/getInfo.php?workbook=18_08.xlsx&amp;sheet=A0&amp;row=83&amp;col=7&amp;number=0&amp;sourceID=14","0")</f>
        <v>0</v>
      </c>
    </row>
    <row r="84" spans="1:7">
      <c r="A84" s="3">
        <v>18</v>
      </c>
      <c r="B84" s="3">
        <v>8</v>
      </c>
      <c r="C84" s="3">
        <v>83</v>
      </c>
      <c r="D84" s="3">
        <v>1</v>
      </c>
      <c r="E84" s="3">
        <v>33.568</v>
      </c>
      <c r="F84" s="4" t="str">
        <f>HYPERLINK("http://141.218.60.56/~jnz1568/getInfo.php?workbook=18_08.xlsx&amp;sheet=A0&amp;row=84&amp;col=6&amp;number=38170000000&amp;sourceID=14","38170000000")</f>
        <v>38170000000</v>
      </c>
      <c r="G84" s="4" t="str">
        <f>HYPERLINK("http://141.218.60.56/~jnz1568/getInfo.php?workbook=18_08.xlsx&amp;sheet=A0&amp;row=84&amp;col=7&amp;number=0&amp;sourceID=14","0")</f>
        <v>0</v>
      </c>
    </row>
    <row r="85" spans="1:7">
      <c r="A85" s="3">
        <v>18</v>
      </c>
      <c r="B85" s="3">
        <v>8</v>
      </c>
      <c r="C85" s="3">
        <v>84</v>
      </c>
      <c r="D85" s="3">
        <v>1</v>
      </c>
      <c r="E85" s="3">
        <v>33.676</v>
      </c>
      <c r="F85" s="4" t="str">
        <f>HYPERLINK("http://141.218.60.56/~jnz1568/getInfo.php?workbook=18_08.xlsx&amp;sheet=A0&amp;row=85&amp;col=6&amp;number=26120000000&amp;sourceID=14","26120000000")</f>
        <v>26120000000</v>
      </c>
      <c r="G85" s="4" t="str">
        <f>HYPERLINK("http://141.218.60.56/~jnz1568/getInfo.php?workbook=18_08.xlsx&amp;sheet=A0&amp;row=85&amp;col=7&amp;number=0&amp;sourceID=14","0")</f>
        <v>0</v>
      </c>
    </row>
    <row r="86" spans="1:7">
      <c r="A86" s="3">
        <v>18</v>
      </c>
      <c r="B86" s="3">
        <v>8</v>
      </c>
      <c r="C86" s="3">
        <v>85</v>
      </c>
      <c r="D86" s="3">
        <v>1</v>
      </c>
      <c r="E86" s="3">
        <v>33.504</v>
      </c>
      <c r="F86" s="4" t="str">
        <f>HYPERLINK("http://141.218.60.56/~jnz1568/getInfo.php?workbook=18_08.xlsx&amp;sheet=A0&amp;row=86&amp;col=6&amp;number=24400000000&amp;sourceID=14","24400000000")</f>
        <v>24400000000</v>
      </c>
      <c r="G86" s="4" t="str">
        <f>HYPERLINK("http://141.218.60.56/~jnz1568/getInfo.php?workbook=18_08.xlsx&amp;sheet=A0&amp;row=86&amp;col=7&amp;number=0&amp;sourceID=14","0")</f>
        <v>0</v>
      </c>
    </row>
    <row r="87" spans="1:7">
      <c r="A87" s="3">
        <v>18</v>
      </c>
      <c r="B87" s="3">
        <v>8</v>
      </c>
      <c r="C87" s="3">
        <v>86</v>
      </c>
      <c r="D87" s="3">
        <v>1</v>
      </c>
      <c r="E87" s="3">
        <v>33.163</v>
      </c>
      <c r="F87" s="4" t="str">
        <f>HYPERLINK("http://141.218.60.56/~jnz1568/getInfo.php?workbook=18_08.xlsx&amp;sheet=A0&amp;row=87&amp;col=6&amp;number=46460000&amp;sourceID=14","46460000")</f>
        <v>46460000</v>
      </c>
      <c r="G87" s="4" t="str">
        <f>HYPERLINK("http://141.218.60.56/~jnz1568/getInfo.php?workbook=18_08.xlsx&amp;sheet=A0&amp;row=87&amp;col=7&amp;number=0&amp;sourceID=14","0")</f>
        <v>0</v>
      </c>
    </row>
    <row r="88" spans="1:7">
      <c r="A88" s="3">
        <v>18</v>
      </c>
      <c r="B88" s="3">
        <v>8</v>
      </c>
      <c r="C88" s="3">
        <v>3</v>
      </c>
      <c r="D88" s="3">
        <v>2</v>
      </c>
      <c r="E88" s="3">
        <v>25960.539</v>
      </c>
      <c r="F88" s="4" t="str">
        <f>HYPERLINK("http://141.218.60.56/~jnz1568/getInfo.php?workbook=18_08.xlsx&amp;sheet=A0&amp;row=88&amp;col=6&amp;number=3.022&amp;sourceID=14","3.022")</f>
        <v>3.022</v>
      </c>
      <c r="G88" s="4" t="str">
        <f>HYPERLINK("http://141.218.60.56/~jnz1568/getInfo.php?workbook=18_08.xlsx&amp;sheet=A0&amp;row=88&amp;col=7&amp;number=0&amp;sourceID=14","0")</f>
        <v>0</v>
      </c>
    </row>
    <row r="89" spans="1:7">
      <c r="A89" s="3">
        <v>18</v>
      </c>
      <c r="B89" s="3">
        <v>8</v>
      </c>
      <c r="C89" s="3">
        <v>4</v>
      </c>
      <c r="D89" s="3">
        <v>2</v>
      </c>
      <c r="E89" s="3">
        <v>1742.798</v>
      </c>
      <c r="F89" s="4" t="str">
        <f>HYPERLINK("http://141.218.60.56/~jnz1568/getInfo.php?workbook=18_08.xlsx&amp;sheet=A0&amp;row=89&amp;col=6&amp;number=38.52&amp;sourceID=14","38.52")</f>
        <v>38.52</v>
      </c>
      <c r="G89" s="4" t="str">
        <f>HYPERLINK("http://141.218.60.56/~jnz1568/getInfo.php?workbook=18_08.xlsx&amp;sheet=A0&amp;row=89&amp;col=7&amp;number=0&amp;sourceID=14","0")</f>
        <v>0</v>
      </c>
    </row>
    <row r="90" spans="1:7">
      <c r="A90" s="3">
        <v>18</v>
      </c>
      <c r="B90" s="3">
        <v>8</v>
      </c>
      <c r="C90" s="3">
        <v>5</v>
      </c>
      <c r="D90" s="3">
        <v>2</v>
      </c>
      <c r="E90" s="3">
        <v>745.946</v>
      </c>
      <c r="F90" s="4" t="str">
        <f>HYPERLINK("http://141.218.60.56/~jnz1568/getInfo.php?workbook=18_08.xlsx&amp;sheet=A0&amp;row=90&amp;col=6&amp;number=2579&amp;sourceID=14","2579")</f>
        <v>2579</v>
      </c>
      <c r="G90" s="4" t="str">
        <f>HYPERLINK("http://141.218.60.56/~jnz1568/getInfo.php?workbook=18_08.xlsx&amp;sheet=A0&amp;row=90&amp;col=7&amp;number=0&amp;sourceID=14","0")</f>
        <v>0</v>
      </c>
    </row>
    <row r="91" spans="1:7">
      <c r="A91" s="3">
        <v>18</v>
      </c>
      <c r="B91" s="3">
        <v>8</v>
      </c>
      <c r="C91" s="3">
        <v>6</v>
      </c>
      <c r="D91" s="3">
        <v>2</v>
      </c>
      <c r="E91" s="3">
        <v>194.104</v>
      </c>
      <c r="F91" s="4" t="str">
        <f>HYPERLINK("http://141.218.60.56/~jnz1568/getInfo.php?workbook=18_08.xlsx&amp;sheet=A0&amp;row=91&amp;col=6&amp;number=5198000000&amp;sourceID=14","5198000000")</f>
        <v>5198000000</v>
      </c>
      <c r="G91" s="4" t="str">
        <f>HYPERLINK("http://141.218.60.56/~jnz1568/getInfo.php?workbook=18_08.xlsx&amp;sheet=A0&amp;row=91&amp;col=7&amp;number=0&amp;sourceID=14","0")</f>
        <v>0</v>
      </c>
    </row>
    <row r="92" spans="1:7">
      <c r="A92" s="3">
        <v>18</v>
      </c>
      <c r="B92" s="3">
        <v>8</v>
      </c>
      <c r="C92" s="3">
        <v>7</v>
      </c>
      <c r="D92" s="3">
        <v>2</v>
      </c>
      <c r="E92" s="3">
        <v>189.58</v>
      </c>
      <c r="F92" s="4" t="str">
        <f>HYPERLINK("http://141.218.60.56/~jnz1568/getInfo.php?workbook=18_08.xlsx&amp;sheet=A0&amp;row=92&amp;col=6&amp;number=5580000000&amp;sourceID=14","5580000000")</f>
        <v>5580000000</v>
      </c>
      <c r="G92" s="4" t="str">
        <f>HYPERLINK("http://141.218.60.56/~jnz1568/getInfo.php?workbook=18_08.xlsx&amp;sheet=A0&amp;row=92&amp;col=7&amp;number=0&amp;sourceID=14","0")</f>
        <v>0</v>
      </c>
    </row>
    <row r="93" spans="1:7">
      <c r="A93" s="3">
        <v>18</v>
      </c>
      <c r="B93" s="3">
        <v>8</v>
      </c>
      <c r="C93" s="3">
        <v>8</v>
      </c>
      <c r="D93" s="3">
        <v>2</v>
      </c>
      <c r="E93" s="3">
        <v>187.09</v>
      </c>
      <c r="F93" s="4" t="str">
        <f>HYPERLINK("http://141.218.60.56/~jnz1568/getInfo.php?workbook=18_08.xlsx&amp;sheet=A0&amp;row=93&amp;col=6&amp;number=23320000000&amp;sourceID=14","23320000000")</f>
        <v>23320000000</v>
      </c>
      <c r="G93" s="4" t="str">
        <f>HYPERLINK("http://141.218.60.56/~jnz1568/getInfo.php?workbook=18_08.xlsx&amp;sheet=A0&amp;row=93&amp;col=7&amp;number=0&amp;sourceID=14","0")</f>
        <v>0</v>
      </c>
    </row>
    <row r="94" spans="1:7">
      <c r="A94" s="3">
        <v>18</v>
      </c>
      <c r="B94" s="3">
        <v>8</v>
      </c>
      <c r="C94" s="3">
        <v>9</v>
      </c>
      <c r="D94" s="3">
        <v>2</v>
      </c>
      <c r="E94" s="3">
        <v>139.683</v>
      </c>
      <c r="F94" s="4" t="str">
        <f>HYPERLINK("http://141.218.60.56/~jnz1568/getInfo.php?workbook=18_08.xlsx&amp;sheet=A0&amp;row=94&amp;col=6&amp;number=31520000&amp;sourceID=14","31520000")</f>
        <v>31520000</v>
      </c>
      <c r="G94" s="4" t="str">
        <f>HYPERLINK("http://141.218.60.56/~jnz1568/getInfo.php?workbook=18_08.xlsx&amp;sheet=A0&amp;row=94&amp;col=7&amp;number=0&amp;sourceID=14","0")</f>
        <v>0</v>
      </c>
    </row>
    <row r="95" spans="1:7">
      <c r="A95" s="3">
        <v>18</v>
      </c>
      <c r="B95" s="3">
        <v>8</v>
      </c>
      <c r="C95" s="3">
        <v>10</v>
      </c>
      <c r="D95" s="3">
        <v>2</v>
      </c>
      <c r="E95" s="3">
        <v>81.896</v>
      </c>
      <c r="F95" s="4" t="str">
        <f>HYPERLINK("http://141.218.60.56/~jnz1568/getInfo.php?workbook=18_08.xlsx&amp;sheet=A0&amp;row=95&amp;col=6&amp;number=559.8&amp;sourceID=14","559.8")</f>
        <v>559.8</v>
      </c>
      <c r="G95" s="4" t="str">
        <f>HYPERLINK("http://141.218.60.56/~jnz1568/getInfo.php?workbook=18_08.xlsx&amp;sheet=A0&amp;row=95&amp;col=7&amp;number=0&amp;sourceID=14","0")</f>
        <v>0</v>
      </c>
    </row>
    <row r="96" spans="1:7">
      <c r="A96" s="3">
        <v>18</v>
      </c>
      <c r="B96" s="3">
        <v>8</v>
      </c>
      <c r="C96" s="3">
        <v>11</v>
      </c>
      <c r="D96" s="3">
        <v>2</v>
      </c>
      <c r="E96" s="3">
        <v>40.505</v>
      </c>
      <c r="F96" s="4" t="str">
        <f>HYPERLINK("http://141.218.60.56/~jnz1568/getInfo.php?workbook=18_08.xlsx&amp;sheet=A0&amp;row=96&amp;col=6&amp;number=237900000&amp;sourceID=14","237900000")</f>
        <v>237900000</v>
      </c>
      <c r="G96" s="4" t="str">
        <f>HYPERLINK("http://141.218.60.56/~jnz1568/getInfo.php?workbook=18_08.xlsx&amp;sheet=A0&amp;row=96&amp;col=7&amp;number=0&amp;sourceID=14","0")</f>
        <v>0</v>
      </c>
    </row>
    <row r="97" spans="1:7">
      <c r="A97" s="3">
        <v>18</v>
      </c>
      <c r="B97" s="3">
        <v>8</v>
      </c>
      <c r="C97" s="3">
        <v>12</v>
      </c>
      <c r="D97" s="3">
        <v>2</v>
      </c>
      <c r="E97" s="3">
        <v>39.895</v>
      </c>
      <c r="F97" s="4" t="str">
        <f>HYPERLINK("http://141.218.60.56/~jnz1568/getInfo.php?workbook=18_08.xlsx&amp;sheet=A0&amp;row=97&amp;col=6&amp;number=177000000000&amp;sourceID=14","177000000000")</f>
        <v>177000000000</v>
      </c>
      <c r="G97" s="4" t="str">
        <f>HYPERLINK("http://141.218.60.56/~jnz1568/getInfo.php?workbook=18_08.xlsx&amp;sheet=A0&amp;row=97&amp;col=7&amp;number=0&amp;sourceID=14","0")</f>
        <v>0</v>
      </c>
    </row>
    <row r="98" spans="1:7">
      <c r="A98" s="3">
        <v>18</v>
      </c>
      <c r="B98" s="3">
        <v>8</v>
      </c>
      <c r="C98" s="3">
        <v>13</v>
      </c>
      <c r="D98" s="3">
        <v>2</v>
      </c>
      <c r="E98" s="3">
        <v>38.87</v>
      </c>
      <c r="F98" s="4" t="str">
        <f>HYPERLINK("http://141.218.60.56/~jnz1568/getInfo.php?workbook=18_08.xlsx&amp;sheet=A0&amp;row=98&amp;col=6&amp;number=105600000000&amp;sourceID=14","105600000000")</f>
        <v>105600000000</v>
      </c>
      <c r="G98" s="4" t="str">
        <f>HYPERLINK("http://141.218.60.56/~jnz1568/getInfo.php?workbook=18_08.xlsx&amp;sheet=A0&amp;row=98&amp;col=7&amp;number=0&amp;sourceID=14","0")</f>
        <v>0</v>
      </c>
    </row>
    <row r="99" spans="1:7">
      <c r="A99" s="3">
        <v>18</v>
      </c>
      <c r="B99" s="3">
        <v>8</v>
      </c>
      <c r="C99" s="3">
        <v>14</v>
      </c>
      <c r="D99" s="3">
        <v>2</v>
      </c>
      <c r="E99" s="3">
        <v>38.851</v>
      </c>
      <c r="F99" s="4" t="str">
        <f>HYPERLINK("http://141.218.60.56/~jnz1568/getInfo.php?workbook=18_08.xlsx&amp;sheet=A0&amp;row=99&amp;col=6&amp;number=96320000000&amp;sourceID=14","96320000000")</f>
        <v>96320000000</v>
      </c>
      <c r="G99" s="4" t="str">
        <f>HYPERLINK("http://141.218.60.56/~jnz1568/getInfo.php?workbook=18_08.xlsx&amp;sheet=A0&amp;row=99&amp;col=7&amp;number=0&amp;sourceID=14","0")</f>
        <v>0</v>
      </c>
    </row>
    <row r="100" spans="1:7">
      <c r="A100" s="3">
        <v>18</v>
      </c>
      <c r="B100" s="3">
        <v>8</v>
      </c>
      <c r="C100" s="3">
        <v>15</v>
      </c>
      <c r="D100" s="3">
        <v>2</v>
      </c>
      <c r="E100" s="3">
        <v>38.832</v>
      </c>
      <c r="F100" s="4" t="str">
        <f>HYPERLINK("http://141.218.60.56/~jnz1568/getInfo.php?workbook=18_08.xlsx&amp;sheet=A0&amp;row=100&amp;col=6&amp;number=2449&amp;sourceID=14","2449")</f>
        <v>2449</v>
      </c>
      <c r="G100" s="4" t="str">
        <f>HYPERLINK("http://141.218.60.56/~jnz1568/getInfo.php?workbook=18_08.xlsx&amp;sheet=A0&amp;row=100&amp;col=7&amp;number=0&amp;sourceID=14","0")</f>
        <v>0</v>
      </c>
    </row>
    <row r="101" spans="1:7">
      <c r="A101" s="3">
        <v>18</v>
      </c>
      <c r="B101" s="3">
        <v>8</v>
      </c>
      <c r="C101" s="3">
        <v>16</v>
      </c>
      <c r="D101" s="3">
        <v>2</v>
      </c>
      <c r="E101" s="3">
        <v>38.615</v>
      </c>
      <c r="F101" s="4" t="str">
        <f>HYPERLINK("http://141.218.60.56/~jnz1568/getInfo.php?workbook=18_08.xlsx&amp;sheet=A0&amp;row=101&amp;col=6&amp;number=11940000000&amp;sourceID=14","11940000000")</f>
        <v>11940000000</v>
      </c>
      <c r="G101" s="4" t="str">
        <f>HYPERLINK("http://141.218.60.56/~jnz1568/getInfo.php?workbook=18_08.xlsx&amp;sheet=A0&amp;row=101&amp;col=7&amp;number=0&amp;sourceID=14","0")</f>
        <v>0</v>
      </c>
    </row>
    <row r="102" spans="1:7">
      <c r="A102" s="3">
        <v>18</v>
      </c>
      <c r="B102" s="3">
        <v>8</v>
      </c>
      <c r="C102" s="3">
        <v>17</v>
      </c>
      <c r="D102" s="3">
        <v>2</v>
      </c>
      <c r="E102" s="3">
        <v>38.393</v>
      </c>
      <c r="F102" s="4" t="str">
        <f>HYPERLINK("http://141.218.60.56/~jnz1568/getInfo.php?workbook=18_08.xlsx&amp;sheet=A0&amp;row=102&amp;col=6&amp;number=183600&amp;sourceID=14","183600")</f>
        <v>183600</v>
      </c>
      <c r="G102" s="4" t="str">
        <f>HYPERLINK("http://141.218.60.56/~jnz1568/getInfo.php?workbook=18_08.xlsx&amp;sheet=A0&amp;row=102&amp;col=7&amp;number=0&amp;sourceID=14","0")</f>
        <v>0</v>
      </c>
    </row>
    <row r="103" spans="1:7">
      <c r="A103" s="3">
        <v>18</v>
      </c>
      <c r="B103" s="3">
        <v>8</v>
      </c>
      <c r="C103" s="3">
        <v>18</v>
      </c>
      <c r="D103" s="3">
        <v>2</v>
      </c>
      <c r="E103" s="3">
        <v>38.377</v>
      </c>
      <c r="F103" s="4" t="str">
        <f>HYPERLINK("http://141.218.60.56/~jnz1568/getInfo.php?workbook=18_08.xlsx&amp;sheet=A0&amp;row=103&amp;col=6&amp;number=969300&amp;sourceID=14","969300")</f>
        <v>969300</v>
      </c>
      <c r="G103" s="4" t="str">
        <f>HYPERLINK("http://141.218.60.56/~jnz1568/getInfo.php?workbook=18_08.xlsx&amp;sheet=A0&amp;row=103&amp;col=7&amp;number=0&amp;sourceID=14","0")</f>
        <v>0</v>
      </c>
    </row>
    <row r="104" spans="1:7">
      <c r="A104" s="3">
        <v>18</v>
      </c>
      <c r="B104" s="3">
        <v>8</v>
      </c>
      <c r="C104" s="3">
        <v>19</v>
      </c>
      <c r="D104" s="3">
        <v>2</v>
      </c>
      <c r="E104" s="3">
        <v>38.341</v>
      </c>
      <c r="F104" s="4" t="str">
        <f>HYPERLINK("http://141.218.60.56/~jnz1568/getInfo.php?workbook=18_08.xlsx&amp;sheet=A0&amp;row=104&amp;col=6&amp;number=117900&amp;sourceID=14","117900")</f>
        <v>117900</v>
      </c>
      <c r="G104" s="4" t="str">
        <f>HYPERLINK("http://141.218.60.56/~jnz1568/getInfo.php?workbook=18_08.xlsx&amp;sheet=A0&amp;row=104&amp;col=7&amp;number=0&amp;sourceID=14","0")</f>
        <v>0</v>
      </c>
    </row>
    <row r="105" spans="1:7">
      <c r="A105" s="3">
        <v>18</v>
      </c>
      <c r="B105" s="3">
        <v>8</v>
      </c>
      <c r="C105" s="3">
        <v>20</v>
      </c>
      <c r="D105" s="3">
        <v>2</v>
      </c>
      <c r="E105" s="3">
        <v>-37.983</v>
      </c>
      <c r="F105" s="4" t="str">
        <f>HYPERLINK("http://141.218.60.56/~jnz1568/getInfo.php?workbook=18_08.xlsx&amp;sheet=A0&amp;row=105&amp;col=6&amp;number=29740000&amp;sourceID=14","29740000")</f>
        <v>29740000</v>
      </c>
      <c r="G105" s="4" t="str">
        <f>HYPERLINK("http://141.218.60.56/~jnz1568/getInfo.php?workbook=18_08.xlsx&amp;sheet=A0&amp;row=105&amp;col=7&amp;number=0&amp;sourceID=14","0")</f>
        <v>0</v>
      </c>
    </row>
    <row r="106" spans="1:7">
      <c r="A106" s="3">
        <v>18</v>
      </c>
      <c r="B106" s="3">
        <v>8</v>
      </c>
      <c r="C106" s="3">
        <v>21</v>
      </c>
      <c r="D106" s="3">
        <v>2</v>
      </c>
      <c r="E106" s="3">
        <v>-37.965</v>
      </c>
      <c r="F106" s="4" t="str">
        <f>HYPERLINK("http://141.218.60.56/~jnz1568/getInfo.php?workbook=18_08.xlsx&amp;sheet=A0&amp;row=106&amp;col=6&amp;number=57830000&amp;sourceID=14","57830000")</f>
        <v>57830000</v>
      </c>
      <c r="G106" s="4" t="str">
        <f>HYPERLINK("http://141.218.60.56/~jnz1568/getInfo.php?workbook=18_08.xlsx&amp;sheet=A0&amp;row=106&amp;col=7&amp;number=0&amp;sourceID=14","0")</f>
        <v>0</v>
      </c>
    </row>
    <row r="107" spans="1:7">
      <c r="A107" s="3">
        <v>18</v>
      </c>
      <c r="B107" s="3">
        <v>8</v>
      </c>
      <c r="C107" s="3">
        <v>22</v>
      </c>
      <c r="D107" s="3">
        <v>2</v>
      </c>
      <c r="E107" s="3">
        <v>-37.957</v>
      </c>
      <c r="F107" s="4" t="str">
        <f>HYPERLINK("http://141.218.60.56/~jnz1568/getInfo.php?workbook=18_08.xlsx&amp;sheet=A0&amp;row=107&amp;col=6&amp;number=198.8&amp;sourceID=14","198.8")</f>
        <v>198.8</v>
      </c>
      <c r="G107" s="4" t="str">
        <f>HYPERLINK("http://141.218.60.56/~jnz1568/getInfo.php?workbook=18_08.xlsx&amp;sheet=A0&amp;row=107&amp;col=7&amp;number=0&amp;sourceID=14","0")</f>
        <v>0</v>
      </c>
    </row>
    <row r="108" spans="1:7">
      <c r="A108" s="3">
        <v>18</v>
      </c>
      <c r="B108" s="3">
        <v>8</v>
      </c>
      <c r="C108" s="3">
        <v>23</v>
      </c>
      <c r="D108" s="3">
        <v>2</v>
      </c>
      <c r="E108" s="3">
        <v>-38.176</v>
      </c>
      <c r="F108" s="4" t="str">
        <f>HYPERLINK("http://141.218.60.56/~jnz1568/getInfo.php?workbook=18_08.xlsx&amp;sheet=A0&amp;row=108&amp;col=6&amp;number=177600000000&amp;sourceID=14","177600000000")</f>
        <v>177600000000</v>
      </c>
      <c r="G108" s="4" t="str">
        <f>HYPERLINK("http://141.218.60.56/~jnz1568/getInfo.php?workbook=18_08.xlsx&amp;sheet=A0&amp;row=108&amp;col=7&amp;number=0&amp;sourceID=14","0")</f>
        <v>0</v>
      </c>
    </row>
    <row r="109" spans="1:7">
      <c r="A109" s="3">
        <v>18</v>
      </c>
      <c r="B109" s="3">
        <v>8</v>
      </c>
      <c r="C109" s="3">
        <v>24</v>
      </c>
      <c r="D109" s="3">
        <v>2</v>
      </c>
      <c r="E109" s="3">
        <v>-38.153</v>
      </c>
      <c r="F109" s="4" t="str">
        <f>HYPERLINK("http://141.218.60.56/~jnz1568/getInfo.php?workbook=18_08.xlsx&amp;sheet=A0&amp;row=109&amp;col=6&amp;number=35450000000&amp;sourceID=14","35450000000")</f>
        <v>35450000000</v>
      </c>
      <c r="G109" s="4" t="str">
        <f>HYPERLINK("http://141.218.60.56/~jnz1568/getInfo.php?workbook=18_08.xlsx&amp;sheet=A0&amp;row=109&amp;col=7&amp;number=0&amp;sourceID=14","0")</f>
        <v>0</v>
      </c>
    </row>
    <row r="110" spans="1:7">
      <c r="A110" s="3">
        <v>18</v>
      </c>
      <c r="B110" s="3">
        <v>8</v>
      </c>
      <c r="C110" s="3">
        <v>25</v>
      </c>
      <c r="D110" s="3">
        <v>2</v>
      </c>
      <c r="E110" s="3">
        <v>38.018</v>
      </c>
      <c r="F110" s="4" t="str">
        <f>HYPERLINK("http://141.218.60.56/~jnz1568/getInfo.php?workbook=18_08.xlsx&amp;sheet=A0&amp;row=110&amp;col=6&amp;number=77650000000&amp;sourceID=14","77650000000")</f>
        <v>77650000000</v>
      </c>
      <c r="G110" s="4" t="str">
        <f>HYPERLINK("http://141.218.60.56/~jnz1568/getInfo.php?workbook=18_08.xlsx&amp;sheet=A0&amp;row=110&amp;col=7&amp;number=0&amp;sourceID=14","0")</f>
        <v>0</v>
      </c>
    </row>
    <row r="111" spans="1:7">
      <c r="A111" s="3">
        <v>18</v>
      </c>
      <c r="B111" s="3">
        <v>8</v>
      </c>
      <c r="C111" s="3">
        <v>26</v>
      </c>
      <c r="D111" s="3">
        <v>2</v>
      </c>
      <c r="E111" s="3">
        <v>37.946</v>
      </c>
      <c r="F111" s="4" t="str">
        <f>HYPERLINK("http://141.218.60.56/~jnz1568/getInfo.php?workbook=18_08.xlsx&amp;sheet=A0&amp;row=111&amp;col=6&amp;number=18490000&amp;sourceID=14","18490000")</f>
        <v>18490000</v>
      </c>
      <c r="G111" s="4" t="str">
        <f>HYPERLINK("http://141.218.60.56/~jnz1568/getInfo.php?workbook=18_08.xlsx&amp;sheet=A0&amp;row=111&amp;col=7&amp;number=0&amp;sourceID=14","0")</f>
        <v>0</v>
      </c>
    </row>
    <row r="112" spans="1:7">
      <c r="A112" s="3">
        <v>18</v>
      </c>
      <c r="B112" s="3">
        <v>8</v>
      </c>
      <c r="C112" s="3">
        <v>27</v>
      </c>
      <c r="D112" s="3">
        <v>2</v>
      </c>
      <c r="E112" s="3">
        <v>-37.027</v>
      </c>
      <c r="F112" s="4" t="str">
        <f>HYPERLINK("http://141.218.60.56/~jnz1568/getInfo.php?workbook=18_08.xlsx&amp;sheet=A0&amp;row=112&amp;col=6&amp;number=16910000&amp;sourceID=14","16910000")</f>
        <v>16910000</v>
      </c>
      <c r="G112" s="4" t="str">
        <f>HYPERLINK("http://141.218.60.56/~jnz1568/getInfo.php?workbook=18_08.xlsx&amp;sheet=A0&amp;row=112&amp;col=7&amp;number=0&amp;sourceID=14","0")</f>
        <v>0</v>
      </c>
    </row>
    <row r="113" spans="1:7">
      <c r="A113" s="3">
        <v>18</v>
      </c>
      <c r="B113" s="3">
        <v>8</v>
      </c>
      <c r="C113" s="3">
        <v>28</v>
      </c>
      <c r="D113" s="3">
        <v>2</v>
      </c>
      <c r="E113" s="3">
        <v>-37.073</v>
      </c>
      <c r="F113" s="4" t="str">
        <f>HYPERLINK("http://141.218.60.56/~jnz1568/getInfo.php?workbook=18_08.xlsx&amp;sheet=A0&amp;row=113&amp;col=6&amp;number=10500000&amp;sourceID=14","10500000")</f>
        <v>10500000</v>
      </c>
      <c r="G113" s="4" t="str">
        <f>HYPERLINK("http://141.218.60.56/~jnz1568/getInfo.php?workbook=18_08.xlsx&amp;sheet=A0&amp;row=113&amp;col=7&amp;number=0&amp;sourceID=14","0")</f>
        <v>0</v>
      </c>
    </row>
    <row r="114" spans="1:7">
      <c r="A114" s="3">
        <v>18</v>
      </c>
      <c r="B114" s="3">
        <v>8</v>
      </c>
      <c r="C114" s="3">
        <v>29</v>
      </c>
      <c r="D114" s="3">
        <v>2</v>
      </c>
      <c r="E114" s="3">
        <v>-37.017</v>
      </c>
      <c r="F114" s="4" t="str">
        <f>HYPERLINK("http://141.218.60.56/~jnz1568/getInfo.php?workbook=18_08.xlsx&amp;sheet=A0&amp;row=114&amp;col=6&amp;number=603300&amp;sourceID=14","603300")</f>
        <v>603300</v>
      </c>
      <c r="G114" s="4" t="str">
        <f>HYPERLINK("http://141.218.60.56/~jnz1568/getInfo.php?workbook=18_08.xlsx&amp;sheet=A0&amp;row=114&amp;col=7&amp;number=0&amp;sourceID=14","0")</f>
        <v>0</v>
      </c>
    </row>
    <row r="115" spans="1:7">
      <c r="A115" s="3">
        <v>18</v>
      </c>
      <c r="B115" s="3">
        <v>8</v>
      </c>
      <c r="C115" s="3">
        <v>30</v>
      </c>
      <c r="D115" s="3">
        <v>2</v>
      </c>
      <c r="E115" s="3">
        <v>-37.191</v>
      </c>
      <c r="F115" s="4" t="str">
        <f>HYPERLINK("http://141.218.60.56/~jnz1568/getInfo.php?workbook=18_08.xlsx&amp;sheet=A0&amp;row=115&amp;col=6&amp;number=14580000&amp;sourceID=14","14580000")</f>
        <v>14580000</v>
      </c>
      <c r="G115" s="4" t="str">
        <f>HYPERLINK("http://141.218.60.56/~jnz1568/getInfo.php?workbook=18_08.xlsx&amp;sheet=A0&amp;row=115&amp;col=7&amp;number=0&amp;sourceID=14","0")</f>
        <v>0</v>
      </c>
    </row>
    <row r="116" spans="1:7">
      <c r="A116" s="3">
        <v>18</v>
      </c>
      <c r="B116" s="3">
        <v>8</v>
      </c>
      <c r="C116" s="3">
        <v>31</v>
      </c>
      <c r="D116" s="3">
        <v>2</v>
      </c>
      <c r="E116" s="3">
        <v>-36.933</v>
      </c>
      <c r="F116" s="4" t="str">
        <f>HYPERLINK("http://141.218.60.56/~jnz1568/getInfo.php?workbook=18_08.xlsx&amp;sheet=A0&amp;row=116&amp;col=6&amp;number=31950000&amp;sourceID=14","31950000")</f>
        <v>31950000</v>
      </c>
      <c r="G116" s="4" t="str">
        <f>HYPERLINK("http://141.218.60.56/~jnz1568/getInfo.php?workbook=18_08.xlsx&amp;sheet=A0&amp;row=116&amp;col=7&amp;number=0&amp;sourceID=14","0")</f>
        <v>0</v>
      </c>
    </row>
    <row r="117" spans="1:7">
      <c r="A117" s="3">
        <v>18</v>
      </c>
      <c r="B117" s="3">
        <v>8</v>
      </c>
      <c r="C117" s="3">
        <v>32</v>
      </c>
      <c r="D117" s="3">
        <v>2</v>
      </c>
      <c r="E117" s="3">
        <v>-36.893</v>
      </c>
      <c r="F117" s="4" t="str">
        <f>HYPERLINK("http://141.218.60.56/~jnz1568/getInfo.php?workbook=18_08.xlsx&amp;sheet=A0&amp;row=117&amp;col=6&amp;number=45440000&amp;sourceID=14","45440000")</f>
        <v>45440000</v>
      </c>
      <c r="G117" s="4" t="str">
        <f>HYPERLINK("http://141.218.60.56/~jnz1568/getInfo.php?workbook=18_08.xlsx&amp;sheet=A0&amp;row=117&amp;col=7&amp;number=0&amp;sourceID=14","0")</f>
        <v>0</v>
      </c>
    </row>
    <row r="118" spans="1:7">
      <c r="A118" s="3">
        <v>18</v>
      </c>
      <c r="B118" s="3">
        <v>8</v>
      </c>
      <c r="C118" s="3">
        <v>34</v>
      </c>
      <c r="D118" s="3">
        <v>2</v>
      </c>
      <c r="E118" s="3">
        <v>-36.808</v>
      </c>
      <c r="F118" s="4" t="str">
        <f>HYPERLINK("http://141.218.60.56/~jnz1568/getInfo.php?workbook=18_08.xlsx&amp;sheet=A0&amp;row=118&amp;col=6&amp;number=2044000&amp;sourceID=14","2044000")</f>
        <v>2044000</v>
      </c>
      <c r="G118" s="4" t="str">
        <f>HYPERLINK("http://141.218.60.56/~jnz1568/getInfo.php?workbook=18_08.xlsx&amp;sheet=A0&amp;row=118&amp;col=7&amp;number=0&amp;sourceID=14","0")</f>
        <v>0</v>
      </c>
    </row>
    <row r="119" spans="1:7">
      <c r="A119" s="3">
        <v>18</v>
      </c>
      <c r="B119" s="3">
        <v>8</v>
      </c>
      <c r="C119" s="3">
        <v>35</v>
      </c>
      <c r="D119" s="3">
        <v>2</v>
      </c>
      <c r="E119" s="3">
        <v>-36.362</v>
      </c>
      <c r="F119" s="4" t="str">
        <f>HYPERLINK("http://141.218.60.56/~jnz1568/getInfo.php?workbook=18_08.xlsx&amp;sheet=A0&amp;row=119&amp;col=6&amp;number=755.9&amp;sourceID=14","755.9")</f>
        <v>755.9</v>
      </c>
      <c r="G119" s="4" t="str">
        <f>HYPERLINK("http://141.218.60.56/~jnz1568/getInfo.php?workbook=18_08.xlsx&amp;sheet=A0&amp;row=119&amp;col=7&amp;number=0&amp;sourceID=14","0")</f>
        <v>0</v>
      </c>
    </row>
    <row r="120" spans="1:7">
      <c r="A120" s="3">
        <v>18</v>
      </c>
      <c r="B120" s="3">
        <v>8</v>
      </c>
      <c r="C120" s="3">
        <v>36</v>
      </c>
      <c r="D120" s="3">
        <v>2</v>
      </c>
      <c r="E120" s="3">
        <v>-36.233</v>
      </c>
      <c r="F120" s="4" t="str">
        <f>HYPERLINK("http://141.218.60.56/~jnz1568/getInfo.php?workbook=18_08.xlsx&amp;sheet=A0&amp;row=120&amp;col=6&amp;number=13240000&amp;sourceID=14","13240000")</f>
        <v>13240000</v>
      </c>
      <c r="G120" s="4" t="str">
        <f>HYPERLINK("http://141.218.60.56/~jnz1568/getInfo.php?workbook=18_08.xlsx&amp;sheet=A0&amp;row=120&amp;col=7&amp;number=0&amp;sourceID=14","0")</f>
        <v>0</v>
      </c>
    </row>
    <row r="121" spans="1:7">
      <c r="A121" s="3">
        <v>18</v>
      </c>
      <c r="B121" s="3">
        <v>8</v>
      </c>
      <c r="C121" s="3">
        <v>37</v>
      </c>
      <c r="D121" s="3">
        <v>2</v>
      </c>
      <c r="E121" s="3">
        <v>36.295</v>
      </c>
      <c r="F121" s="4" t="str">
        <f>HYPERLINK("http://141.218.60.56/~jnz1568/getInfo.php?workbook=18_08.xlsx&amp;sheet=A0&amp;row=121&amp;col=6&amp;number=12920000&amp;sourceID=14","12920000")</f>
        <v>12920000</v>
      </c>
      <c r="G121" s="4" t="str">
        <f>HYPERLINK("http://141.218.60.56/~jnz1568/getInfo.php?workbook=18_08.xlsx&amp;sheet=A0&amp;row=121&amp;col=7&amp;number=0&amp;sourceID=14","0")</f>
        <v>0</v>
      </c>
    </row>
    <row r="122" spans="1:7">
      <c r="A122" s="3">
        <v>18</v>
      </c>
      <c r="B122" s="3">
        <v>8</v>
      </c>
      <c r="C122" s="3">
        <v>38</v>
      </c>
      <c r="D122" s="3">
        <v>2</v>
      </c>
      <c r="E122" s="3">
        <v>-36.07</v>
      </c>
      <c r="F122" s="4" t="str">
        <f>HYPERLINK("http://141.218.60.56/~jnz1568/getInfo.php?workbook=18_08.xlsx&amp;sheet=A0&amp;row=122&amp;col=6&amp;number=4910000000&amp;sourceID=14","4910000000")</f>
        <v>4910000000</v>
      </c>
      <c r="G122" s="4" t="str">
        <f>HYPERLINK("http://141.218.60.56/~jnz1568/getInfo.php?workbook=18_08.xlsx&amp;sheet=A0&amp;row=122&amp;col=7&amp;number=0&amp;sourceID=14","0")</f>
        <v>0</v>
      </c>
    </row>
    <row r="123" spans="1:7">
      <c r="A123" s="3">
        <v>18</v>
      </c>
      <c r="B123" s="3">
        <v>8</v>
      </c>
      <c r="C123" s="3">
        <v>39</v>
      </c>
      <c r="D123" s="3">
        <v>2</v>
      </c>
      <c r="E123" s="3">
        <v>-36.069</v>
      </c>
      <c r="F123" s="4" t="str">
        <f>HYPERLINK("http://141.218.60.56/~jnz1568/getInfo.php?workbook=18_08.xlsx&amp;sheet=A0&amp;row=123&amp;col=6&amp;number=1325000000&amp;sourceID=14","1325000000")</f>
        <v>1325000000</v>
      </c>
      <c r="G123" s="4" t="str">
        <f>HYPERLINK("http://141.218.60.56/~jnz1568/getInfo.php?workbook=18_08.xlsx&amp;sheet=A0&amp;row=123&amp;col=7&amp;number=0&amp;sourceID=14","0")</f>
        <v>0</v>
      </c>
    </row>
    <row r="124" spans="1:7">
      <c r="A124" s="3">
        <v>18</v>
      </c>
      <c r="B124" s="3">
        <v>8</v>
      </c>
      <c r="C124" s="3">
        <v>40</v>
      </c>
      <c r="D124" s="3">
        <v>2</v>
      </c>
      <c r="E124" s="3">
        <v>36.148</v>
      </c>
      <c r="F124" s="4" t="str">
        <f>HYPERLINK("http://141.218.60.56/~jnz1568/getInfo.php?workbook=18_08.xlsx&amp;sheet=A0&amp;row=124&amp;col=6&amp;number=147500000&amp;sourceID=14","147500000")</f>
        <v>147500000</v>
      </c>
      <c r="G124" s="4" t="str">
        <f>HYPERLINK("http://141.218.60.56/~jnz1568/getInfo.php?workbook=18_08.xlsx&amp;sheet=A0&amp;row=124&amp;col=7&amp;number=0&amp;sourceID=14","0")</f>
        <v>0</v>
      </c>
    </row>
    <row r="125" spans="1:7">
      <c r="A125" s="3">
        <v>18</v>
      </c>
      <c r="B125" s="3">
        <v>8</v>
      </c>
      <c r="C125" s="3">
        <v>41</v>
      </c>
      <c r="D125" s="3">
        <v>2</v>
      </c>
      <c r="E125" s="3">
        <v>-36.064</v>
      </c>
      <c r="F125" s="4" t="str">
        <f>HYPERLINK("http://141.218.60.56/~jnz1568/getInfo.php?workbook=18_08.xlsx&amp;sheet=A0&amp;row=125&amp;col=6&amp;number=51540&amp;sourceID=14","51540")</f>
        <v>51540</v>
      </c>
      <c r="G125" s="4" t="str">
        <f>HYPERLINK("http://141.218.60.56/~jnz1568/getInfo.php?workbook=18_08.xlsx&amp;sheet=A0&amp;row=125&amp;col=7&amp;number=0&amp;sourceID=14","0")</f>
        <v>0</v>
      </c>
    </row>
    <row r="126" spans="1:7">
      <c r="A126" s="3">
        <v>18</v>
      </c>
      <c r="B126" s="3">
        <v>8</v>
      </c>
      <c r="C126" s="3">
        <v>43</v>
      </c>
      <c r="D126" s="3">
        <v>2</v>
      </c>
      <c r="E126" s="3">
        <v>-36.23</v>
      </c>
      <c r="F126" s="4" t="str">
        <f>HYPERLINK("http://141.218.60.56/~jnz1568/getInfo.php?workbook=18_08.xlsx&amp;sheet=A0&amp;row=126&amp;col=6&amp;number=6638000&amp;sourceID=14","6638000")</f>
        <v>6638000</v>
      </c>
      <c r="G126" s="4" t="str">
        <f>HYPERLINK("http://141.218.60.56/~jnz1568/getInfo.php?workbook=18_08.xlsx&amp;sheet=A0&amp;row=126&amp;col=7&amp;number=0&amp;sourceID=14","0")</f>
        <v>0</v>
      </c>
    </row>
    <row r="127" spans="1:7">
      <c r="A127" s="3">
        <v>18</v>
      </c>
      <c r="B127" s="3">
        <v>8</v>
      </c>
      <c r="C127" s="3">
        <v>44</v>
      </c>
      <c r="D127" s="3">
        <v>2</v>
      </c>
      <c r="E127" s="3">
        <v>-36.456</v>
      </c>
      <c r="F127" s="4" t="str">
        <f>HYPERLINK("http://141.218.60.56/~jnz1568/getInfo.php?workbook=18_08.xlsx&amp;sheet=A0&amp;row=127&amp;col=6&amp;number=4791000&amp;sourceID=14","4791000")</f>
        <v>4791000</v>
      </c>
      <c r="G127" s="4" t="str">
        <f>HYPERLINK("http://141.218.60.56/~jnz1568/getInfo.php?workbook=18_08.xlsx&amp;sheet=A0&amp;row=127&amp;col=7&amp;number=0&amp;sourceID=14","0")</f>
        <v>0</v>
      </c>
    </row>
    <row r="128" spans="1:7">
      <c r="A128" s="3">
        <v>18</v>
      </c>
      <c r="B128" s="3">
        <v>8</v>
      </c>
      <c r="C128" s="3">
        <v>45</v>
      </c>
      <c r="D128" s="3">
        <v>2</v>
      </c>
      <c r="E128" s="3">
        <v>-36.255</v>
      </c>
      <c r="F128" s="4" t="str">
        <f>HYPERLINK("http://141.218.60.56/~jnz1568/getInfo.php?workbook=18_08.xlsx&amp;sheet=A0&amp;row=128&amp;col=6&amp;number=23540000&amp;sourceID=14","23540000")</f>
        <v>23540000</v>
      </c>
      <c r="G128" s="4" t="str">
        <f>HYPERLINK("http://141.218.60.56/~jnz1568/getInfo.php?workbook=18_08.xlsx&amp;sheet=A0&amp;row=128&amp;col=7&amp;number=0&amp;sourceID=14","0")</f>
        <v>0</v>
      </c>
    </row>
    <row r="129" spans="1:7">
      <c r="A129" s="3">
        <v>18</v>
      </c>
      <c r="B129" s="3">
        <v>8</v>
      </c>
      <c r="C129" s="3">
        <v>46</v>
      </c>
      <c r="D129" s="3">
        <v>2</v>
      </c>
      <c r="E129" s="3">
        <v>-36.113</v>
      </c>
      <c r="F129" s="4" t="str">
        <f>HYPERLINK("http://141.218.60.56/~jnz1568/getInfo.php?workbook=18_08.xlsx&amp;sheet=A0&amp;row=129&amp;col=6&amp;number=1073000&amp;sourceID=14","1073000")</f>
        <v>1073000</v>
      </c>
      <c r="G129" s="4" t="str">
        <f>HYPERLINK("http://141.218.60.56/~jnz1568/getInfo.php?workbook=18_08.xlsx&amp;sheet=A0&amp;row=129&amp;col=7&amp;number=0&amp;sourceID=14","0")</f>
        <v>0</v>
      </c>
    </row>
    <row r="130" spans="1:7">
      <c r="A130" s="3">
        <v>18</v>
      </c>
      <c r="B130" s="3">
        <v>8</v>
      </c>
      <c r="C130" s="3">
        <v>47</v>
      </c>
      <c r="D130" s="3">
        <v>2</v>
      </c>
      <c r="E130" s="3">
        <v>-36.183</v>
      </c>
      <c r="F130" s="4" t="str">
        <f>HYPERLINK("http://141.218.60.56/~jnz1568/getInfo.php?workbook=18_08.xlsx&amp;sheet=A0&amp;row=130&amp;col=6&amp;number=26800000&amp;sourceID=14","26800000")</f>
        <v>26800000</v>
      </c>
      <c r="G130" s="4" t="str">
        <f>HYPERLINK("http://141.218.60.56/~jnz1568/getInfo.php?workbook=18_08.xlsx&amp;sheet=A0&amp;row=130&amp;col=7&amp;number=0&amp;sourceID=14","0")</f>
        <v>0</v>
      </c>
    </row>
    <row r="131" spans="1:7">
      <c r="A131" s="3">
        <v>18</v>
      </c>
      <c r="B131" s="3">
        <v>8</v>
      </c>
      <c r="C131" s="3">
        <v>48</v>
      </c>
      <c r="D131" s="3">
        <v>2</v>
      </c>
      <c r="E131" s="3">
        <v>-36.058</v>
      </c>
      <c r="F131" s="4" t="str">
        <f>HYPERLINK("http://141.218.60.56/~jnz1568/getInfo.php?workbook=18_08.xlsx&amp;sheet=A0&amp;row=131&amp;col=6&amp;number=838400&amp;sourceID=14","838400")</f>
        <v>838400</v>
      </c>
      <c r="G131" s="4" t="str">
        <f>HYPERLINK("http://141.218.60.56/~jnz1568/getInfo.php?workbook=18_08.xlsx&amp;sheet=A0&amp;row=131&amp;col=7&amp;number=0&amp;sourceID=14","0")</f>
        <v>0</v>
      </c>
    </row>
    <row r="132" spans="1:7">
      <c r="A132" s="3">
        <v>18</v>
      </c>
      <c r="B132" s="3">
        <v>8</v>
      </c>
      <c r="C132" s="3">
        <v>49</v>
      </c>
      <c r="D132" s="3">
        <v>2</v>
      </c>
      <c r="E132" s="3">
        <v>-35.922</v>
      </c>
      <c r="F132" s="4" t="str">
        <f>HYPERLINK("http://141.218.60.56/~jnz1568/getInfo.php?workbook=18_08.xlsx&amp;sheet=A0&amp;row=132&amp;col=6&amp;number=5610000&amp;sourceID=14","5610000")</f>
        <v>5610000</v>
      </c>
      <c r="G132" s="4" t="str">
        <f>HYPERLINK("http://141.218.60.56/~jnz1568/getInfo.php?workbook=18_08.xlsx&amp;sheet=A0&amp;row=132&amp;col=7&amp;number=0&amp;sourceID=14","0")</f>
        <v>0</v>
      </c>
    </row>
    <row r="133" spans="1:7">
      <c r="A133" s="3">
        <v>18</v>
      </c>
      <c r="B133" s="3">
        <v>8</v>
      </c>
      <c r="C133" s="3">
        <v>50</v>
      </c>
      <c r="D133" s="3">
        <v>2</v>
      </c>
      <c r="E133" s="3">
        <v>-35.885</v>
      </c>
      <c r="F133" s="4" t="str">
        <f>HYPERLINK("http://141.218.60.56/~jnz1568/getInfo.php?workbook=18_08.xlsx&amp;sheet=A0&amp;row=133&amp;col=6&amp;number=78720&amp;sourceID=14","78720")</f>
        <v>78720</v>
      </c>
      <c r="G133" s="4" t="str">
        <f>HYPERLINK("http://141.218.60.56/~jnz1568/getInfo.php?workbook=18_08.xlsx&amp;sheet=A0&amp;row=133&amp;col=7&amp;number=0&amp;sourceID=14","0")</f>
        <v>0</v>
      </c>
    </row>
    <row r="134" spans="1:7">
      <c r="A134" s="3">
        <v>18</v>
      </c>
      <c r="B134" s="3">
        <v>8</v>
      </c>
      <c r="C134" s="3">
        <v>51</v>
      </c>
      <c r="D134" s="3">
        <v>2</v>
      </c>
      <c r="E134" s="3">
        <v>35.565</v>
      </c>
      <c r="F134" s="4" t="str">
        <f>HYPERLINK("http://141.218.60.56/~jnz1568/getInfo.php?workbook=18_08.xlsx&amp;sheet=A0&amp;row=134&amp;col=6&amp;number=572500000000&amp;sourceID=14","572500000000")</f>
        <v>572500000000</v>
      </c>
      <c r="G134" s="4" t="str">
        <f>HYPERLINK("http://141.218.60.56/~jnz1568/getInfo.php?workbook=18_08.xlsx&amp;sheet=A0&amp;row=134&amp;col=7&amp;number=0&amp;sourceID=14","0")</f>
        <v>0</v>
      </c>
    </row>
    <row r="135" spans="1:7">
      <c r="A135" s="3">
        <v>18</v>
      </c>
      <c r="B135" s="3">
        <v>8</v>
      </c>
      <c r="C135" s="3">
        <v>52</v>
      </c>
      <c r="D135" s="3">
        <v>2</v>
      </c>
      <c r="E135" s="3">
        <v>35.58</v>
      </c>
      <c r="F135" s="4" t="str">
        <f>HYPERLINK("http://141.218.60.56/~jnz1568/getInfo.php?workbook=18_08.xlsx&amp;sheet=A0&amp;row=135&amp;col=6&amp;number=363600000000&amp;sourceID=14","363600000000")</f>
        <v>363600000000</v>
      </c>
      <c r="G135" s="4" t="str">
        <f>HYPERLINK("http://141.218.60.56/~jnz1568/getInfo.php?workbook=18_08.xlsx&amp;sheet=A0&amp;row=135&amp;col=7&amp;number=0&amp;sourceID=14","0")</f>
        <v>0</v>
      </c>
    </row>
    <row r="136" spans="1:7">
      <c r="A136" s="3">
        <v>18</v>
      </c>
      <c r="B136" s="3">
        <v>8</v>
      </c>
      <c r="C136" s="3">
        <v>53</v>
      </c>
      <c r="D136" s="3">
        <v>2</v>
      </c>
      <c r="E136" s="3">
        <v>-35.867</v>
      </c>
      <c r="F136" s="4" t="str">
        <f>HYPERLINK("http://141.218.60.56/~jnz1568/getInfo.php?workbook=18_08.xlsx&amp;sheet=A0&amp;row=136&amp;col=6&amp;number=62.35&amp;sourceID=14","62.35")</f>
        <v>62.35</v>
      </c>
      <c r="G136" s="4" t="str">
        <f>HYPERLINK("http://141.218.60.56/~jnz1568/getInfo.php?workbook=18_08.xlsx&amp;sheet=A0&amp;row=136&amp;col=7&amp;number=0&amp;sourceID=14","0")</f>
        <v>0</v>
      </c>
    </row>
    <row r="137" spans="1:7">
      <c r="A137" s="3">
        <v>18</v>
      </c>
      <c r="B137" s="3">
        <v>8</v>
      </c>
      <c r="C137" s="3">
        <v>54</v>
      </c>
      <c r="D137" s="3">
        <v>2</v>
      </c>
      <c r="E137" s="3">
        <v>35.565</v>
      </c>
      <c r="F137" s="4" t="str">
        <f>HYPERLINK("http://141.218.60.56/~jnz1568/getInfo.php?workbook=18_08.xlsx&amp;sheet=A0&amp;row=137&amp;col=6&amp;number=839.8&amp;sourceID=14","839.8")</f>
        <v>839.8</v>
      </c>
      <c r="G137" s="4" t="str">
        <f>HYPERLINK("http://141.218.60.56/~jnz1568/getInfo.php?workbook=18_08.xlsx&amp;sheet=A0&amp;row=137&amp;col=7&amp;number=0&amp;sourceID=14","0")</f>
        <v>0</v>
      </c>
    </row>
    <row r="138" spans="1:7">
      <c r="A138" s="3">
        <v>18</v>
      </c>
      <c r="B138" s="3">
        <v>8</v>
      </c>
      <c r="C138" s="3">
        <v>55</v>
      </c>
      <c r="D138" s="3">
        <v>2</v>
      </c>
      <c r="E138" s="3">
        <v>-35.49</v>
      </c>
      <c r="F138" s="4" t="str">
        <f>HYPERLINK("http://141.218.60.56/~jnz1568/getInfo.php?workbook=18_08.xlsx&amp;sheet=A0&amp;row=138&amp;col=6&amp;number=21730&amp;sourceID=14","21730")</f>
        <v>21730</v>
      </c>
      <c r="G138" s="4" t="str">
        <f>HYPERLINK("http://141.218.60.56/~jnz1568/getInfo.php?workbook=18_08.xlsx&amp;sheet=A0&amp;row=138&amp;col=7&amp;number=0&amp;sourceID=14","0")</f>
        <v>0</v>
      </c>
    </row>
    <row r="139" spans="1:7">
      <c r="A139" s="3">
        <v>18</v>
      </c>
      <c r="B139" s="3">
        <v>8</v>
      </c>
      <c r="C139" s="3">
        <v>56</v>
      </c>
      <c r="D139" s="3">
        <v>2</v>
      </c>
      <c r="E139" s="3">
        <v>34.8</v>
      </c>
      <c r="F139" s="4" t="str">
        <f>HYPERLINK("http://141.218.60.56/~jnz1568/getInfo.php?workbook=18_08.xlsx&amp;sheet=A0&amp;row=139&amp;col=6&amp;number=18830000000&amp;sourceID=14","18830000000")</f>
        <v>18830000000</v>
      </c>
      <c r="G139" s="4" t="str">
        <f>HYPERLINK("http://141.218.60.56/~jnz1568/getInfo.php?workbook=18_08.xlsx&amp;sheet=A0&amp;row=139&amp;col=7&amp;number=0&amp;sourceID=14","0")</f>
        <v>0</v>
      </c>
    </row>
    <row r="140" spans="1:7">
      <c r="A140" s="3">
        <v>18</v>
      </c>
      <c r="B140" s="3">
        <v>8</v>
      </c>
      <c r="C140" s="3">
        <v>57</v>
      </c>
      <c r="D140" s="3">
        <v>2</v>
      </c>
      <c r="E140" s="3">
        <v>-34.853</v>
      </c>
      <c r="F140" s="4" t="str">
        <f>HYPERLINK("http://141.218.60.56/~jnz1568/getInfo.php?workbook=18_08.xlsx&amp;sheet=A0&amp;row=140&amp;col=6&amp;number=4229&amp;sourceID=14","4229")</f>
        <v>4229</v>
      </c>
      <c r="G140" s="4" t="str">
        <f>HYPERLINK("http://141.218.60.56/~jnz1568/getInfo.php?workbook=18_08.xlsx&amp;sheet=A0&amp;row=140&amp;col=7&amp;number=0&amp;sourceID=14","0")</f>
        <v>0</v>
      </c>
    </row>
    <row r="141" spans="1:7">
      <c r="A141" s="3">
        <v>18</v>
      </c>
      <c r="B141" s="3">
        <v>8</v>
      </c>
      <c r="C141" s="3">
        <v>58</v>
      </c>
      <c r="D141" s="3">
        <v>2</v>
      </c>
      <c r="E141" s="3">
        <v>-34.82</v>
      </c>
      <c r="F141" s="4" t="str">
        <f>HYPERLINK("http://141.218.60.56/~jnz1568/getInfo.php?workbook=18_08.xlsx&amp;sheet=A0&amp;row=141&amp;col=6&amp;number=7734000000&amp;sourceID=14","7734000000")</f>
        <v>7734000000</v>
      </c>
      <c r="G141" s="4" t="str">
        <f>HYPERLINK("http://141.218.60.56/~jnz1568/getInfo.php?workbook=18_08.xlsx&amp;sheet=A0&amp;row=141&amp;col=7&amp;number=0&amp;sourceID=14","0")</f>
        <v>0</v>
      </c>
    </row>
    <row r="142" spans="1:7">
      <c r="A142" s="3">
        <v>18</v>
      </c>
      <c r="B142" s="3">
        <v>8</v>
      </c>
      <c r="C142" s="3">
        <v>60</v>
      </c>
      <c r="D142" s="3">
        <v>2</v>
      </c>
      <c r="E142" s="3">
        <v>-34.719</v>
      </c>
      <c r="F142" s="4" t="str">
        <f>HYPERLINK("http://141.218.60.56/~jnz1568/getInfo.php?workbook=18_08.xlsx&amp;sheet=A0&amp;row=142&amp;col=6&amp;number=1206&amp;sourceID=14","1206")</f>
        <v>1206</v>
      </c>
      <c r="G142" s="4" t="str">
        <f>HYPERLINK("http://141.218.60.56/~jnz1568/getInfo.php?workbook=18_08.xlsx&amp;sheet=A0&amp;row=142&amp;col=7&amp;number=0&amp;sourceID=14","0")</f>
        <v>0</v>
      </c>
    </row>
    <row r="143" spans="1:7">
      <c r="A143" s="3">
        <v>18</v>
      </c>
      <c r="B143" s="3">
        <v>8</v>
      </c>
      <c r="C143" s="3">
        <v>64</v>
      </c>
      <c r="D143" s="3">
        <v>2</v>
      </c>
      <c r="E143" s="3">
        <v>34.516</v>
      </c>
      <c r="F143" s="4" t="str">
        <f>HYPERLINK("http://141.218.60.56/~jnz1568/getInfo.php?workbook=18_08.xlsx&amp;sheet=A0&amp;row=143&amp;col=6&amp;number=351600000000&amp;sourceID=14","351600000000")</f>
        <v>351600000000</v>
      </c>
      <c r="G143" s="4" t="str">
        <f>HYPERLINK("http://141.218.60.56/~jnz1568/getInfo.php?workbook=18_08.xlsx&amp;sheet=A0&amp;row=143&amp;col=7&amp;number=0&amp;sourceID=14","0")</f>
        <v>0</v>
      </c>
    </row>
    <row r="144" spans="1:7">
      <c r="A144" s="3">
        <v>18</v>
      </c>
      <c r="B144" s="3">
        <v>8</v>
      </c>
      <c r="C144" s="3">
        <v>65</v>
      </c>
      <c r="D144" s="3">
        <v>2</v>
      </c>
      <c r="E144" s="3">
        <v>-34.859</v>
      </c>
      <c r="F144" s="4" t="str">
        <f>HYPERLINK("http://141.218.60.56/~jnz1568/getInfo.php?workbook=18_08.xlsx&amp;sheet=A0&amp;row=144&amp;col=6&amp;number=2955&amp;sourceID=14","2955")</f>
        <v>2955</v>
      </c>
      <c r="G144" s="4" t="str">
        <f>HYPERLINK("http://141.218.60.56/~jnz1568/getInfo.php?workbook=18_08.xlsx&amp;sheet=A0&amp;row=144&amp;col=7&amp;number=0&amp;sourceID=14","0")</f>
        <v>0</v>
      </c>
    </row>
    <row r="145" spans="1:7">
      <c r="A145" s="3">
        <v>18</v>
      </c>
      <c r="B145" s="3">
        <v>8</v>
      </c>
      <c r="C145" s="3">
        <v>66</v>
      </c>
      <c r="D145" s="3">
        <v>2</v>
      </c>
      <c r="E145" s="3">
        <v>34.52</v>
      </c>
      <c r="F145" s="4" t="str">
        <f>HYPERLINK("http://141.218.60.56/~jnz1568/getInfo.php?workbook=18_08.xlsx&amp;sheet=A0&amp;row=145&amp;col=6&amp;number=1525000000000&amp;sourceID=14","1525000000000")</f>
        <v>1525000000000</v>
      </c>
      <c r="G145" s="4" t="str">
        <f>HYPERLINK("http://141.218.60.56/~jnz1568/getInfo.php?workbook=18_08.xlsx&amp;sheet=A0&amp;row=145&amp;col=7&amp;number=0&amp;sourceID=14","0")</f>
        <v>0</v>
      </c>
    </row>
    <row r="146" spans="1:7">
      <c r="A146" s="3">
        <v>18</v>
      </c>
      <c r="B146" s="3">
        <v>8</v>
      </c>
      <c r="C146" s="3">
        <v>67</v>
      </c>
      <c r="D146" s="3">
        <v>2</v>
      </c>
      <c r="E146" s="3">
        <v>34.624</v>
      </c>
      <c r="F146" s="4" t="str">
        <f>HYPERLINK("http://141.218.60.56/~jnz1568/getInfo.php?workbook=18_08.xlsx&amp;sheet=A0&amp;row=146&amp;col=6&amp;number=58720000000&amp;sourceID=14","58720000000")</f>
        <v>58720000000</v>
      </c>
      <c r="G146" s="4" t="str">
        <f>HYPERLINK("http://141.218.60.56/~jnz1568/getInfo.php?workbook=18_08.xlsx&amp;sheet=A0&amp;row=146&amp;col=7&amp;number=0&amp;sourceID=14","0")</f>
        <v>0</v>
      </c>
    </row>
    <row r="147" spans="1:7">
      <c r="A147" s="3">
        <v>18</v>
      </c>
      <c r="B147" s="3">
        <v>8</v>
      </c>
      <c r="C147" s="3">
        <v>68</v>
      </c>
      <c r="D147" s="3">
        <v>2</v>
      </c>
      <c r="E147" s="3">
        <v>34.501</v>
      </c>
      <c r="F147" s="4" t="str">
        <f>HYPERLINK("http://141.218.60.56/~jnz1568/getInfo.php?workbook=18_08.xlsx&amp;sheet=A0&amp;row=147&amp;col=6&amp;number=4360&amp;sourceID=14","4360")</f>
        <v>4360</v>
      </c>
      <c r="G147" s="4" t="str">
        <f>HYPERLINK("http://141.218.60.56/~jnz1568/getInfo.php?workbook=18_08.xlsx&amp;sheet=A0&amp;row=147&amp;col=7&amp;number=0&amp;sourceID=14","0")</f>
        <v>0</v>
      </c>
    </row>
    <row r="148" spans="1:7">
      <c r="A148" s="3">
        <v>18</v>
      </c>
      <c r="B148" s="3">
        <v>8</v>
      </c>
      <c r="C148" s="3">
        <v>69</v>
      </c>
      <c r="D148" s="3">
        <v>2</v>
      </c>
      <c r="E148" s="3">
        <v>34.394</v>
      </c>
      <c r="F148" s="4" t="str">
        <f>HYPERLINK("http://141.218.60.56/~jnz1568/getInfo.php?workbook=18_08.xlsx&amp;sheet=A0&amp;row=148&amp;col=6&amp;number=187000000000&amp;sourceID=14","187000000000")</f>
        <v>187000000000</v>
      </c>
      <c r="G148" s="4" t="str">
        <f>HYPERLINK("http://141.218.60.56/~jnz1568/getInfo.php?workbook=18_08.xlsx&amp;sheet=A0&amp;row=148&amp;col=7&amp;number=0&amp;sourceID=14","0")</f>
        <v>0</v>
      </c>
    </row>
    <row r="149" spans="1:7">
      <c r="A149" s="3">
        <v>18</v>
      </c>
      <c r="B149" s="3">
        <v>8</v>
      </c>
      <c r="C149" s="3">
        <v>70</v>
      </c>
      <c r="D149" s="3">
        <v>2</v>
      </c>
      <c r="E149" s="3">
        <v>-34.354</v>
      </c>
      <c r="F149" s="4" t="str">
        <f>HYPERLINK("http://141.218.60.56/~jnz1568/getInfo.php?workbook=18_08.xlsx&amp;sheet=A0&amp;row=149&amp;col=6&amp;number=1696000000000&amp;sourceID=14","1696000000000")</f>
        <v>1696000000000</v>
      </c>
      <c r="G149" s="4" t="str">
        <f>HYPERLINK("http://141.218.60.56/~jnz1568/getInfo.php?workbook=18_08.xlsx&amp;sheet=A0&amp;row=149&amp;col=7&amp;number=0&amp;sourceID=14","0")</f>
        <v>0</v>
      </c>
    </row>
    <row r="150" spans="1:7">
      <c r="A150" s="3">
        <v>18</v>
      </c>
      <c r="B150" s="3">
        <v>8</v>
      </c>
      <c r="C150" s="3">
        <v>71</v>
      </c>
      <c r="D150" s="3">
        <v>2</v>
      </c>
      <c r="E150" s="3">
        <v>34.26</v>
      </c>
      <c r="F150" s="4" t="str">
        <f>HYPERLINK("http://141.218.60.56/~jnz1568/getInfo.php?workbook=18_08.xlsx&amp;sheet=A0&amp;row=150&amp;col=6&amp;number=738300000000&amp;sourceID=14","738300000000")</f>
        <v>738300000000</v>
      </c>
      <c r="G150" s="4" t="str">
        <f>HYPERLINK("http://141.218.60.56/~jnz1568/getInfo.php?workbook=18_08.xlsx&amp;sheet=A0&amp;row=150&amp;col=7&amp;number=0&amp;sourceID=14","0")</f>
        <v>0</v>
      </c>
    </row>
    <row r="151" spans="1:7">
      <c r="A151" s="3">
        <v>18</v>
      </c>
      <c r="B151" s="3">
        <v>8</v>
      </c>
      <c r="C151" s="3">
        <v>72</v>
      </c>
      <c r="D151" s="3">
        <v>2</v>
      </c>
      <c r="E151" s="3">
        <v>34.394</v>
      </c>
      <c r="F151" s="4" t="str">
        <f>HYPERLINK("http://141.218.60.56/~jnz1568/getInfo.php?workbook=18_08.xlsx&amp;sheet=A0&amp;row=151&amp;col=6&amp;number=24430000000&amp;sourceID=14","24430000000")</f>
        <v>24430000000</v>
      </c>
      <c r="G151" s="4" t="str">
        <f>HYPERLINK("http://141.218.60.56/~jnz1568/getInfo.php?workbook=18_08.xlsx&amp;sheet=A0&amp;row=151&amp;col=7&amp;number=0&amp;sourceID=14","0")</f>
        <v>0</v>
      </c>
    </row>
    <row r="152" spans="1:7">
      <c r="A152" s="3">
        <v>18</v>
      </c>
      <c r="B152" s="3">
        <v>8</v>
      </c>
      <c r="C152" s="3">
        <v>73</v>
      </c>
      <c r="D152" s="3">
        <v>2</v>
      </c>
      <c r="E152" s="3">
        <v>34.26</v>
      </c>
      <c r="F152" s="4" t="str">
        <f>HYPERLINK("http://141.218.60.56/~jnz1568/getInfo.php?workbook=18_08.xlsx&amp;sheet=A0&amp;row=152&amp;col=6&amp;number=520200000000&amp;sourceID=14","520200000000")</f>
        <v>520200000000</v>
      </c>
      <c r="G152" s="4" t="str">
        <f>HYPERLINK("http://141.218.60.56/~jnz1568/getInfo.php?workbook=18_08.xlsx&amp;sheet=A0&amp;row=152&amp;col=7&amp;number=0&amp;sourceID=14","0")</f>
        <v>0</v>
      </c>
    </row>
    <row r="153" spans="1:7">
      <c r="A153" s="3">
        <v>18</v>
      </c>
      <c r="B153" s="3">
        <v>8</v>
      </c>
      <c r="C153" s="3">
        <v>74</v>
      </c>
      <c r="D153" s="3">
        <v>2</v>
      </c>
      <c r="E153" s="3">
        <v>34.119</v>
      </c>
      <c r="F153" s="4" t="str">
        <f>HYPERLINK("http://141.218.60.56/~jnz1568/getInfo.php?workbook=18_08.xlsx&amp;sheet=A0&amp;row=153&amp;col=6&amp;number=16720&amp;sourceID=14","16720")</f>
        <v>16720</v>
      </c>
      <c r="G153" s="4" t="str">
        <f>HYPERLINK("http://141.218.60.56/~jnz1568/getInfo.php?workbook=18_08.xlsx&amp;sheet=A0&amp;row=153&amp;col=7&amp;number=0&amp;sourceID=14","0")</f>
        <v>0</v>
      </c>
    </row>
    <row r="154" spans="1:7">
      <c r="A154" s="3">
        <v>18</v>
      </c>
      <c r="B154" s="3">
        <v>8</v>
      </c>
      <c r="C154" s="3">
        <v>75</v>
      </c>
      <c r="D154" s="3">
        <v>2</v>
      </c>
      <c r="E154" s="3">
        <v>-34.083</v>
      </c>
      <c r="F154" s="4" t="str">
        <f>HYPERLINK("http://141.218.60.56/~jnz1568/getInfo.php?workbook=18_08.xlsx&amp;sheet=A0&amp;row=154&amp;col=6&amp;number=36850000000&amp;sourceID=14","36850000000")</f>
        <v>36850000000</v>
      </c>
      <c r="G154" s="4" t="str">
        <f>HYPERLINK("http://141.218.60.56/~jnz1568/getInfo.php?workbook=18_08.xlsx&amp;sheet=A0&amp;row=154&amp;col=7&amp;number=0&amp;sourceID=14","0")</f>
        <v>0</v>
      </c>
    </row>
    <row r="155" spans="1:7">
      <c r="A155" s="3">
        <v>18</v>
      </c>
      <c r="B155" s="3">
        <v>8</v>
      </c>
      <c r="C155" s="3">
        <v>77</v>
      </c>
      <c r="D155" s="3">
        <v>2</v>
      </c>
      <c r="E155" s="3">
        <v>34.118</v>
      </c>
      <c r="F155" s="4" t="str">
        <f>HYPERLINK("http://141.218.60.56/~jnz1568/getInfo.php?workbook=18_08.xlsx&amp;sheet=A0&amp;row=155&amp;col=6&amp;number=373.8&amp;sourceID=14","373.8")</f>
        <v>373.8</v>
      </c>
      <c r="G155" s="4" t="str">
        <f>HYPERLINK("http://141.218.60.56/~jnz1568/getInfo.php?workbook=18_08.xlsx&amp;sheet=A0&amp;row=155&amp;col=7&amp;number=0&amp;sourceID=14","0")</f>
        <v>0</v>
      </c>
    </row>
    <row r="156" spans="1:7">
      <c r="A156" s="3">
        <v>18</v>
      </c>
      <c r="B156" s="3">
        <v>8</v>
      </c>
      <c r="C156" s="3">
        <v>78</v>
      </c>
      <c r="D156" s="3">
        <v>2</v>
      </c>
      <c r="E156" s="3">
        <v>-34.074</v>
      </c>
      <c r="F156" s="4" t="str">
        <f>HYPERLINK("http://141.218.60.56/~jnz1568/getInfo.php?workbook=18_08.xlsx&amp;sheet=A0&amp;row=156&amp;col=6&amp;number=1439000000000&amp;sourceID=14","1439000000000")</f>
        <v>1439000000000</v>
      </c>
      <c r="G156" s="4" t="str">
        <f>HYPERLINK("http://141.218.60.56/~jnz1568/getInfo.php?workbook=18_08.xlsx&amp;sheet=A0&amp;row=156&amp;col=7&amp;number=0&amp;sourceID=14","0")</f>
        <v>0</v>
      </c>
    </row>
    <row r="157" spans="1:7">
      <c r="A157" s="3">
        <v>18</v>
      </c>
      <c r="B157" s="3">
        <v>8</v>
      </c>
      <c r="C157" s="3">
        <v>79</v>
      </c>
      <c r="D157" s="3">
        <v>2</v>
      </c>
      <c r="E157" s="3">
        <v>-34.039</v>
      </c>
      <c r="F157" s="4" t="str">
        <f>HYPERLINK("http://141.218.60.56/~jnz1568/getInfo.php?workbook=18_08.xlsx&amp;sheet=A0&amp;row=157&amp;col=6&amp;number=587900000000&amp;sourceID=14","587900000000")</f>
        <v>587900000000</v>
      </c>
      <c r="G157" s="4" t="str">
        <f>HYPERLINK("http://141.218.60.56/~jnz1568/getInfo.php?workbook=18_08.xlsx&amp;sheet=A0&amp;row=157&amp;col=7&amp;number=0&amp;sourceID=14","0")</f>
        <v>0</v>
      </c>
    </row>
    <row r="158" spans="1:7">
      <c r="A158" s="3">
        <v>18</v>
      </c>
      <c r="B158" s="3">
        <v>8</v>
      </c>
      <c r="C158" s="3">
        <v>80</v>
      </c>
      <c r="D158" s="3">
        <v>2</v>
      </c>
      <c r="E158" s="3">
        <v>-34.017</v>
      </c>
      <c r="F158" s="4" t="str">
        <f>HYPERLINK("http://141.218.60.56/~jnz1568/getInfo.php?workbook=18_08.xlsx&amp;sheet=A0&amp;row=158&amp;col=6&amp;number=50480000000&amp;sourceID=14","50480000000")</f>
        <v>50480000000</v>
      </c>
      <c r="G158" s="4" t="str">
        <f>HYPERLINK("http://141.218.60.56/~jnz1568/getInfo.php?workbook=18_08.xlsx&amp;sheet=A0&amp;row=158&amp;col=7&amp;number=0&amp;sourceID=14","0")</f>
        <v>0</v>
      </c>
    </row>
    <row r="159" spans="1:7">
      <c r="A159" s="3">
        <v>18</v>
      </c>
      <c r="B159" s="3">
        <v>8</v>
      </c>
      <c r="C159" s="3">
        <v>81</v>
      </c>
      <c r="D159" s="3">
        <v>2</v>
      </c>
      <c r="E159" s="3">
        <v>33.888</v>
      </c>
      <c r="F159" s="4" t="str">
        <f>HYPERLINK("http://141.218.60.56/~jnz1568/getInfo.php?workbook=18_08.xlsx&amp;sheet=A0&amp;row=159&amp;col=6&amp;number=1569000000000&amp;sourceID=14","1569000000000")</f>
        <v>1569000000000</v>
      </c>
      <c r="G159" s="4" t="str">
        <f>HYPERLINK("http://141.218.60.56/~jnz1568/getInfo.php?workbook=18_08.xlsx&amp;sheet=A0&amp;row=159&amp;col=7&amp;number=0&amp;sourceID=14","0")</f>
        <v>0</v>
      </c>
    </row>
    <row r="160" spans="1:7">
      <c r="A160" s="3">
        <v>18</v>
      </c>
      <c r="B160" s="3">
        <v>8</v>
      </c>
      <c r="C160" s="3">
        <v>82</v>
      </c>
      <c r="D160" s="3">
        <v>2</v>
      </c>
      <c r="E160" s="3">
        <v>33.844</v>
      </c>
      <c r="F160" s="4" t="str">
        <f>HYPERLINK("http://141.218.60.56/~jnz1568/getInfo.php?workbook=18_08.xlsx&amp;sheet=A0&amp;row=160&amp;col=6&amp;number=49260&amp;sourceID=14","49260")</f>
        <v>49260</v>
      </c>
      <c r="G160" s="4" t="str">
        <f>HYPERLINK("http://141.218.60.56/~jnz1568/getInfo.php?workbook=18_08.xlsx&amp;sheet=A0&amp;row=160&amp;col=7&amp;number=0&amp;sourceID=14","0")</f>
        <v>0</v>
      </c>
    </row>
    <row r="161" spans="1:7">
      <c r="A161" s="3">
        <v>18</v>
      </c>
      <c r="B161" s="3">
        <v>8</v>
      </c>
      <c r="C161" s="3">
        <v>83</v>
      </c>
      <c r="D161" s="3">
        <v>2</v>
      </c>
      <c r="E161" s="3">
        <v>33.732</v>
      </c>
      <c r="F161" s="4" t="str">
        <f>HYPERLINK("http://141.218.60.56/~jnz1568/getInfo.php?workbook=18_08.xlsx&amp;sheet=A0&amp;row=161&amp;col=6&amp;number=1079000000000&amp;sourceID=14","1079000000000")</f>
        <v>1079000000000</v>
      </c>
      <c r="G161" s="4" t="str">
        <f>HYPERLINK("http://141.218.60.56/~jnz1568/getInfo.php?workbook=18_08.xlsx&amp;sheet=A0&amp;row=161&amp;col=7&amp;number=0&amp;sourceID=14","0")</f>
        <v>0</v>
      </c>
    </row>
    <row r="162" spans="1:7">
      <c r="A162" s="3">
        <v>18</v>
      </c>
      <c r="B162" s="3">
        <v>8</v>
      </c>
      <c r="C162" s="3">
        <v>84</v>
      </c>
      <c r="D162" s="3">
        <v>2</v>
      </c>
      <c r="E162" s="3">
        <v>33.84</v>
      </c>
      <c r="F162" s="4" t="str">
        <f>HYPERLINK("http://141.218.60.56/~jnz1568/getInfo.php?workbook=18_08.xlsx&amp;sheet=A0&amp;row=162&amp;col=6&amp;number=214300000000&amp;sourceID=14","214300000000")</f>
        <v>214300000000</v>
      </c>
      <c r="G162" s="4" t="str">
        <f>HYPERLINK("http://141.218.60.56/~jnz1568/getInfo.php?workbook=18_08.xlsx&amp;sheet=A0&amp;row=162&amp;col=7&amp;number=0&amp;sourceID=14","0")</f>
        <v>0</v>
      </c>
    </row>
    <row r="163" spans="1:7">
      <c r="A163" s="3">
        <v>18</v>
      </c>
      <c r="B163" s="3">
        <v>8</v>
      </c>
      <c r="C163" s="3">
        <v>85</v>
      </c>
      <c r="D163" s="3">
        <v>2</v>
      </c>
      <c r="E163" s="3">
        <v>33.667</v>
      </c>
      <c r="F163" s="4" t="str">
        <f>HYPERLINK("http://141.218.60.56/~jnz1568/getInfo.php?workbook=18_08.xlsx&amp;sheet=A0&amp;row=163&amp;col=6&amp;number=2520&amp;sourceID=14","2520")</f>
        <v>2520</v>
      </c>
      <c r="G163" s="4" t="str">
        <f>HYPERLINK("http://141.218.60.56/~jnz1568/getInfo.php?workbook=18_08.xlsx&amp;sheet=A0&amp;row=163&amp;col=7&amp;number=0&amp;sourceID=14","0")</f>
        <v>0</v>
      </c>
    </row>
    <row r="164" spans="1:7">
      <c r="A164" s="3">
        <v>18</v>
      </c>
      <c r="B164" s="3">
        <v>8</v>
      </c>
      <c r="C164" s="3">
        <v>86</v>
      </c>
      <c r="D164" s="3">
        <v>2</v>
      </c>
      <c r="E164" s="3">
        <v>33.323</v>
      </c>
      <c r="F164" s="4" t="str">
        <f>HYPERLINK("http://141.218.60.56/~jnz1568/getInfo.php?workbook=18_08.xlsx&amp;sheet=A0&amp;row=164&amp;col=6&amp;number=5971000000&amp;sourceID=14","5971000000")</f>
        <v>5971000000</v>
      </c>
      <c r="G164" s="4" t="str">
        <f>HYPERLINK("http://141.218.60.56/~jnz1568/getInfo.php?workbook=18_08.xlsx&amp;sheet=A0&amp;row=164&amp;col=7&amp;number=0&amp;sourceID=14","0")</f>
        <v>0</v>
      </c>
    </row>
    <row r="165" spans="1:7">
      <c r="A165" s="3">
        <v>18</v>
      </c>
      <c r="B165" s="3">
        <v>8</v>
      </c>
      <c r="C165" s="3">
        <v>4</v>
      </c>
      <c r="D165" s="3">
        <v>3</v>
      </c>
      <c r="E165" s="3">
        <v>1868.216</v>
      </c>
      <c r="F165" s="4" t="str">
        <f>HYPERLINK("http://141.218.60.56/~jnz1568/getInfo.php?workbook=18_08.xlsx&amp;sheet=A0&amp;row=165&amp;col=6&amp;number=0.001984&amp;sourceID=14","0.001984")</f>
        <v>0.001984</v>
      </c>
      <c r="G165" s="4" t="str">
        <f>HYPERLINK("http://141.218.60.56/~jnz1568/getInfo.php?workbook=18_08.xlsx&amp;sheet=A0&amp;row=165&amp;col=7&amp;number=0&amp;sourceID=14","0")</f>
        <v>0</v>
      </c>
    </row>
    <row r="166" spans="1:7">
      <c r="A166" s="3">
        <v>18</v>
      </c>
      <c r="B166" s="3">
        <v>8</v>
      </c>
      <c r="C166" s="3">
        <v>6</v>
      </c>
      <c r="D166" s="3">
        <v>3</v>
      </c>
      <c r="E166" s="3">
        <v>195.566</v>
      </c>
      <c r="F166" s="4" t="str">
        <f>HYPERLINK("http://141.218.60.56/~jnz1568/getInfo.php?workbook=18_08.xlsx&amp;sheet=A0&amp;row=166&amp;col=6&amp;number=7.638&amp;sourceID=14","7.638")</f>
        <v>7.638</v>
      </c>
      <c r="G166" s="4" t="str">
        <f>HYPERLINK("http://141.218.60.56/~jnz1568/getInfo.php?workbook=18_08.xlsx&amp;sheet=A0&amp;row=166&amp;col=7&amp;number=0&amp;sourceID=14","0")</f>
        <v>0</v>
      </c>
    </row>
    <row r="167" spans="1:7">
      <c r="A167" s="3">
        <v>18</v>
      </c>
      <c r="B167" s="3">
        <v>8</v>
      </c>
      <c r="C167" s="3">
        <v>7</v>
      </c>
      <c r="D167" s="3">
        <v>3</v>
      </c>
      <c r="E167" s="3">
        <v>190.975</v>
      </c>
      <c r="F167" s="4" t="str">
        <f>HYPERLINK("http://141.218.60.56/~jnz1568/getInfo.php?workbook=18_08.xlsx&amp;sheet=A0&amp;row=167&amp;col=6&amp;number=7199000000&amp;sourceID=14","7199000000")</f>
        <v>7199000000</v>
      </c>
      <c r="G167" s="4" t="str">
        <f>HYPERLINK("http://141.218.60.56/~jnz1568/getInfo.php?workbook=18_08.xlsx&amp;sheet=A0&amp;row=167&amp;col=7&amp;number=0&amp;sourceID=14","0")</f>
        <v>0</v>
      </c>
    </row>
    <row r="168" spans="1:7">
      <c r="A168" s="3">
        <v>18</v>
      </c>
      <c r="B168" s="3">
        <v>8</v>
      </c>
      <c r="C168" s="3">
        <v>9</v>
      </c>
      <c r="D168" s="3">
        <v>3</v>
      </c>
      <c r="E168" s="3">
        <v>140.439</v>
      </c>
      <c r="F168" s="4" t="str">
        <f>HYPERLINK("http://141.218.60.56/~jnz1568/getInfo.php?workbook=18_08.xlsx&amp;sheet=A0&amp;row=168&amp;col=6&amp;number=67720000&amp;sourceID=14","67720000")</f>
        <v>67720000</v>
      </c>
      <c r="G168" s="4" t="str">
        <f>HYPERLINK("http://141.218.60.56/~jnz1568/getInfo.php?workbook=18_08.xlsx&amp;sheet=A0&amp;row=168&amp;col=7&amp;number=0&amp;sourceID=14","0")</f>
        <v>0</v>
      </c>
    </row>
    <row r="169" spans="1:7">
      <c r="A169" s="3">
        <v>18</v>
      </c>
      <c r="B169" s="3">
        <v>8</v>
      </c>
      <c r="C169" s="3">
        <v>11</v>
      </c>
      <c r="D169" s="3">
        <v>3</v>
      </c>
      <c r="E169" s="3">
        <v>40.568</v>
      </c>
      <c r="F169" s="4" t="str">
        <f>HYPERLINK("http://141.218.60.56/~jnz1568/getInfo.php?workbook=18_08.xlsx&amp;sheet=A0&amp;row=169&amp;col=6&amp;number=2421&amp;sourceID=14","2421")</f>
        <v>2421</v>
      </c>
      <c r="G169" s="4" t="str">
        <f>HYPERLINK("http://141.218.60.56/~jnz1568/getInfo.php?workbook=18_08.xlsx&amp;sheet=A0&amp;row=169&amp;col=7&amp;number=0&amp;sourceID=14","0")</f>
        <v>0</v>
      </c>
    </row>
    <row r="170" spans="1:7">
      <c r="A170" s="3">
        <v>18</v>
      </c>
      <c r="B170" s="3">
        <v>8</v>
      </c>
      <c r="C170" s="3">
        <v>12</v>
      </c>
      <c r="D170" s="3">
        <v>3</v>
      </c>
      <c r="E170" s="3">
        <v>39.957</v>
      </c>
      <c r="F170" s="4" t="str">
        <f>HYPERLINK("http://141.218.60.56/~jnz1568/getInfo.php?workbook=18_08.xlsx&amp;sheet=A0&amp;row=170&amp;col=6&amp;number=61820000000&amp;sourceID=14","61820000000")</f>
        <v>61820000000</v>
      </c>
      <c r="G170" s="4" t="str">
        <f>HYPERLINK("http://141.218.60.56/~jnz1568/getInfo.php?workbook=18_08.xlsx&amp;sheet=A0&amp;row=170&amp;col=7&amp;number=0&amp;sourceID=14","0")</f>
        <v>0</v>
      </c>
    </row>
    <row r="171" spans="1:7">
      <c r="A171" s="3">
        <v>18</v>
      </c>
      <c r="B171" s="3">
        <v>8</v>
      </c>
      <c r="C171" s="3">
        <v>13</v>
      </c>
      <c r="D171" s="3">
        <v>3</v>
      </c>
      <c r="E171" s="3">
        <v>38.928</v>
      </c>
      <c r="F171" s="4" t="str">
        <f>HYPERLINK("http://141.218.60.56/~jnz1568/getInfo.php?workbook=18_08.xlsx&amp;sheet=A0&amp;row=171&amp;col=6&amp;number=73060000000&amp;sourceID=14","73060000000")</f>
        <v>73060000000</v>
      </c>
      <c r="G171" s="4" t="str">
        <f>HYPERLINK("http://141.218.60.56/~jnz1568/getInfo.php?workbook=18_08.xlsx&amp;sheet=A0&amp;row=171&amp;col=7&amp;number=0&amp;sourceID=14","0")</f>
        <v>0</v>
      </c>
    </row>
    <row r="172" spans="1:7">
      <c r="A172" s="3">
        <v>18</v>
      </c>
      <c r="B172" s="3">
        <v>8</v>
      </c>
      <c r="C172" s="3">
        <v>14</v>
      </c>
      <c r="D172" s="3">
        <v>3</v>
      </c>
      <c r="E172" s="3">
        <v>38.909</v>
      </c>
      <c r="F172" s="4" t="str">
        <f>HYPERLINK("http://141.218.60.56/~jnz1568/getInfo.php?workbook=18_08.xlsx&amp;sheet=A0&amp;row=172&amp;col=6&amp;number=1984&amp;sourceID=14","1984")</f>
        <v>1984</v>
      </c>
      <c r="G172" s="4" t="str">
        <f>HYPERLINK("http://141.218.60.56/~jnz1568/getInfo.php?workbook=18_08.xlsx&amp;sheet=A0&amp;row=172&amp;col=7&amp;number=0&amp;sourceID=14","0")</f>
        <v>0</v>
      </c>
    </row>
    <row r="173" spans="1:7">
      <c r="A173" s="3">
        <v>18</v>
      </c>
      <c r="B173" s="3">
        <v>8</v>
      </c>
      <c r="C173" s="3">
        <v>16</v>
      </c>
      <c r="D173" s="3">
        <v>3</v>
      </c>
      <c r="E173" s="3">
        <v>38.673</v>
      </c>
      <c r="F173" s="4" t="str">
        <f>HYPERLINK("http://141.218.60.56/~jnz1568/getInfo.php?workbook=18_08.xlsx&amp;sheet=A0&amp;row=173&amp;col=6&amp;number=389.8&amp;sourceID=14","389.8")</f>
        <v>389.8</v>
      </c>
      <c r="G173" s="4" t="str">
        <f>HYPERLINK("http://141.218.60.56/~jnz1568/getInfo.php?workbook=18_08.xlsx&amp;sheet=A0&amp;row=173&amp;col=7&amp;number=0&amp;sourceID=14","0")</f>
        <v>0</v>
      </c>
    </row>
    <row r="174" spans="1:7">
      <c r="A174" s="3">
        <v>18</v>
      </c>
      <c r="B174" s="3">
        <v>8</v>
      </c>
      <c r="C174" s="3">
        <v>17</v>
      </c>
      <c r="D174" s="3">
        <v>3</v>
      </c>
      <c r="E174" s="3">
        <v>38.45</v>
      </c>
      <c r="F174" s="4" t="str">
        <f>HYPERLINK("http://141.218.60.56/~jnz1568/getInfo.php?workbook=18_08.xlsx&amp;sheet=A0&amp;row=174&amp;col=6&amp;number=666&amp;sourceID=14","666")</f>
        <v>666</v>
      </c>
      <c r="G174" s="4" t="str">
        <f>HYPERLINK("http://141.218.60.56/~jnz1568/getInfo.php?workbook=18_08.xlsx&amp;sheet=A0&amp;row=174&amp;col=7&amp;number=0&amp;sourceID=14","0")</f>
        <v>0</v>
      </c>
    </row>
    <row r="175" spans="1:7">
      <c r="A175" s="3">
        <v>18</v>
      </c>
      <c r="B175" s="3">
        <v>8</v>
      </c>
      <c r="C175" s="3">
        <v>18</v>
      </c>
      <c r="D175" s="3">
        <v>3</v>
      </c>
      <c r="E175" s="3">
        <v>38.433</v>
      </c>
      <c r="F175" s="4" t="str">
        <f>HYPERLINK("http://141.218.60.56/~jnz1568/getInfo.php?workbook=18_08.xlsx&amp;sheet=A0&amp;row=175&amp;col=6&amp;number=293400&amp;sourceID=14","293400")</f>
        <v>293400</v>
      </c>
      <c r="G175" s="4" t="str">
        <f>HYPERLINK("http://141.218.60.56/~jnz1568/getInfo.php?workbook=18_08.xlsx&amp;sheet=A0&amp;row=175&amp;col=7&amp;number=0&amp;sourceID=14","0")</f>
        <v>0</v>
      </c>
    </row>
    <row r="176" spans="1:7">
      <c r="A176" s="3">
        <v>18</v>
      </c>
      <c r="B176" s="3">
        <v>8</v>
      </c>
      <c r="C176" s="3">
        <v>20</v>
      </c>
      <c r="D176" s="3">
        <v>3</v>
      </c>
      <c r="E176" s="3">
        <v>-38.039</v>
      </c>
      <c r="F176" s="4" t="str">
        <f>HYPERLINK("http://141.218.60.56/~jnz1568/getInfo.php?workbook=18_08.xlsx&amp;sheet=A0&amp;row=176&amp;col=6&amp;number=75.51&amp;sourceID=14","75.51")</f>
        <v>75.51</v>
      </c>
      <c r="G176" s="4" t="str">
        <f>HYPERLINK("http://141.218.60.56/~jnz1568/getInfo.php?workbook=18_08.xlsx&amp;sheet=A0&amp;row=176&amp;col=7&amp;number=0&amp;sourceID=14","0")</f>
        <v>0</v>
      </c>
    </row>
    <row r="177" spans="1:7">
      <c r="A177" s="3">
        <v>18</v>
      </c>
      <c r="B177" s="3">
        <v>8</v>
      </c>
      <c r="C177" s="3">
        <v>21</v>
      </c>
      <c r="D177" s="3">
        <v>3</v>
      </c>
      <c r="E177" s="3">
        <v>-38.021</v>
      </c>
      <c r="F177" s="4" t="str">
        <f>HYPERLINK("http://141.218.60.56/~jnz1568/getInfo.php?workbook=18_08.xlsx&amp;sheet=A0&amp;row=177&amp;col=6&amp;number=25870000&amp;sourceID=14","25870000")</f>
        <v>25870000</v>
      </c>
      <c r="G177" s="4" t="str">
        <f>HYPERLINK("http://141.218.60.56/~jnz1568/getInfo.php?workbook=18_08.xlsx&amp;sheet=A0&amp;row=177&amp;col=7&amp;number=0&amp;sourceID=14","0")</f>
        <v>0</v>
      </c>
    </row>
    <row r="178" spans="1:7">
      <c r="A178" s="3">
        <v>18</v>
      </c>
      <c r="B178" s="3">
        <v>8</v>
      </c>
      <c r="C178" s="3">
        <v>24</v>
      </c>
      <c r="D178" s="3">
        <v>3</v>
      </c>
      <c r="E178" s="3">
        <v>-38.21</v>
      </c>
      <c r="F178" s="4" t="str">
        <f>HYPERLINK("http://141.218.60.56/~jnz1568/getInfo.php?workbook=18_08.xlsx&amp;sheet=A0&amp;row=178&amp;col=6&amp;number=92040000000&amp;sourceID=14","92040000000")</f>
        <v>92040000000</v>
      </c>
      <c r="G178" s="4" t="str">
        <f>HYPERLINK("http://141.218.60.56/~jnz1568/getInfo.php?workbook=18_08.xlsx&amp;sheet=A0&amp;row=178&amp;col=7&amp;number=0&amp;sourceID=14","0")</f>
        <v>0</v>
      </c>
    </row>
    <row r="179" spans="1:7">
      <c r="A179" s="3">
        <v>18</v>
      </c>
      <c r="B179" s="3">
        <v>8</v>
      </c>
      <c r="C179" s="3">
        <v>25</v>
      </c>
      <c r="D179" s="3">
        <v>3</v>
      </c>
      <c r="E179" s="3">
        <v>38.074</v>
      </c>
      <c r="F179" s="4" t="str">
        <f>HYPERLINK("http://141.218.60.56/~jnz1568/getInfo.php?workbook=18_08.xlsx&amp;sheet=A0&amp;row=179&amp;col=6&amp;number=2049&amp;sourceID=14","2049")</f>
        <v>2049</v>
      </c>
      <c r="G179" s="4" t="str">
        <f>HYPERLINK("http://141.218.60.56/~jnz1568/getInfo.php?workbook=18_08.xlsx&amp;sheet=A0&amp;row=179&amp;col=7&amp;number=0&amp;sourceID=14","0")</f>
        <v>0</v>
      </c>
    </row>
    <row r="180" spans="1:7">
      <c r="A180" s="3">
        <v>18</v>
      </c>
      <c r="B180" s="3">
        <v>8</v>
      </c>
      <c r="C180" s="3">
        <v>26</v>
      </c>
      <c r="D180" s="3">
        <v>3</v>
      </c>
      <c r="E180" s="3">
        <v>38.001</v>
      </c>
      <c r="F180" s="4" t="str">
        <f>HYPERLINK("http://141.218.60.56/~jnz1568/getInfo.php?workbook=18_08.xlsx&amp;sheet=A0&amp;row=180&amp;col=6&amp;number=1900000000&amp;sourceID=14","1900000000")</f>
        <v>1900000000</v>
      </c>
      <c r="G180" s="4" t="str">
        <f>HYPERLINK("http://141.218.60.56/~jnz1568/getInfo.php?workbook=18_08.xlsx&amp;sheet=A0&amp;row=180&amp;col=7&amp;number=0&amp;sourceID=14","0")</f>
        <v>0</v>
      </c>
    </row>
    <row r="181" spans="1:7">
      <c r="A181" s="3">
        <v>18</v>
      </c>
      <c r="B181" s="3">
        <v>8</v>
      </c>
      <c r="C181" s="3">
        <v>27</v>
      </c>
      <c r="D181" s="3">
        <v>3</v>
      </c>
      <c r="E181" s="3">
        <v>-37.081</v>
      </c>
      <c r="F181" s="4" t="str">
        <f>HYPERLINK("http://141.218.60.56/~jnz1568/getInfo.php?workbook=18_08.xlsx&amp;sheet=A0&amp;row=181&amp;col=6&amp;number=43.61&amp;sourceID=14","43.61")</f>
        <v>43.61</v>
      </c>
      <c r="G181" s="4" t="str">
        <f>HYPERLINK("http://141.218.60.56/~jnz1568/getInfo.php?workbook=18_08.xlsx&amp;sheet=A0&amp;row=181&amp;col=7&amp;number=0&amp;sourceID=14","0")</f>
        <v>0</v>
      </c>
    </row>
    <row r="182" spans="1:7">
      <c r="A182" s="3">
        <v>18</v>
      </c>
      <c r="B182" s="3">
        <v>8</v>
      </c>
      <c r="C182" s="3">
        <v>28</v>
      </c>
      <c r="D182" s="3">
        <v>3</v>
      </c>
      <c r="E182" s="3">
        <v>-37.127</v>
      </c>
      <c r="F182" s="4" t="str">
        <f>HYPERLINK("http://141.218.60.56/~jnz1568/getInfo.php?workbook=18_08.xlsx&amp;sheet=A0&amp;row=182&amp;col=6&amp;number=3322000&amp;sourceID=14","3322000")</f>
        <v>3322000</v>
      </c>
      <c r="G182" s="4" t="str">
        <f>HYPERLINK("http://141.218.60.56/~jnz1568/getInfo.php?workbook=18_08.xlsx&amp;sheet=A0&amp;row=182&amp;col=7&amp;number=0&amp;sourceID=14","0")</f>
        <v>0</v>
      </c>
    </row>
    <row r="183" spans="1:7">
      <c r="A183" s="3">
        <v>18</v>
      </c>
      <c r="B183" s="3">
        <v>8</v>
      </c>
      <c r="C183" s="3">
        <v>30</v>
      </c>
      <c r="D183" s="3">
        <v>3</v>
      </c>
      <c r="E183" s="3">
        <v>-37.245</v>
      </c>
      <c r="F183" s="4" t="str">
        <f>HYPERLINK("http://141.218.60.56/~jnz1568/getInfo.php?workbook=18_08.xlsx&amp;sheet=A0&amp;row=183&amp;col=6&amp;number=288.5&amp;sourceID=14","288.5")</f>
        <v>288.5</v>
      </c>
      <c r="G183" s="4" t="str">
        <f>HYPERLINK("http://141.218.60.56/~jnz1568/getInfo.php?workbook=18_08.xlsx&amp;sheet=A0&amp;row=183&amp;col=7&amp;number=0&amp;sourceID=14","0")</f>
        <v>0</v>
      </c>
    </row>
    <row r="184" spans="1:7">
      <c r="A184" s="3">
        <v>18</v>
      </c>
      <c r="B184" s="3">
        <v>8</v>
      </c>
      <c r="C184" s="3">
        <v>31</v>
      </c>
      <c r="D184" s="3">
        <v>3</v>
      </c>
      <c r="E184" s="3">
        <v>-36.986</v>
      </c>
      <c r="F184" s="4" t="str">
        <f>HYPERLINK("http://141.218.60.56/~jnz1568/getInfo.php?workbook=18_08.xlsx&amp;sheet=A0&amp;row=184&amp;col=6&amp;number=33710000&amp;sourceID=14","33710000")</f>
        <v>33710000</v>
      </c>
      <c r="G184" s="4" t="str">
        <f>HYPERLINK("http://141.218.60.56/~jnz1568/getInfo.php?workbook=18_08.xlsx&amp;sheet=A0&amp;row=184&amp;col=7&amp;number=0&amp;sourceID=14","0")</f>
        <v>0</v>
      </c>
    </row>
    <row r="185" spans="1:7">
      <c r="A185" s="3">
        <v>18</v>
      </c>
      <c r="B185" s="3">
        <v>8</v>
      </c>
      <c r="C185" s="3">
        <v>36</v>
      </c>
      <c r="D185" s="3">
        <v>3</v>
      </c>
      <c r="E185" s="3">
        <v>-36.285</v>
      </c>
      <c r="F185" s="4" t="str">
        <f>HYPERLINK("http://141.218.60.56/~jnz1568/getInfo.php?workbook=18_08.xlsx&amp;sheet=A0&amp;row=185&amp;col=6&amp;number=1409&amp;sourceID=14","1409")</f>
        <v>1409</v>
      </c>
      <c r="G185" s="4" t="str">
        <f>HYPERLINK("http://141.218.60.56/~jnz1568/getInfo.php?workbook=18_08.xlsx&amp;sheet=A0&amp;row=185&amp;col=7&amp;number=0&amp;sourceID=14","0")</f>
        <v>0</v>
      </c>
    </row>
    <row r="186" spans="1:7">
      <c r="A186" s="3">
        <v>18</v>
      </c>
      <c r="B186" s="3">
        <v>8</v>
      </c>
      <c r="C186" s="3">
        <v>37</v>
      </c>
      <c r="D186" s="3">
        <v>3</v>
      </c>
      <c r="E186" s="3">
        <v>36.345</v>
      </c>
      <c r="F186" s="4" t="str">
        <f>HYPERLINK("http://141.218.60.56/~jnz1568/getInfo.php?workbook=18_08.xlsx&amp;sheet=A0&amp;row=186&amp;col=6&amp;number=785900&amp;sourceID=14","785900")</f>
        <v>785900</v>
      </c>
      <c r="G186" s="4" t="str">
        <f>HYPERLINK("http://141.218.60.56/~jnz1568/getInfo.php?workbook=18_08.xlsx&amp;sheet=A0&amp;row=186&amp;col=7&amp;number=0&amp;sourceID=14","0")</f>
        <v>0</v>
      </c>
    </row>
    <row r="187" spans="1:7">
      <c r="A187" s="3">
        <v>18</v>
      </c>
      <c r="B187" s="3">
        <v>8</v>
      </c>
      <c r="C187" s="3">
        <v>39</v>
      </c>
      <c r="D187" s="3">
        <v>3</v>
      </c>
      <c r="E187" s="3">
        <v>-36.12</v>
      </c>
      <c r="F187" s="4" t="str">
        <f>HYPERLINK("http://141.218.60.56/~jnz1568/getInfo.php?workbook=18_08.xlsx&amp;sheet=A0&amp;row=187&amp;col=6&amp;number=814000000&amp;sourceID=14","814000000")</f>
        <v>814000000</v>
      </c>
      <c r="G187" s="4" t="str">
        <f>HYPERLINK("http://141.218.60.56/~jnz1568/getInfo.php?workbook=18_08.xlsx&amp;sheet=A0&amp;row=187&amp;col=7&amp;number=0&amp;sourceID=14","0")</f>
        <v>0</v>
      </c>
    </row>
    <row r="188" spans="1:7">
      <c r="A188" s="3">
        <v>18</v>
      </c>
      <c r="B188" s="3">
        <v>8</v>
      </c>
      <c r="C188" s="3">
        <v>40</v>
      </c>
      <c r="D188" s="3">
        <v>3</v>
      </c>
      <c r="E188" s="3">
        <v>36.198</v>
      </c>
      <c r="F188" s="4" t="str">
        <f>HYPERLINK("http://141.218.60.56/~jnz1568/getInfo.php?workbook=18_08.xlsx&amp;sheet=A0&amp;row=188&amp;col=6&amp;number=22000&amp;sourceID=14","22000")</f>
        <v>22000</v>
      </c>
      <c r="G188" s="4" t="str">
        <f>HYPERLINK("http://141.218.60.56/~jnz1568/getInfo.php?workbook=18_08.xlsx&amp;sheet=A0&amp;row=188&amp;col=7&amp;number=0&amp;sourceID=14","0")</f>
        <v>0</v>
      </c>
    </row>
    <row r="189" spans="1:7">
      <c r="A189" s="3">
        <v>18</v>
      </c>
      <c r="B189" s="3">
        <v>8</v>
      </c>
      <c r="C189" s="3">
        <v>43</v>
      </c>
      <c r="D189" s="3">
        <v>3</v>
      </c>
      <c r="E189" s="3">
        <v>-36.282</v>
      </c>
      <c r="F189" s="4" t="str">
        <f>HYPERLINK("http://141.218.60.56/~jnz1568/getInfo.php?workbook=18_08.xlsx&amp;sheet=A0&amp;row=189&amp;col=6&amp;number=30560000&amp;sourceID=14","30560000")</f>
        <v>30560000</v>
      </c>
      <c r="G189" s="4" t="str">
        <f>HYPERLINK("http://141.218.60.56/~jnz1568/getInfo.php?workbook=18_08.xlsx&amp;sheet=A0&amp;row=189&amp;col=7&amp;number=0&amp;sourceID=14","0")</f>
        <v>0</v>
      </c>
    </row>
    <row r="190" spans="1:7">
      <c r="A190" s="3">
        <v>18</v>
      </c>
      <c r="B190" s="3">
        <v>8</v>
      </c>
      <c r="C190" s="3">
        <v>44</v>
      </c>
      <c r="D190" s="3">
        <v>3</v>
      </c>
      <c r="E190" s="3">
        <v>-36.508</v>
      </c>
      <c r="F190" s="4" t="str">
        <f>HYPERLINK("http://141.218.60.56/~jnz1568/getInfo.php?workbook=18_08.xlsx&amp;sheet=A0&amp;row=190&amp;col=6&amp;number=73.62&amp;sourceID=14","73.62")</f>
        <v>73.62</v>
      </c>
      <c r="G190" s="4" t="str">
        <f>HYPERLINK("http://141.218.60.56/~jnz1568/getInfo.php?workbook=18_08.xlsx&amp;sheet=A0&amp;row=190&amp;col=7&amp;number=0&amp;sourceID=14","0")</f>
        <v>0</v>
      </c>
    </row>
    <row r="191" spans="1:7">
      <c r="A191" s="3">
        <v>18</v>
      </c>
      <c r="B191" s="3">
        <v>8</v>
      </c>
      <c r="C191" s="3">
        <v>45</v>
      </c>
      <c r="D191" s="3">
        <v>3</v>
      </c>
      <c r="E191" s="3">
        <v>-36.307</v>
      </c>
      <c r="F191" s="4" t="str">
        <f>HYPERLINK("http://141.218.60.56/~jnz1568/getInfo.php?workbook=18_08.xlsx&amp;sheet=A0&amp;row=191&amp;col=6&amp;number=62.57&amp;sourceID=14","62.57")</f>
        <v>62.57</v>
      </c>
      <c r="G191" s="4" t="str">
        <f>HYPERLINK("http://141.218.60.56/~jnz1568/getInfo.php?workbook=18_08.xlsx&amp;sheet=A0&amp;row=191&amp;col=7&amp;number=0&amp;sourceID=14","0")</f>
        <v>0</v>
      </c>
    </row>
    <row r="192" spans="1:7">
      <c r="A192" s="3">
        <v>18</v>
      </c>
      <c r="B192" s="3">
        <v>8</v>
      </c>
      <c r="C192" s="3">
        <v>46</v>
      </c>
      <c r="D192" s="3">
        <v>3</v>
      </c>
      <c r="E192" s="3">
        <v>-36.165</v>
      </c>
      <c r="F192" s="4" t="str">
        <f>HYPERLINK("http://141.218.60.56/~jnz1568/getInfo.php?workbook=18_08.xlsx&amp;sheet=A0&amp;row=192&amp;col=6&amp;number=1469000&amp;sourceID=14","1469000")</f>
        <v>1469000</v>
      </c>
      <c r="G192" s="4" t="str">
        <f>HYPERLINK("http://141.218.60.56/~jnz1568/getInfo.php?workbook=18_08.xlsx&amp;sheet=A0&amp;row=192&amp;col=7&amp;number=0&amp;sourceID=14","0")</f>
        <v>0</v>
      </c>
    </row>
    <row r="193" spans="1:7">
      <c r="A193" s="3">
        <v>18</v>
      </c>
      <c r="B193" s="3">
        <v>8</v>
      </c>
      <c r="C193" s="3">
        <v>48</v>
      </c>
      <c r="D193" s="3">
        <v>3</v>
      </c>
      <c r="E193" s="3">
        <v>-36.109</v>
      </c>
      <c r="F193" s="4" t="str">
        <f>HYPERLINK("http://141.218.60.56/~jnz1568/getInfo.php?workbook=18_08.xlsx&amp;sheet=A0&amp;row=193&amp;col=6&amp;number=566.9&amp;sourceID=14","566.9")</f>
        <v>566.9</v>
      </c>
      <c r="G193" s="4" t="str">
        <f>HYPERLINK("http://141.218.60.56/~jnz1568/getInfo.php?workbook=18_08.xlsx&amp;sheet=A0&amp;row=193&amp;col=7&amp;number=0&amp;sourceID=14","0")</f>
        <v>0</v>
      </c>
    </row>
    <row r="194" spans="1:7">
      <c r="A194" s="3">
        <v>18</v>
      </c>
      <c r="B194" s="3">
        <v>8</v>
      </c>
      <c r="C194" s="3">
        <v>49</v>
      </c>
      <c r="D194" s="3">
        <v>3</v>
      </c>
      <c r="E194" s="3">
        <v>-35.973</v>
      </c>
      <c r="F194" s="4" t="str">
        <f>HYPERLINK("http://141.218.60.56/~jnz1568/getInfo.php?workbook=18_08.xlsx&amp;sheet=A0&amp;row=194&amp;col=6&amp;number=2137000&amp;sourceID=14","2137000")</f>
        <v>2137000</v>
      </c>
      <c r="G194" s="4" t="str">
        <f>HYPERLINK("http://141.218.60.56/~jnz1568/getInfo.php?workbook=18_08.xlsx&amp;sheet=A0&amp;row=194&amp;col=7&amp;number=0&amp;sourceID=14","0")</f>
        <v>0</v>
      </c>
    </row>
    <row r="195" spans="1:7">
      <c r="A195" s="3">
        <v>18</v>
      </c>
      <c r="B195" s="3">
        <v>8</v>
      </c>
      <c r="C195" s="3">
        <v>50</v>
      </c>
      <c r="D195" s="3">
        <v>3</v>
      </c>
      <c r="E195" s="3">
        <v>-35.935</v>
      </c>
      <c r="F195" s="4" t="str">
        <f>HYPERLINK("http://141.218.60.56/~jnz1568/getInfo.php?workbook=18_08.xlsx&amp;sheet=A0&amp;row=195&amp;col=6&amp;number=0.8214&amp;sourceID=14","0.8214")</f>
        <v>0.8214</v>
      </c>
      <c r="G195" s="4" t="str">
        <f>HYPERLINK("http://141.218.60.56/~jnz1568/getInfo.php?workbook=18_08.xlsx&amp;sheet=A0&amp;row=195&amp;col=7&amp;number=0&amp;sourceID=14","0")</f>
        <v>0</v>
      </c>
    </row>
    <row r="196" spans="1:7">
      <c r="A196" s="3">
        <v>18</v>
      </c>
      <c r="B196" s="3">
        <v>8</v>
      </c>
      <c r="C196" s="3">
        <v>51</v>
      </c>
      <c r="D196" s="3">
        <v>3</v>
      </c>
      <c r="E196" s="3">
        <v>35.614</v>
      </c>
      <c r="F196" s="4" t="str">
        <f>HYPERLINK("http://141.218.60.56/~jnz1568/getInfo.php?workbook=18_08.xlsx&amp;sheet=A0&amp;row=196&amp;col=6&amp;number=152.1&amp;sourceID=14","152.1")</f>
        <v>152.1</v>
      </c>
      <c r="G196" s="4" t="str">
        <f>HYPERLINK("http://141.218.60.56/~jnz1568/getInfo.php?workbook=18_08.xlsx&amp;sheet=A0&amp;row=196&amp;col=7&amp;number=0&amp;sourceID=14","0")</f>
        <v>0</v>
      </c>
    </row>
    <row r="197" spans="1:7">
      <c r="A197" s="3">
        <v>18</v>
      </c>
      <c r="B197" s="3">
        <v>8</v>
      </c>
      <c r="C197" s="3">
        <v>52</v>
      </c>
      <c r="D197" s="3">
        <v>3</v>
      </c>
      <c r="E197" s="3">
        <v>35.629</v>
      </c>
      <c r="F197" s="4" t="str">
        <f>HYPERLINK("http://141.218.60.56/~jnz1568/getInfo.php?workbook=18_08.xlsx&amp;sheet=A0&amp;row=197&amp;col=6&amp;number=468300000000&amp;sourceID=14","468300000000")</f>
        <v>468300000000</v>
      </c>
      <c r="G197" s="4" t="str">
        <f>HYPERLINK("http://141.218.60.56/~jnz1568/getInfo.php?workbook=18_08.xlsx&amp;sheet=A0&amp;row=197&amp;col=7&amp;number=0&amp;sourceID=14","0")</f>
        <v>0</v>
      </c>
    </row>
    <row r="198" spans="1:7">
      <c r="A198" s="3">
        <v>18</v>
      </c>
      <c r="B198" s="3">
        <v>8</v>
      </c>
      <c r="C198" s="3">
        <v>55</v>
      </c>
      <c r="D198" s="3">
        <v>3</v>
      </c>
      <c r="E198" s="3">
        <v>-35.539</v>
      </c>
      <c r="F198" s="4" t="str">
        <f>HYPERLINK("http://141.218.60.56/~jnz1568/getInfo.php?workbook=18_08.xlsx&amp;sheet=A0&amp;row=198&amp;col=6&amp;number=69350&amp;sourceID=14","69350")</f>
        <v>69350</v>
      </c>
      <c r="G198" s="4" t="str">
        <f>HYPERLINK("http://141.218.60.56/~jnz1568/getInfo.php?workbook=18_08.xlsx&amp;sheet=A0&amp;row=198&amp;col=7&amp;number=0&amp;sourceID=14","0")</f>
        <v>0</v>
      </c>
    </row>
    <row r="199" spans="1:7">
      <c r="A199" s="3">
        <v>18</v>
      </c>
      <c r="B199" s="3">
        <v>8</v>
      </c>
      <c r="C199" s="3">
        <v>56</v>
      </c>
      <c r="D199" s="3">
        <v>3</v>
      </c>
      <c r="E199" s="3">
        <v>34.847</v>
      </c>
      <c r="F199" s="4" t="str">
        <f>HYPERLINK("http://141.218.60.56/~jnz1568/getInfo.php?workbook=18_08.xlsx&amp;sheet=A0&amp;row=199&amp;col=6&amp;number=8501&amp;sourceID=14","8501")</f>
        <v>8501</v>
      </c>
      <c r="G199" s="4" t="str">
        <f>HYPERLINK("http://141.218.60.56/~jnz1568/getInfo.php?workbook=18_08.xlsx&amp;sheet=A0&amp;row=199&amp;col=7&amp;number=0&amp;sourceID=14","0")</f>
        <v>0</v>
      </c>
    </row>
    <row r="200" spans="1:7">
      <c r="A200" s="3">
        <v>18</v>
      </c>
      <c r="B200" s="3">
        <v>8</v>
      </c>
      <c r="C200" s="3">
        <v>64</v>
      </c>
      <c r="D200" s="3">
        <v>3</v>
      </c>
      <c r="E200" s="3">
        <v>34.562</v>
      </c>
      <c r="F200" s="4" t="str">
        <f>HYPERLINK("http://141.218.60.56/~jnz1568/getInfo.php?workbook=18_08.xlsx&amp;sheet=A0&amp;row=200&amp;col=6&amp;number=227900000000&amp;sourceID=14","227900000000")</f>
        <v>227900000000</v>
      </c>
      <c r="G200" s="4" t="str">
        <f>HYPERLINK("http://141.218.60.56/~jnz1568/getInfo.php?workbook=18_08.xlsx&amp;sheet=A0&amp;row=200&amp;col=7&amp;number=0&amp;sourceID=14","0")</f>
        <v>0</v>
      </c>
    </row>
    <row r="201" spans="1:7">
      <c r="A201" s="3">
        <v>18</v>
      </c>
      <c r="B201" s="3">
        <v>8</v>
      </c>
      <c r="C201" s="3">
        <v>66</v>
      </c>
      <c r="D201" s="3">
        <v>3</v>
      </c>
      <c r="E201" s="3">
        <v>34.566</v>
      </c>
      <c r="F201" s="4" t="str">
        <f>HYPERLINK("http://141.218.60.56/~jnz1568/getInfo.php?workbook=18_08.xlsx&amp;sheet=A0&amp;row=201&amp;col=6&amp;number=1318&amp;sourceID=14","1318")</f>
        <v>1318</v>
      </c>
      <c r="G201" s="4" t="str">
        <f>HYPERLINK("http://141.218.60.56/~jnz1568/getInfo.php?workbook=18_08.xlsx&amp;sheet=A0&amp;row=201&amp;col=7&amp;number=0&amp;sourceID=14","0")</f>
        <v>0</v>
      </c>
    </row>
    <row r="202" spans="1:7">
      <c r="A202" s="3">
        <v>18</v>
      </c>
      <c r="B202" s="3">
        <v>8</v>
      </c>
      <c r="C202" s="3">
        <v>67</v>
      </c>
      <c r="D202" s="3">
        <v>3</v>
      </c>
      <c r="E202" s="3">
        <v>34.67</v>
      </c>
      <c r="F202" s="4" t="str">
        <f>HYPERLINK("http://141.218.60.56/~jnz1568/getInfo.php?workbook=18_08.xlsx&amp;sheet=A0&amp;row=202&amp;col=6&amp;number=507400000000&amp;sourceID=14","507400000000")</f>
        <v>507400000000</v>
      </c>
      <c r="G202" s="4" t="str">
        <f>HYPERLINK("http://141.218.60.56/~jnz1568/getInfo.php?workbook=18_08.xlsx&amp;sheet=A0&amp;row=202&amp;col=7&amp;number=0&amp;sourceID=14","0")</f>
        <v>0</v>
      </c>
    </row>
    <row r="203" spans="1:7">
      <c r="A203" s="3">
        <v>18</v>
      </c>
      <c r="B203" s="3">
        <v>8</v>
      </c>
      <c r="C203" s="3">
        <v>69</v>
      </c>
      <c r="D203" s="3">
        <v>3</v>
      </c>
      <c r="E203" s="3">
        <v>34.44</v>
      </c>
      <c r="F203" s="4" t="str">
        <f>HYPERLINK("http://141.218.60.56/~jnz1568/getInfo.php?workbook=18_08.xlsx&amp;sheet=A0&amp;row=203&amp;col=6&amp;number=569.1&amp;sourceID=14","569.1")</f>
        <v>569.1</v>
      </c>
      <c r="G203" s="4" t="str">
        <f>HYPERLINK("http://141.218.60.56/~jnz1568/getInfo.php?workbook=18_08.xlsx&amp;sheet=A0&amp;row=203&amp;col=7&amp;number=0&amp;sourceID=14","0")</f>
        <v>0</v>
      </c>
    </row>
    <row r="204" spans="1:7">
      <c r="A204" s="3">
        <v>18</v>
      </c>
      <c r="B204" s="3">
        <v>8</v>
      </c>
      <c r="C204" s="3">
        <v>71</v>
      </c>
      <c r="D204" s="3">
        <v>3</v>
      </c>
      <c r="E204" s="3">
        <v>34.305</v>
      </c>
      <c r="F204" s="4" t="str">
        <f>HYPERLINK("http://141.218.60.56/~jnz1568/getInfo.php?workbook=18_08.xlsx&amp;sheet=A0&amp;row=204&amp;col=6&amp;number=572400000000&amp;sourceID=14","572400000000")</f>
        <v>572400000000</v>
      </c>
      <c r="G204" s="4" t="str">
        <f>HYPERLINK("http://141.218.60.56/~jnz1568/getInfo.php?workbook=18_08.xlsx&amp;sheet=A0&amp;row=204&amp;col=7&amp;number=0&amp;sourceID=14","0")</f>
        <v>0</v>
      </c>
    </row>
    <row r="205" spans="1:7">
      <c r="A205" s="3">
        <v>18</v>
      </c>
      <c r="B205" s="3">
        <v>8</v>
      </c>
      <c r="C205" s="3">
        <v>72</v>
      </c>
      <c r="D205" s="3">
        <v>3</v>
      </c>
      <c r="E205" s="3">
        <v>34.44</v>
      </c>
      <c r="F205" s="4" t="str">
        <f>HYPERLINK("http://141.218.60.56/~jnz1568/getInfo.php?workbook=18_08.xlsx&amp;sheet=A0&amp;row=205&amp;col=6&amp;number=43010&amp;sourceID=14","43010")</f>
        <v>43010</v>
      </c>
      <c r="G205" s="4" t="str">
        <f>HYPERLINK("http://141.218.60.56/~jnz1568/getInfo.php?workbook=18_08.xlsx&amp;sheet=A0&amp;row=205&amp;col=7&amp;number=0&amp;sourceID=14","0")</f>
        <v>0</v>
      </c>
    </row>
    <row r="206" spans="1:7">
      <c r="A206" s="3">
        <v>18</v>
      </c>
      <c r="B206" s="3">
        <v>8</v>
      </c>
      <c r="C206" s="3">
        <v>73</v>
      </c>
      <c r="D206" s="3">
        <v>3</v>
      </c>
      <c r="E206" s="3">
        <v>34.305</v>
      </c>
      <c r="F206" s="4" t="str">
        <f>HYPERLINK("http://141.218.60.56/~jnz1568/getInfo.php?workbook=18_08.xlsx&amp;sheet=A0&amp;row=206&amp;col=6&amp;number=102100000000&amp;sourceID=14","102100000000")</f>
        <v>102100000000</v>
      </c>
      <c r="G206" s="4" t="str">
        <f>HYPERLINK("http://141.218.60.56/~jnz1568/getInfo.php?workbook=18_08.xlsx&amp;sheet=A0&amp;row=206&amp;col=7&amp;number=0&amp;sourceID=14","0")</f>
        <v>0</v>
      </c>
    </row>
    <row r="207" spans="1:7">
      <c r="A207" s="3">
        <v>18</v>
      </c>
      <c r="B207" s="3">
        <v>8</v>
      </c>
      <c r="C207" s="3">
        <v>75</v>
      </c>
      <c r="D207" s="3">
        <v>3</v>
      </c>
      <c r="E207" s="3">
        <v>-34.129</v>
      </c>
      <c r="F207" s="4" t="str">
        <f>HYPERLINK("http://141.218.60.56/~jnz1568/getInfo.php?workbook=18_08.xlsx&amp;sheet=A0&amp;row=207&amp;col=6&amp;number=3686&amp;sourceID=14","3686")</f>
        <v>3686</v>
      </c>
      <c r="G207" s="4" t="str">
        <f>HYPERLINK("http://141.218.60.56/~jnz1568/getInfo.php?workbook=18_08.xlsx&amp;sheet=A0&amp;row=207&amp;col=7&amp;number=0&amp;sourceID=14","0")</f>
        <v>0</v>
      </c>
    </row>
    <row r="208" spans="1:7">
      <c r="A208" s="3">
        <v>18</v>
      </c>
      <c r="B208" s="3">
        <v>8</v>
      </c>
      <c r="C208" s="3">
        <v>79</v>
      </c>
      <c r="D208" s="3">
        <v>3</v>
      </c>
      <c r="E208" s="3">
        <v>-34.085</v>
      </c>
      <c r="F208" s="4" t="str">
        <f>HYPERLINK("http://141.218.60.56/~jnz1568/getInfo.php?workbook=18_08.xlsx&amp;sheet=A0&amp;row=208&amp;col=6&amp;number=530000000000&amp;sourceID=14","530000000000")</f>
        <v>530000000000</v>
      </c>
      <c r="G208" s="4" t="str">
        <f>HYPERLINK("http://141.218.60.56/~jnz1568/getInfo.php?workbook=18_08.xlsx&amp;sheet=A0&amp;row=208&amp;col=7&amp;number=0&amp;sourceID=14","0")</f>
        <v>0</v>
      </c>
    </row>
    <row r="209" spans="1:7">
      <c r="A209" s="3">
        <v>18</v>
      </c>
      <c r="B209" s="3">
        <v>8</v>
      </c>
      <c r="C209" s="3">
        <v>80</v>
      </c>
      <c r="D209" s="3">
        <v>3</v>
      </c>
      <c r="E209" s="3">
        <v>-34.062</v>
      </c>
      <c r="F209" s="4" t="str">
        <f>HYPERLINK("http://141.218.60.56/~jnz1568/getInfo.php?workbook=18_08.xlsx&amp;sheet=A0&amp;row=209&amp;col=6&amp;number=27220&amp;sourceID=14","27220")</f>
        <v>27220</v>
      </c>
      <c r="G209" s="4" t="str">
        <f>HYPERLINK("http://141.218.60.56/~jnz1568/getInfo.php?workbook=18_08.xlsx&amp;sheet=A0&amp;row=209&amp;col=7&amp;number=0&amp;sourceID=14","0")</f>
        <v>0</v>
      </c>
    </row>
    <row r="210" spans="1:7">
      <c r="A210" s="3">
        <v>18</v>
      </c>
      <c r="B210" s="3">
        <v>8</v>
      </c>
      <c r="C210" s="3">
        <v>81</v>
      </c>
      <c r="D210" s="3">
        <v>3</v>
      </c>
      <c r="E210" s="3">
        <v>33.933</v>
      </c>
      <c r="F210" s="4" t="str">
        <f>HYPERLINK("http://141.218.60.56/~jnz1568/getInfo.php?workbook=18_08.xlsx&amp;sheet=A0&amp;row=210&amp;col=6&amp;number=54460&amp;sourceID=14","54460")</f>
        <v>54460</v>
      </c>
      <c r="G210" s="4" t="str">
        <f>HYPERLINK("http://141.218.60.56/~jnz1568/getInfo.php?workbook=18_08.xlsx&amp;sheet=A0&amp;row=210&amp;col=7&amp;number=0&amp;sourceID=14","0")</f>
        <v>0</v>
      </c>
    </row>
    <row r="211" spans="1:7">
      <c r="A211" s="3">
        <v>18</v>
      </c>
      <c r="B211" s="3">
        <v>8</v>
      </c>
      <c r="C211" s="3">
        <v>83</v>
      </c>
      <c r="D211" s="3">
        <v>3</v>
      </c>
      <c r="E211" s="3">
        <v>33.776</v>
      </c>
      <c r="F211" s="4" t="str">
        <f>HYPERLINK("http://141.218.60.56/~jnz1568/getInfo.php?workbook=18_08.xlsx&amp;sheet=A0&amp;row=211&amp;col=6&amp;number=1512000000000&amp;sourceID=14","1512000000000")</f>
        <v>1512000000000</v>
      </c>
      <c r="G211" s="4" t="str">
        <f>HYPERLINK("http://141.218.60.56/~jnz1568/getInfo.php?workbook=18_08.xlsx&amp;sheet=A0&amp;row=211&amp;col=7&amp;number=0&amp;sourceID=14","0")</f>
        <v>0</v>
      </c>
    </row>
    <row r="212" spans="1:7">
      <c r="A212" s="3">
        <v>18</v>
      </c>
      <c r="B212" s="3">
        <v>8</v>
      </c>
      <c r="C212" s="3">
        <v>84</v>
      </c>
      <c r="D212" s="3">
        <v>3</v>
      </c>
      <c r="E212" s="3">
        <v>33.885</v>
      </c>
      <c r="F212" s="4" t="str">
        <f>HYPERLINK("http://141.218.60.56/~jnz1568/getInfo.php?workbook=18_08.xlsx&amp;sheet=A0&amp;row=212&amp;col=6&amp;number=2532&amp;sourceID=14","2532")</f>
        <v>2532</v>
      </c>
      <c r="G212" s="4" t="str">
        <f>HYPERLINK("http://141.218.60.56/~jnz1568/getInfo.php?workbook=18_08.xlsx&amp;sheet=A0&amp;row=212&amp;col=7&amp;number=0&amp;sourceID=14","0")</f>
        <v>0</v>
      </c>
    </row>
    <row r="213" spans="1:7">
      <c r="A213" s="3">
        <v>18</v>
      </c>
      <c r="B213" s="3">
        <v>8</v>
      </c>
      <c r="C213" s="3">
        <v>86</v>
      </c>
      <c r="D213" s="3">
        <v>3</v>
      </c>
      <c r="E213" s="3">
        <v>33.365</v>
      </c>
      <c r="F213" s="4" t="str">
        <f>HYPERLINK("http://141.218.60.56/~jnz1568/getInfo.php?workbook=18_08.xlsx&amp;sheet=A0&amp;row=213&amp;col=6&amp;number=5090000000&amp;sourceID=14","5090000000")</f>
        <v>5090000000</v>
      </c>
      <c r="G213" s="4" t="str">
        <f>HYPERLINK("http://141.218.60.56/~jnz1568/getInfo.php?workbook=18_08.xlsx&amp;sheet=A0&amp;row=213&amp;col=7&amp;number=0&amp;sourceID=14","0")</f>
        <v>0</v>
      </c>
    </row>
    <row r="214" spans="1:7">
      <c r="A214" s="3">
        <v>18</v>
      </c>
      <c r="B214" s="3">
        <v>8</v>
      </c>
      <c r="C214" s="3">
        <v>5</v>
      </c>
      <c r="D214" s="3">
        <v>4</v>
      </c>
      <c r="E214" s="3">
        <v>1304.138</v>
      </c>
      <c r="F214" s="4" t="str">
        <f>HYPERLINK("http://141.218.60.56/~jnz1568/getInfo.php?workbook=18_08.xlsx&amp;sheet=A0&amp;row=214&amp;col=6&amp;number=9.741&amp;sourceID=14","9.741")</f>
        <v>9.741</v>
      </c>
      <c r="G214" s="4" t="str">
        <f>HYPERLINK("http://141.218.60.56/~jnz1568/getInfo.php?workbook=18_08.xlsx&amp;sheet=A0&amp;row=214&amp;col=7&amp;number=0&amp;sourceID=14","0")</f>
        <v>0</v>
      </c>
    </row>
    <row r="215" spans="1:7">
      <c r="A215" s="3">
        <v>18</v>
      </c>
      <c r="B215" s="3">
        <v>8</v>
      </c>
      <c r="C215" s="3">
        <v>6</v>
      </c>
      <c r="D215" s="3">
        <v>4</v>
      </c>
      <c r="E215" s="3">
        <v>218.432</v>
      </c>
      <c r="F215" s="4" t="str">
        <f>HYPERLINK("http://141.218.60.56/~jnz1568/getInfo.php?workbook=18_08.xlsx&amp;sheet=A0&amp;row=215&amp;col=6&amp;number=163000000&amp;sourceID=14","163000000")</f>
        <v>163000000</v>
      </c>
      <c r="G215" s="4" t="str">
        <f>HYPERLINK("http://141.218.60.56/~jnz1568/getInfo.php?workbook=18_08.xlsx&amp;sheet=A0&amp;row=215&amp;col=7&amp;number=0&amp;sourceID=14","0")</f>
        <v>0</v>
      </c>
    </row>
    <row r="216" spans="1:7">
      <c r="A216" s="3">
        <v>18</v>
      </c>
      <c r="B216" s="3">
        <v>8</v>
      </c>
      <c r="C216" s="3">
        <v>7</v>
      </c>
      <c r="D216" s="3">
        <v>4</v>
      </c>
      <c r="E216" s="3">
        <v>212.72</v>
      </c>
      <c r="F216" s="4" t="str">
        <f>HYPERLINK("http://141.218.60.56/~jnz1568/getInfo.php?workbook=18_08.xlsx&amp;sheet=A0&amp;row=216&amp;col=6&amp;number=5997000&amp;sourceID=14","5997000")</f>
        <v>5997000</v>
      </c>
      <c r="G216" s="4" t="str">
        <f>HYPERLINK("http://141.218.60.56/~jnz1568/getInfo.php?workbook=18_08.xlsx&amp;sheet=A0&amp;row=216&amp;col=7&amp;number=0&amp;sourceID=14","0")</f>
        <v>0</v>
      </c>
    </row>
    <row r="217" spans="1:7">
      <c r="A217" s="3">
        <v>18</v>
      </c>
      <c r="B217" s="3">
        <v>8</v>
      </c>
      <c r="C217" s="3">
        <v>8</v>
      </c>
      <c r="D217" s="3">
        <v>4</v>
      </c>
      <c r="E217" s="3">
        <v>209.589</v>
      </c>
      <c r="F217" s="4" t="str">
        <f>HYPERLINK("http://141.218.60.56/~jnz1568/getInfo.php?workbook=18_08.xlsx&amp;sheet=A0&amp;row=217&amp;col=6&amp;number=38.45&amp;sourceID=14","38.45")</f>
        <v>38.45</v>
      </c>
      <c r="G217" s="4" t="str">
        <f>HYPERLINK("http://141.218.60.56/~jnz1568/getInfo.php?workbook=18_08.xlsx&amp;sheet=A0&amp;row=217&amp;col=7&amp;number=0&amp;sourceID=14","0")</f>
        <v>0</v>
      </c>
    </row>
    <row r="218" spans="1:7">
      <c r="A218" s="3">
        <v>18</v>
      </c>
      <c r="B218" s="3">
        <v>8</v>
      </c>
      <c r="C218" s="3">
        <v>9</v>
      </c>
      <c r="D218" s="3">
        <v>4</v>
      </c>
      <c r="E218" s="3">
        <v>151.854</v>
      </c>
      <c r="F218" s="4" t="str">
        <f>HYPERLINK("http://141.218.60.56/~jnz1568/getInfo.php?workbook=18_08.xlsx&amp;sheet=A0&amp;row=218&amp;col=6&amp;number=73600000000&amp;sourceID=14","73600000000")</f>
        <v>73600000000</v>
      </c>
      <c r="G218" s="4" t="str">
        <f>HYPERLINK("http://141.218.60.56/~jnz1568/getInfo.php?workbook=18_08.xlsx&amp;sheet=A0&amp;row=218&amp;col=7&amp;number=0&amp;sourceID=14","0")</f>
        <v>0</v>
      </c>
    </row>
    <row r="219" spans="1:7">
      <c r="A219" s="3">
        <v>18</v>
      </c>
      <c r="B219" s="3">
        <v>8</v>
      </c>
      <c r="C219" s="3">
        <v>10</v>
      </c>
      <c r="D219" s="3">
        <v>4</v>
      </c>
      <c r="E219" s="3">
        <v>85.934</v>
      </c>
      <c r="F219" s="4" t="str">
        <f>HYPERLINK("http://141.218.60.56/~jnz1568/getInfo.php?workbook=18_08.xlsx&amp;sheet=A0&amp;row=219&amp;col=6&amp;number=386900&amp;sourceID=14","386900")</f>
        <v>386900</v>
      </c>
      <c r="G219" s="4" t="str">
        <f>HYPERLINK("http://141.218.60.56/~jnz1568/getInfo.php?workbook=18_08.xlsx&amp;sheet=A0&amp;row=219&amp;col=7&amp;number=0&amp;sourceID=14","0")</f>
        <v>0</v>
      </c>
    </row>
    <row r="220" spans="1:7">
      <c r="A220" s="3">
        <v>18</v>
      </c>
      <c r="B220" s="3">
        <v>8</v>
      </c>
      <c r="C220" s="3">
        <v>11</v>
      </c>
      <c r="D220" s="3">
        <v>4</v>
      </c>
      <c r="E220" s="3">
        <v>41.469</v>
      </c>
      <c r="F220" s="4" t="str">
        <f>HYPERLINK("http://141.218.60.56/~jnz1568/getInfo.php?workbook=18_08.xlsx&amp;sheet=A0&amp;row=220&amp;col=6&amp;number=78000&amp;sourceID=14","78000")</f>
        <v>78000</v>
      </c>
      <c r="G220" s="4" t="str">
        <f>HYPERLINK("http://141.218.60.56/~jnz1568/getInfo.php?workbook=18_08.xlsx&amp;sheet=A0&amp;row=220&amp;col=7&amp;number=0&amp;sourceID=14","0")</f>
        <v>0</v>
      </c>
    </row>
    <row r="221" spans="1:7">
      <c r="A221" s="3">
        <v>18</v>
      </c>
      <c r="B221" s="3">
        <v>8</v>
      </c>
      <c r="C221" s="3">
        <v>12</v>
      </c>
      <c r="D221" s="3">
        <v>4</v>
      </c>
      <c r="E221" s="3">
        <v>40.83</v>
      </c>
      <c r="F221" s="4" t="str">
        <f>HYPERLINK("http://141.218.60.56/~jnz1568/getInfo.php?workbook=18_08.xlsx&amp;sheet=A0&amp;row=221&amp;col=6&amp;number=1172000000&amp;sourceID=14","1172000000")</f>
        <v>1172000000</v>
      </c>
      <c r="G221" s="4" t="str">
        <f>HYPERLINK("http://141.218.60.56/~jnz1568/getInfo.php?workbook=18_08.xlsx&amp;sheet=A0&amp;row=221&amp;col=7&amp;number=0&amp;sourceID=14","0")</f>
        <v>0</v>
      </c>
    </row>
    <row r="222" spans="1:7">
      <c r="A222" s="3">
        <v>18</v>
      </c>
      <c r="B222" s="3">
        <v>8</v>
      </c>
      <c r="C222" s="3">
        <v>13</v>
      </c>
      <c r="D222" s="3">
        <v>4</v>
      </c>
      <c r="E222" s="3">
        <v>39.757</v>
      </c>
      <c r="F222" s="4" t="str">
        <f>HYPERLINK("http://141.218.60.56/~jnz1568/getInfo.php?workbook=18_08.xlsx&amp;sheet=A0&amp;row=222&amp;col=6&amp;number=5452000000&amp;sourceID=14","5452000000")</f>
        <v>5452000000</v>
      </c>
      <c r="G222" s="4" t="str">
        <f>HYPERLINK("http://141.218.60.56/~jnz1568/getInfo.php?workbook=18_08.xlsx&amp;sheet=A0&amp;row=222&amp;col=7&amp;number=0&amp;sourceID=14","0")</f>
        <v>0</v>
      </c>
    </row>
    <row r="223" spans="1:7">
      <c r="A223" s="3">
        <v>18</v>
      </c>
      <c r="B223" s="3">
        <v>8</v>
      </c>
      <c r="C223" s="3">
        <v>14</v>
      </c>
      <c r="D223" s="3">
        <v>4</v>
      </c>
      <c r="E223" s="3">
        <v>39.737</v>
      </c>
      <c r="F223" s="4" t="str">
        <f>HYPERLINK("http://141.218.60.56/~jnz1568/getInfo.php?workbook=18_08.xlsx&amp;sheet=A0&amp;row=223&amp;col=6&amp;number=1645000000&amp;sourceID=14","1645000000")</f>
        <v>1645000000</v>
      </c>
      <c r="G223" s="4" t="str">
        <f>HYPERLINK("http://141.218.60.56/~jnz1568/getInfo.php?workbook=18_08.xlsx&amp;sheet=A0&amp;row=223&amp;col=7&amp;number=0&amp;sourceID=14","0")</f>
        <v>0</v>
      </c>
    </row>
    <row r="224" spans="1:7">
      <c r="A224" s="3">
        <v>18</v>
      </c>
      <c r="B224" s="3">
        <v>8</v>
      </c>
      <c r="C224" s="3">
        <v>15</v>
      </c>
      <c r="D224" s="3">
        <v>4</v>
      </c>
      <c r="E224" s="3">
        <v>39.717</v>
      </c>
      <c r="F224" s="4" t="str">
        <f>HYPERLINK("http://141.218.60.56/~jnz1568/getInfo.php?workbook=18_08.xlsx&amp;sheet=A0&amp;row=224&amp;col=6&amp;number=2874000000&amp;sourceID=14","2874000000")</f>
        <v>2874000000</v>
      </c>
      <c r="G224" s="4" t="str">
        <f>HYPERLINK("http://141.218.60.56/~jnz1568/getInfo.php?workbook=18_08.xlsx&amp;sheet=A0&amp;row=224&amp;col=7&amp;number=0&amp;sourceID=14","0")</f>
        <v>0</v>
      </c>
    </row>
    <row r="225" spans="1:7">
      <c r="A225" s="3">
        <v>18</v>
      </c>
      <c r="B225" s="3">
        <v>8</v>
      </c>
      <c r="C225" s="3">
        <v>16</v>
      </c>
      <c r="D225" s="3">
        <v>4</v>
      </c>
      <c r="E225" s="3">
        <v>39.49</v>
      </c>
      <c r="F225" s="4" t="str">
        <f>HYPERLINK("http://141.218.60.56/~jnz1568/getInfo.php?workbook=18_08.xlsx&amp;sheet=A0&amp;row=225&amp;col=6&amp;number=428000000000&amp;sourceID=14","428000000000")</f>
        <v>428000000000</v>
      </c>
      <c r="G225" s="4" t="str">
        <f>HYPERLINK("http://141.218.60.56/~jnz1568/getInfo.php?workbook=18_08.xlsx&amp;sheet=A0&amp;row=225&amp;col=7&amp;number=0&amp;sourceID=14","0")</f>
        <v>0</v>
      </c>
    </row>
    <row r="226" spans="1:7">
      <c r="A226" s="3">
        <v>18</v>
      </c>
      <c r="B226" s="3">
        <v>8</v>
      </c>
      <c r="C226" s="3">
        <v>17</v>
      </c>
      <c r="D226" s="3">
        <v>4</v>
      </c>
      <c r="E226" s="3">
        <v>39.258</v>
      </c>
      <c r="F226" s="4" t="str">
        <f>HYPERLINK("http://141.218.60.56/~jnz1568/getInfo.php?workbook=18_08.xlsx&amp;sheet=A0&amp;row=226&amp;col=6&amp;number=311.8&amp;sourceID=14","311.8")</f>
        <v>311.8</v>
      </c>
      <c r="G226" s="4" t="str">
        <f>HYPERLINK("http://141.218.60.56/~jnz1568/getInfo.php?workbook=18_08.xlsx&amp;sheet=A0&amp;row=226&amp;col=7&amp;number=0&amp;sourceID=14","0")</f>
        <v>0</v>
      </c>
    </row>
    <row r="227" spans="1:7">
      <c r="A227" s="3">
        <v>18</v>
      </c>
      <c r="B227" s="3">
        <v>8</v>
      </c>
      <c r="C227" s="3">
        <v>18</v>
      </c>
      <c r="D227" s="3">
        <v>4</v>
      </c>
      <c r="E227" s="3">
        <v>39.241</v>
      </c>
      <c r="F227" s="4" t="str">
        <f>HYPERLINK("http://141.218.60.56/~jnz1568/getInfo.php?workbook=18_08.xlsx&amp;sheet=A0&amp;row=227&amp;col=6&amp;number=3045&amp;sourceID=14","3045")</f>
        <v>3045</v>
      </c>
      <c r="G227" s="4" t="str">
        <f>HYPERLINK("http://141.218.60.56/~jnz1568/getInfo.php?workbook=18_08.xlsx&amp;sheet=A0&amp;row=227&amp;col=7&amp;number=0&amp;sourceID=14","0")</f>
        <v>0</v>
      </c>
    </row>
    <row r="228" spans="1:7">
      <c r="A228" s="3">
        <v>18</v>
      </c>
      <c r="B228" s="3">
        <v>8</v>
      </c>
      <c r="C228" s="3">
        <v>19</v>
      </c>
      <c r="D228" s="3">
        <v>4</v>
      </c>
      <c r="E228" s="3">
        <v>39.204</v>
      </c>
      <c r="F228" s="4" t="str">
        <f>HYPERLINK("http://141.218.60.56/~jnz1568/getInfo.php?workbook=18_08.xlsx&amp;sheet=A0&amp;row=228&amp;col=6&amp;number=74.63&amp;sourceID=14","74.63")</f>
        <v>74.63</v>
      </c>
      <c r="G228" s="4" t="str">
        <f>HYPERLINK("http://141.218.60.56/~jnz1568/getInfo.php?workbook=18_08.xlsx&amp;sheet=A0&amp;row=228&amp;col=7&amp;number=0&amp;sourceID=14","0")</f>
        <v>0</v>
      </c>
    </row>
    <row r="229" spans="1:7">
      <c r="A229" s="3">
        <v>18</v>
      </c>
      <c r="B229" s="3">
        <v>8</v>
      </c>
      <c r="C229" s="3">
        <v>20</v>
      </c>
      <c r="D229" s="3">
        <v>4</v>
      </c>
      <c r="E229" s="3">
        <v>-38.876</v>
      </c>
      <c r="F229" s="4" t="str">
        <f>HYPERLINK("http://141.218.60.56/~jnz1568/getInfo.php?workbook=18_08.xlsx&amp;sheet=A0&amp;row=229&amp;col=6&amp;number=6238&amp;sourceID=14","6238")</f>
        <v>6238</v>
      </c>
      <c r="G229" s="4" t="str">
        <f>HYPERLINK("http://141.218.60.56/~jnz1568/getInfo.php?workbook=18_08.xlsx&amp;sheet=A0&amp;row=229&amp;col=7&amp;number=0&amp;sourceID=14","0")</f>
        <v>0</v>
      </c>
    </row>
    <row r="230" spans="1:7">
      <c r="A230" s="3">
        <v>18</v>
      </c>
      <c r="B230" s="3">
        <v>8</v>
      </c>
      <c r="C230" s="3">
        <v>21</v>
      </c>
      <c r="D230" s="3">
        <v>4</v>
      </c>
      <c r="E230" s="3">
        <v>-38.858</v>
      </c>
      <c r="F230" s="4" t="str">
        <f>HYPERLINK("http://141.218.60.56/~jnz1568/getInfo.php?workbook=18_08.xlsx&amp;sheet=A0&amp;row=230&amp;col=6&amp;number=55430&amp;sourceID=14","55430")</f>
        <v>55430</v>
      </c>
      <c r="G230" s="4" t="str">
        <f>HYPERLINK("http://141.218.60.56/~jnz1568/getInfo.php?workbook=18_08.xlsx&amp;sheet=A0&amp;row=230&amp;col=7&amp;number=0&amp;sourceID=14","0")</f>
        <v>0</v>
      </c>
    </row>
    <row r="231" spans="1:7">
      <c r="A231" s="3">
        <v>18</v>
      </c>
      <c r="B231" s="3">
        <v>8</v>
      </c>
      <c r="C231" s="3">
        <v>22</v>
      </c>
      <c r="D231" s="3">
        <v>4</v>
      </c>
      <c r="E231" s="3">
        <v>-38.849</v>
      </c>
      <c r="F231" s="4" t="str">
        <f>HYPERLINK("http://141.218.60.56/~jnz1568/getInfo.php?workbook=18_08.xlsx&amp;sheet=A0&amp;row=231&amp;col=6&amp;number=1481000&amp;sourceID=14","1481000")</f>
        <v>1481000</v>
      </c>
      <c r="G231" s="4" t="str">
        <f>HYPERLINK("http://141.218.60.56/~jnz1568/getInfo.php?workbook=18_08.xlsx&amp;sheet=A0&amp;row=231&amp;col=7&amp;number=0&amp;sourceID=14","0")</f>
        <v>0</v>
      </c>
    </row>
    <row r="232" spans="1:7">
      <c r="A232" s="3">
        <v>18</v>
      </c>
      <c r="B232" s="3">
        <v>8</v>
      </c>
      <c r="C232" s="3">
        <v>23</v>
      </c>
      <c r="D232" s="3">
        <v>4</v>
      </c>
      <c r="E232" s="3">
        <v>-39.079</v>
      </c>
      <c r="F232" s="4" t="str">
        <f>HYPERLINK("http://141.218.60.56/~jnz1568/getInfo.php?workbook=18_08.xlsx&amp;sheet=A0&amp;row=232&amp;col=6&amp;number=10250&amp;sourceID=14","10250")</f>
        <v>10250</v>
      </c>
      <c r="G232" s="4" t="str">
        <f>HYPERLINK("http://141.218.60.56/~jnz1568/getInfo.php?workbook=18_08.xlsx&amp;sheet=A0&amp;row=232&amp;col=7&amp;number=0&amp;sourceID=14","0")</f>
        <v>0</v>
      </c>
    </row>
    <row r="233" spans="1:7">
      <c r="A233" s="3">
        <v>18</v>
      </c>
      <c r="B233" s="3">
        <v>8</v>
      </c>
      <c r="C233" s="3">
        <v>24</v>
      </c>
      <c r="D233" s="3">
        <v>4</v>
      </c>
      <c r="E233" s="3">
        <v>-39.055</v>
      </c>
      <c r="F233" s="4" t="str">
        <f>HYPERLINK("http://141.218.60.56/~jnz1568/getInfo.php?workbook=18_08.xlsx&amp;sheet=A0&amp;row=233&amp;col=6&amp;number=8983000000&amp;sourceID=14","8983000000")</f>
        <v>8983000000</v>
      </c>
      <c r="G233" s="4" t="str">
        <f>HYPERLINK("http://141.218.60.56/~jnz1568/getInfo.php?workbook=18_08.xlsx&amp;sheet=A0&amp;row=233&amp;col=7&amp;number=0&amp;sourceID=14","0")</f>
        <v>0</v>
      </c>
    </row>
    <row r="234" spans="1:7">
      <c r="A234" s="3">
        <v>18</v>
      </c>
      <c r="B234" s="3">
        <v>8</v>
      </c>
      <c r="C234" s="3">
        <v>25</v>
      </c>
      <c r="D234" s="3">
        <v>4</v>
      </c>
      <c r="E234" s="3">
        <v>38.866</v>
      </c>
      <c r="F234" s="4" t="str">
        <f>HYPERLINK("http://141.218.60.56/~jnz1568/getInfo.php?workbook=18_08.xlsx&amp;sheet=A0&amp;row=234&amp;col=6&amp;number=46520000000&amp;sourceID=14","46520000000")</f>
        <v>46520000000</v>
      </c>
      <c r="G234" s="4" t="str">
        <f>HYPERLINK("http://141.218.60.56/~jnz1568/getInfo.php?workbook=18_08.xlsx&amp;sheet=A0&amp;row=234&amp;col=7&amp;number=0&amp;sourceID=14","0")</f>
        <v>0</v>
      </c>
    </row>
    <row r="235" spans="1:7">
      <c r="A235" s="3">
        <v>18</v>
      </c>
      <c r="B235" s="3">
        <v>8</v>
      </c>
      <c r="C235" s="3">
        <v>26</v>
      </c>
      <c r="D235" s="3">
        <v>4</v>
      </c>
      <c r="E235" s="3">
        <v>38.79</v>
      </c>
      <c r="F235" s="4" t="str">
        <f>HYPERLINK("http://141.218.60.56/~jnz1568/getInfo.php?workbook=18_08.xlsx&amp;sheet=A0&amp;row=235&amp;col=6&amp;number=236300000000&amp;sourceID=14","236300000000")</f>
        <v>236300000000</v>
      </c>
      <c r="G235" s="4" t="str">
        <f>HYPERLINK("http://141.218.60.56/~jnz1568/getInfo.php?workbook=18_08.xlsx&amp;sheet=A0&amp;row=235&amp;col=7&amp;number=0&amp;sourceID=14","0")</f>
        <v>0</v>
      </c>
    </row>
    <row r="236" spans="1:7">
      <c r="A236" s="3">
        <v>18</v>
      </c>
      <c r="B236" s="3">
        <v>8</v>
      </c>
      <c r="C236" s="3">
        <v>27</v>
      </c>
      <c r="D236" s="3">
        <v>4</v>
      </c>
      <c r="E236" s="3">
        <v>-37.876</v>
      </c>
      <c r="F236" s="4" t="str">
        <f>HYPERLINK("http://141.218.60.56/~jnz1568/getInfo.php?workbook=18_08.xlsx&amp;sheet=A0&amp;row=236&amp;col=6&amp;number=42700000&amp;sourceID=14","42700000")</f>
        <v>42700000</v>
      </c>
      <c r="G236" s="4" t="str">
        <f>HYPERLINK("http://141.218.60.56/~jnz1568/getInfo.php?workbook=18_08.xlsx&amp;sheet=A0&amp;row=236&amp;col=7&amp;number=0&amp;sourceID=14","0")</f>
        <v>0</v>
      </c>
    </row>
    <row r="237" spans="1:7">
      <c r="A237" s="3">
        <v>18</v>
      </c>
      <c r="B237" s="3">
        <v>8</v>
      </c>
      <c r="C237" s="3">
        <v>28</v>
      </c>
      <c r="D237" s="3">
        <v>4</v>
      </c>
      <c r="E237" s="3">
        <v>-37.924</v>
      </c>
      <c r="F237" s="4" t="str">
        <f>HYPERLINK("http://141.218.60.56/~jnz1568/getInfo.php?workbook=18_08.xlsx&amp;sheet=A0&amp;row=237&amp;col=6&amp;number=245600&amp;sourceID=14","245600")</f>
        <v>245600</v>
      </c>
      <c r="G237" s="4" t="str">
        <f>HYPERLINK("http://141.218.60.56/~jnz1568/getInfo.php?workbook=18_08.xlsx&amp;sheet=A0&amp;row=237&amp;col=7&amp;number=0&amp;sourceID=14","0")</f>
        <v>0</v>
      </c>
    </row>
    <row r="238" spans="1:7">
      <c r="A238" s="3">
        <v>18</v>
      </c>
      <c r="B238" s="3">
        <v>8</v>
      </c>
      <c r="C238" s="3">
        <v>29</v>
      </c>
      <c r="D238" s="3">
        <v>4</v>
      </c>
      <c r="E238" s="3">
        <v>-37.865</v>
      </c>
      <c r="F238" s="4" t="str">
        <f>HYPERLINK("http://141.218.60.56/~jnz1568/getInfo.php?workbook=18_08.xlsx&amp;sheet=A0&amp;row=238&amp;col=6&amp;number=231200&amp;sourceID=14","231200")</f>
        <v>231200</v>
      </c>
      <c r="G238" s="4" t="str">
        <f>HYPERLINK("http://141.218.60.56/~jnz1568/getInfo.php?workbook=18_08.xlsx&amp;sheet=A0&amp;row=238&amp;col=7&amp;number=0&amp;sourceID=14","0")</f>
        <v>0</v>
      </c>
    </row>
    <row r="239" spans="1:7">
      <c r="A239" s="3">
        <v>18</v>
      </c>
      <c r="B239" s="3">
        <v>8</v>
      </c>
      <c r="C239" s="3">
        <v>30</v>
      </c>
      <c r="D239" s="3">
        <v>4</v>
      </c>
      <c r="E239" s="3">
        <v>-38.047</v>
      </c>
      <c r="F239" s="4" t="str">
        <f>HYPERLINK("http://141.218.60.56/~jnz1568/getInfo.php?workbook=18_08.xlsx&amp;sheet=A0&amp;row=239&amp;col=6&amp;number=59200000&amp;sourceID=14","59200000")</f>
        <v>59200000</v>
      </c>
      <c r="G239" s="4" t="str">
        <f>HYPERLINK("http://141.218.60.56/~jnz1568/getInfo.php?workbook=18_08.xlsx&amp;sheet=A0&amp;row=239&amp;col=7&amp;number=0&amp;sourceID=14","0")</f>
        <v>0</v>
      </c>
    </row>
    <row r="240" spans="1:7">
      <c r="A240" s="3">
        <v>18</v>
      </c>
      <c r="B240" s="3">
        <v>8</v>
      </c>
      <c r="C240" s="3">
        <v>31</v>
      </c>
      <c r="D240" s="3">
        <v>4</v>
      </c>
      <c r="E240" s="3">
        <v>-37.777</v>
      </c>
      <c r="F240" s="4" t="str">
        <f>HYPERLINK("http://141.218.60.56/~jnz1568/getInfo.php?workbook=18_08.xlsx&amp;sheet=A0&amp;row=240&amp;col=6&amp;number=2512000&amp;sourceID=14","2512000")</f>
        <v>2512000</v>
      </c>
      <c r="G240" s="4" t="str">
        <f>HYPERLINK("http://141.218.60.56/~jnz1568/getInfo.php?workbook=18_08.xlsx&amp;sheet=A0&amp;row=240&amp;col=7&amp;number=0&amp;sourceID=14","0")</f>
        <v>0</v>
      </c>
    </row>
    <row r="241" spans="1:7">
      <c r="A241" s="3">
        <v>18</v>
      </c>
      <c r="B241" s="3">
        <v>8</v>
      </c>
      <c r="C241" s="3">
        <v>32</v>
      </c>
      <c r="D241" s="3">
        <v>4</v>
      </c>
      <c r="E241" s="3">
        <v>-37.736</v>
      </c>
      <c r="F241" s="4" t="str">
        <f>HYPERLINK("http://141.218.60.56/~jnz1568/getInfo.php?workbook=18_08.xlsx&amp;sheet=A0&amp;row=241&amp;col=6&amp;number=4348&amp;sourceID=14","4348")</f>
        <v>4348</v>
      </c>
      <c r="G241" s="4" t="str">
        <f>HYPERLINK("http://141.218.60.56/~jnz1568/getInfo.php?workbook=18_08.xlsx&amp;sheet=A0&amp;row=241&amp;col=7&amp;number=0&amp;sourceID=14","0")</f>
        <v>0</v>
      </c>
    </row>
    <row r="242" spans="1:7">
      <c r="A242" s="3">
        <v>18</v>
      </c>
      <c r="B242" s="3">
        <v>8</v>
      </c>
      <c r="C242" s="3">
        <v>33</v>
      </c>
      <c r="D242" s="3">
        <v>4</v>
      </c>
      <c r="E242" s="3">
        <v>-37.692</v>
      </c>
      <c r="F242" s="4" t="str">
        <f>HYPERLINK("http://141.218.60.56/~jnz1568/getInfo.php?workbook=18_08.xlsx&amp;sheet=A0&amp;row=242&amp;col=6&amp;number=1130000&amp;sourceID=14","1130000")</f>
        <v>1130000</v>
      </c>
      <c r="G242" s="4" t="str">
        <f>HYPERLINK("http://141.218.60.56/~jnz1568/getInfo.php?workbook=18_08.xlsx&amp;sheet=A0&amp;row=242&amp;col=7&amp;number=0&amp;sourceID=14","0")</f>
        <v>0</v>
      </c>
    </row>
    <row r="243" spans="1:7">
      <c r="A243" s="3">
        <v>18</v>
      </c>
      <c r="B243" s="3">
        <v>8</v>
      </c>
      <c r="C243" s="3">
        <v>34</v>
      </c>
      <c r="D243" s="3">
        <v>4</v>
      </c>
      <c r="E243" s="3">
        <v>-37.646</v>
      </c>
      <c r="F243" s="4" t="str">
        <f>HYPERLINK("http://141.218.60.56/~jnz1568/getInfo.php?workbook=18_08.xlsx&amp;sheet=A0&amp;row=243&amp;col=6&amp;number=134100000&amp;sourceID=14","134100000")</f>
        <v>134100000</v>
      </c>
      <c r="G243" s="4" t="str">
        <f>HYPERLINK("http://141.218.60.56/~jnz1568/getInfo.php?workbook=18_08.xlsx&amp;sheet=A0&amp;row=243&amp;col=7&amp;number=0&amp;sourceID=14","0")</f>
        <v>0</v>
      </c>
    </row>
    <row r="244" spans="1:7">
      <c r="A244" s="3">
        <v>18</v>
      </c>
      <c r="B244" s="3">
        <v>8</v>
      </c>
      <c r="C244" s="3">
        <v>35</v>
      </c>
      <c r="D244" s="3">
        <v>4</v>
      </c>
      <c r="E244" s="3">
        <v>-37.18</v>
      </c>
      <c r="F244" s="4" t="str">
        <f>HYPERLINK("http://141.218.60.56/~jnz1568/getInfo.php?workbook=18_08.xlsx&amp;sheet=A0&amp;row=244&amp;col=6&amp;number=131400&amp;sourceID=14","131400")</f>
        <v>131400</v>
      </c>
      <c r="G244" s="4" t="str">
        <f>HYPERLINK("http://141.218.60.56/~jnz1568/getInfo.php?workbook=18_08.xlsx&amp;sheet=A0&amp;row=244&amp;col=7&amp;number=0&amp;sourceID=14","0")</f>
        <v>0</v>
      </c>
    </row>
    <row r="245" spans="1:7">
      <c r="A245" s="3">
        <v>18</v>
      </c>
      <c r="B245" s="3">
        <v>8</v>
      </c>
      <c r="C245" s="3">
        <v>36</v>
      </c>
      <c r="D245" s="3">
        <v>4</v>
      </c>
      <c r="E245" s="3">
        <v>-37.046</v>
      </c>
      <c r="F245" s="4" t="str">
        <f>HYPERLINK("http://141.218.60.56/~jnz1568/getInfo.php?workbook=18_08.xlsx&amp;sheet=A0&amp;row=245&amp;col=6&amp;number=1067000&amp;sourceID=14","1067000")</f>
        <v>1067000</v>
      </c>
      <c r="G245" s="4" t="str">
        <f>HYPERLINK("http://141.218.60.56/~jnz1568/getInfo.php?workbook=18_08.xlsx&amp;sheet=A0&amp;row=245&amp;col=7&amp;number=0&amp;sourceID=14","0")</f>
        <v>0</v>
      </c>
    </row>
    <row r="246" spans="1:7">
      <c r="A246" s="3">
        <v>18</v>
      </c>
      <c r="B246" s="3">
        <v>8</v>
      </c>
      <c r="C246" s="3">
        <v>37</v>
      </c>
      <c r="D246" s="3">
        <v>4</v>
      </c>
      <c r="E246" s="3">
        <v>37.067</v>
      </c>
      <c r="F246" s="4" t="str">
        <f>HYPERLINK("http://141.218.60.56/~jnz1568/getInfo.php?workbook=18_08.xlsx&amp;sheet=A0&amp;row=246&amp;col=6&amp;number=6799000&amp;sourceID=14","6799000")</f>
        <v>6799000</v>
      </c>
      <c r="G246" s="4" t="str">
        <f>HYPERLINK("http://141.218.60.56/~jnz1568/getInfo.php?workbook=18_08.xlsx&amp;sheet=A0&amp;row=246&amp;col=7&amp;number=0&amp;sourceID=14","0")</f>
        <v>0</v>
      </c>
    </row>
    <row r="247" spans="1:7">
      <c r="A247" s="3">
        <v>18</v>
      </c>
      <c r="B247" s="3">
        <v>8</v>
      </c>
      <c r="C247" s="3">
        <v>38</v>
      </c>
      <c r="D247" s="3">
        <v>4</v>
      </c>
      <c r="E247" s="3">
        <v>-36.876</v>
      </c>
      <c r="F247" s="4" t="str">
        <f>HYPERLINK("http://141.218.60.56/~jnz1568/getInfo.php?workbook=18_08.xlsx&amp;sheet=A0&amp;row=247&amp;col=6&amp;number=9.436&amp;sourceID=14","9.436")</f>
        <v>9.436</v>
      </c>
      <c r="G247" s="4" t="str">
        <f>HYPERLINK("http://141.218.60.56/~jnz1568/getInfo.php?workbook=18_08.xlsx&amp;sheet=A0&amp;row=247&amp;col=7&amp;number=0&amp;sourceID=14","0")</f>
        <v>0</v>
      </c>
    </row>
    <row r="248" spans="1:7">
      <c r="A248" s="3">
        <v>18</v>
      </c>
      <c r="B248" s="3">
        <v>8</v>
      </c>
      <c r="C248" s="3">
        <v>39</v>
      </c>
      <c r="D248" s="3">
        <v>4</v>
      </c>
      <c r="E248" s="3">
        <v>-36.874</v>
      </c>
      <c r="F248" s="4" t="str">
        <f>HYPERLINK("http://141.218.60.56/~jnz1568/getInfo.php?workbook=18_08.xlsx&amp;sheet=A0&amp;row=248&amp;col=6&amp;number=1683000&amp;sourceID=14","1683000")</f>
        <v>1683000</v>
      </c>
      <c r="G248" s="4" t="str">
        <f>HYPERLINK("http://141.218.60.56/~jnz1568/getInfo.php?workbook=18_08.xlsx&amp;sheet=A0&amp;row=248&amp;col=7&amp;number=0&amp;sourceID=14","0")</f>
        <v>0</v>
      </c>
    </row>
    <row r="249" spans="1:7">
      <c r="A249" s="3">
        <v>18</v>
      </c>
      <c r="B249" s="3">
        <v>8</v>
      </c>
      <c r="C249" s="3">
        <v>40</v>
      </c>
      <c r="D249" s="3">
        <v>4</v>
      </c>
      <c r="E249" s="3">
        <v>36.914</v>
      </c>
      <c r="F249" s="4" t="str">
        <f>HYPERLINK("http://141.218.60.56/~jnz1568/getInfo.php?workbook=18_08.xlsx&amp;sheet=A0&amp;row=249&amp;col=6&amp;number=1131000&amp;sourceID=14","1131000")</f>
        <v>1131000</v>
      </c>
      <c r="G249" s="4" t="str">
        <f>HYPERLINK("http://141.218.60.56/~jnz1568/getInfo.php?workbook=18_08.xlsx&amp;sheet=A0&amp;row=249&amp;col=7&amp;number=0&amp;sourceID=14","0")</f>
        <v>0</v>
      </c>
    </row>
    <row r="250" spans="1:7">
      <c r="A250" s="3">
        <v>18</v>
      </c>
      <c r="B250" s="3">
        <v>8</v>
      </c>
      <c r="C250" s="3">
        <v>41</v>
      </c>
      <c r="D250" s="3">
        <v>4</v>
      </c>
      <c r="E250" s="3">
        <v>-36.869</v>
      </c>
      <c r="F250" s="4" t="str">
        <f>HYPERLINK("http://141.218.60.56/~jnz1568/getInfo.php?workbook=18_08.xlsx&amp;sheet=A0&amp;row=250&amp;col=6&amp;number=10250000&amp;sourceID=14","10250000")</f>
        <v>10250000</v>
      </c>
      <c r="G250" s="4" t="str">
        <f>HYPERLINK("http://141.218.60.56/~jnz1568/getInfo.php?workbook=18_08.xlsx&amp;sheet=A0&amp;row=250&amp;col=7&amp;number=0&amp;sourceID=14","0")</f>
        <v>0</v>
      </c>
    </row>
    <row r="251" spans="1:7">
      <c r="A251" s="3">
        <v>18</v>
      </c>
      <c r="B251" s="3">
        <v>8</v>
      </c>
      <c r="C251" s="3">
        <v>42</v>
      </c>
      <c r="D251" s="3">
        <v>4</v>
      </c>
      <c r="E251" s="3">
        <v>-36.864</v>
      </c>
      <c r="F251" s="4" t="str">
        <f>HYPERLINK("http://141.218.60.56/~jnz1568/getInfo.php?workbook=18_08.xlsx&amp;sheet=A0&amp;row=251&amp;col=6&amp;number=289.4&amp;sourceID=14","289.4")</f>
        <v>289.4</v>
      </c>
      <c r="G251" s="4" t="str">
        <f>HYPERLINK("http://141.218.60.56/~jnz1568/getInfo.php?workbook=18_08.xlsx&amp;sheet=A0&amp;row=251&amp;col=7&amp;number=0&amp;sourceID=14","0")</f>
        <v>0</v>
      </c>
    </row>
    <row r="252" spans="1:7">
      <c r="A252" s="3">
        <v>18</v>
      </c>
      <c r="B252" s="3">
        <v>8</v>
      </c>
      <c r="C252" s="3">
        <v>43</v>
      </c>
      <c r="D252" s="3">
        <v>4</v>
      </c>
      <c r="E252" s="3">
        <v>-37.042</v>
      </c>
      <c r="F252" s="4" t="str">
        <f>HYPERLINK("http://141.218.60.56/~jnz1568/getInfo.php?workbook=18_08.xlsx&amp;sheet=A0&amp;row=252&amp;col=6&amp;number=4323000&amp;sourceID=14","4323000")</f>
        <v>4323000</v>
      </c>
      <c r="G252" s="4" t="str">
        <f>HYPERLINK("http://141.218.60.56/~jnz1568/getInfo.php?workbook=18_08.xlsx&amp;sheet=A0&amp;row=252&amp;col=7&amp;number=0&amp;sourceID=14","0")</f>
        <v>0</v>
      </c>
    </row>
    <row r="253" spans="1:7">
      <c r="A253" s="3">
        <v>18</v>
      </c>
      <c r="B253" s="3">
        <v>8</v>
      </c>
      <c r="C253" s="3">
        <v>44</v>
      </c>
      <c r="D253" s="3">
        <v>4</v>
      </c>
      <c r="E253" s="3">
        <v>-37.279</v>
      </c>
      <c r="F253" s="4" t="str">
        <f>HYPERLINK("http://141.218.60.56/~jnz1568/getInfo.php?workbook=18_08.xlsx&amp;sheet=A0&amp;row=253&amp;col=6&amp;number=6552000&amp;sourceID=14","6552000")</f>
        <v>6552000</v>
      </c>
      <c r="G253" s="4" t="str">
        <f>HYPERLINK("http://141.218.60.56/~jnz1568/getInfo.php?workbook=18_08.xlsx&amp;sheet=A0&amp;row=253&amp;col=7&amp;number=0&amp;sourceID=14","0")</f>
        <v>0</v>
      </c>
    </row>
    <row r="254" spans="1:7">
      <c r="A254" s="3">
        <v>18</v>
      </c>
      <c r="B254" s="3">
        <v>8</v>
      </c>
      <c r="C254" s="3">
        <v>45</v>
      </c>
      <c r="D254" s="3">
        <v>4</v>
      </c>
      <c r="E254" s="3">
        <v>-37.069</v>
      </c>
      <c r="F254" s="4" t="str">
        <f>HYPERLINK("http://141.218.60.56/~jnz1568/getInfo.php?workbook=18_08.xlsx&amp;sheet=A0&amp;row=254&amp;col=6&amp;number=4180000&amp;sourceID=14","4180000")</f>
        <v>4180000</v>
      </c>
      <c r="G254" s="4" t="str">
        <f>HYPERLINK("http://141.218.60.56/~jnz1568/getInfo.php?workbook=18_08.xlsx&amp;sheet=A0&amp;row=254&amp;col=7&amp;number=0&amp;sourceID=14","0")</f>
        <v>0</v>
      </c>
    </row>
    <row r="255" spans="1:7">
      <c r="A255" s="3">
        <v>18</v>
      </c>
      <c r="B255" s="3">
        <v>8</v>
      </c>
      <c r="C255" s="3">
        <v>46</v>
      </c>
      <c r="D255" s="3">
        <v>4</v>
      </c>
      <c r="E255" s="3">
        <v>-36.921</v>
      </c>
      <c r="F255" s="4" t="str">
        <f>HYPERLINK("http://141.218.60.56/~jnz1568/getInfo.php?workbook=18_08.xlsx&amp;sheet=A0&amp;row=255&amp;col=6&amp;number=116600000&amp;sourceID=14","116600000")</f>
        <v>116600000</v>
      </c>
      <c r="G255" s="4" t="str">
        <f>HYPERLINK("http://141.218.60.56/~jnz1568/getInfo.php?workbook=18_08.xlsx&amp;sheet=A0&amp;row=255&amp;col=7&amp;number=0&amp;sourceID=14","0")</f>
        <v>0</v>
      </c>
    </row>
    <row r="256" spans="1:7">
      <c r="A256" s="3">
        <v>18</v>
      </c>
      <c r="B256" s="3">
        <v>8</v>
      </c>
      <c r="C256" s="3">
        <v>47</v>
      </c>
      <c r="D256" s="3">
        <v>4</v>
      </c>
      <c r="E256" s="3">
        <v>-36.993</v>
      </c>
      <c r="F256" s="4" t="str">
        <f>HYPERLINK("http://141.218.60.56/~jnz1568/getInfo.php?workbook=18_08.xlsx&amp;sheet=A0&amp;row=256&amp;col=6&amp;number=9366000&amp;sourceID=14","9366000")</f>
        <v>9366000</v>
      </c>
      <c r="G256" s="4" t="str">
        <f>HYPERLINK("http://141.218.60.56/~jnz1568/getInfo.php?workbook=18_08.xlsx&amp;sheet=A0&amp;row=256&amp;col=7&amp;number=0&amp;sourceID=14","0")</f>
        <v>0</v>
      </c>
    </row>
    <row r="257" spans="1:7">
      <c r="A257" s="3">
        <v>18</v>
      </c>
      <c r="B257" s="3">
        <v>8</v>
      </c>
      <c r="C257" s="3">
        <v>48</v>
      </c>
      <c r="D257" s="3">
        <v>4</v>
      </c>
      <c r="E257" s="3">
        <v>-36.863</v>
      </c>
      <c r="F257" s="4" t="str">
        <f>HYPERLINK("http://141.218.60.56/~jnz1568/getInfo.php?workbook=18_08.xlsx&amp;sheet=A0&amp;row=257&amp;col=6&amp;number=28720000&amp;sourceID=14","28720000")</f>
        <v>28720000</v>
      </c>
      <c r="G257" s="4" t="str">
        <f>HYPERLINK("http://141.218.60.56/~jnz1568/getInfo.php?workbook=18_08.xlsx&amp;sheet=A0&amp;row=257&amp;col=7&amp;number=0&amp;sourceID=14","0")</f>
        <v>0</v>
      </c>
    </row>
    <row r="258" spans="1:7">
      <c r="A258" s="3">
        <v>18</v>
      </c>
      <c r="B258" s="3">
        <v>8</v>
      </c>
      <c r="C258" s="3">
        <v>49</v>
      </c>
      <c r="D258" s="3">
        <v>4</v>
      </c>
      <c r="E258" s="3">
        <v>-36.721</v>
      </c>
      <c r="F258" s="4" t="str">
        <f>HYPERLINK("http://141.218.60.56/~jnz1568/getInfo.php?workbook=18_08.xlsx&amp;sheet=A0&amp;row=258&amp;col=6&amp;number=22290000&amp;sourceID=14","22290000")</f>
        <v>22290000</v>
      </c>
      <c r="G258" s="4" t="str">
        <f>HYPERLINK("http://141.218.60.56/~jnz1568/getInfo.php?workbook=18_08.xlsx&amp;sheet=A0&amp;row=258&amp;col=7&amp;number=0&amp;sourceID=14","0")</f>
        <v>0</v>
      </c>
    </row>
    <row r="259" spans="1:7">
      <c r="A259" s="3">
        <v>18</v>
      </c>
      <c r="B259" s="3">
        <v>8</v>
      </c>
      <c r="C259" s="3">
        <v>50</v>
      </c>
      <c r="D259" s="3">
        <v>4</v>
      </c>
      <c r="E259" s="3">
        <v>-36.682</v>
      </c>
      <c r="F259" s="4" t="str">
        <f>HYPERLINK("http://141.218.60.56/~jnz1568/getInfo.php?workbook=18_08.xlsx&amp;sheet=A0&amp;row=259&amp;col=6&amp;number=596200&amp;sourceID=14","596200")</f>
        <v>596200</v>
      </c>
      <c r="G259" s="4" t="str">
        <f>HYPERLINK("http://141.218.60.56/~jnz1568/getInfo.php?workbook=18_08.xlsx&amp;sheet=A0&amp;row=259&amp;col=7&amp;number=0&amp;sourceID=14","0")</f>
        <v>0</v>
      </c>
    </row>
    <row r="260" spans="1:7">
      <c r="A260" s="3">
        <v>18</v>
      </c>
      <c r="B260" s="3">
        <v>8</v>
      </c>
      <c r="C260" s="3">
        <v>51</v>
      </c>
      <c r="D260" s="3">
        <v>4</v>
      </c>
      <c r="E260" s="3">
        <v>36.306</v>
      </c>
      <c r="F260" s="4" t="str">
        <f>HYPERLINK("http://141.218.60.56/~jnz1568/getInfo.php?workbook=18_08.xlsx&amp;sheet=A0&amp;row=260&amp;col=6&amp;number=2933000000&amp;sourceID=14","2933000000")</f>
        <v>2933000000</v>
      </c>
      <c r="G260" s="4" t="str">
        <f>HYPERLINK("http://141.218.60.56/~jnz1568/getInfo.php?workbook=18_08.xlsx&amp;sheet=A0&amp;row=260&amp;col=7&amp;number=0&amp;sourceID=14","0")</f>
        <v>0</v>
      </c>
    </row>
    <row r="261" spans="1:7">
      <c r="A261" s="3">
        <v>18</v>
      </c>
      <c r="B261" s="3">
        <v>8</v>
      </c>
      <c r="C261" s="3">
        <v>52</v>
      </c>
      <c r="D261" s="3">
        <v>4</v>
      </c>
      <c r="E261" s="3">
        <v>36.322</v>
      </c>
      <c r="F261" s="4" t="str">
        <f>HYPERLINK("http://141.218.60.56/~jnz1568/getInfo.php?workbook=18_08.xlsx&amp;sheet=A0&amp;row=261&amp;col=6&amp;number=1049000000&amp;sourceID=14","1049000000")</f>
        <v>1049000000</v>
      </c>
      <c r="G261" s="4" t="str">
        <f>HYPERLINK("http://141.218.60.56/~jnz1568/getInfo.php?workbook=18_08.xlsx&amp;sheet=A0&amp;row=261&amp;col=7&amp;number=0&amp;sourceID=14","0")</f>
        <v>0</v>
      </c>
    </row>
    <row r="262" spans="1:7">
      <c r="A262" s="3">
        <v>18</v>
      </c>
      <c r="B262" s="3">
        <v>8</v>
      </c>
      <c r="C262" s="3">
        <v>53</v>
      </c>
      <c r="D262" s="3">
        <v>4</v>
      </c>
      <c r="E262" s="3">
        <v>-36.663</v>
      </c>
      <c r="F262" s="4" t="str">
        <f>HYPERLINK("http://141.218.60.56/~jnz1568/getInfo.php?workbook=18_08.xlsx&amp;sheet=A0&amp;row=262&amp;col=6&amp;number=1979000&amp;sourceID=14","1979000")</f>
        <v>1979000</v>
      </c>
      <c r="G262" s="4" t="str">
        <f>HYPERLINK("http://141.218.60.56/~jnz1568/getInfo.php?workbook=18_08.xlsx&amp;sheet=A0&amp;row=262&amp;col=7&amp;number=0&amp;sourceID=14","0")</f>
        <v>0</v>
      </c>
    </row>
    <row r="263" spans="1:7">
      <c r="A263" s="3">
        <v>18</v>
      </c>
      <c r="B263" s="3">
        <v>8</v>
      </c>
      <c r="C263" s="3">
        <v>54</v>
      </c>
      <c r="D263" s="3">
        <v>4</v>
      </c>
      <c r="E263" s="3">
        <v>36.306</v>
      </c>
      <c r="F263" s="4" t="str">
        <f>HYPERLINK("http://141.218.60.56/~jnz1568/getInfo.php?workbook=18_08.xlsx&amp;sheet=A0&amp;row=263&amp;col=6&amp;number=3753000000&amp;sourceID=14","3753000000")</f>
        <v>3753000000</v>
      </c>
      <c r="G263" s="4" t="str">
        <f>HYPERLINK("http://141.218.60.56/~jnz1568/getInfo.php?workbook=18_08.xlsx&amp;sheet=A0&amp;row=263&amp;col=7&amp;number=0&amp;sourceID=14","0")</f>
        <v>0</v>
      </c>
    </row>
    <row r="264" spans="1:7">
      <c r="A264" s="3">
        <v>18</v>
      </c>
      <c r="B264" s="3">
        <v>8</v>
      </c>
      <c r="C264" s="3">
        <v>55</v>
      </c>
      <c r="D264" s="3">
        <v>4</v>
      </c>
      <c r="E264" s="3">
        <v>-36.269</v>
      </c>
      <c r="F264" s="4" t="str">
        <f>HYPERLINK("http://141.218.60.56/~jnz1568/getInfo.php?workbook=18_08.xlsx&amp;sheet=A0&amp;row=264&amp;col=6&amp;number=16760000&amp;sourceID=14","16760000")</f>
        <v>16760000</v>
      </c>
      <c r="G264" s="4" t="str">
        <f>HYPERLINK("http://141.218.60.56/~jnz1568/getInfo.php?workbook=18_08.xlsx&amp;sheet=A0&amp;row=264&amp;col=7&amp;number=0&amp;sourceID=14","0")</f>
        <v>0</v>
      </c>
    </row>
    <row r="265" spans="1:7">
      <c r="A265" s="3">
        <v>18</v>
      </c>
      <c r="B265" s="3">
        <v>8</v>
      </c>
      <c r="C265" s="3">
        <v>56</v>
      </c>
      <c r="D265" s="3">
        <v>4</v>
      </c>
      <c r="E265" s="3">
        <v>35.509</v>
      </c>
      <c r="F265" s="4" t="str">
        <f>HYPERLINK("http://141.218.60.56/~jnz1568/getInfo.php?workbook=18_08.xlsx&amp;sheet=A0&amp;row=265&amp;col=6&amp;number=3152000000&amp;sourceID=14","3152000000")</f>
        <v>3152000000</v>
      </c>
      <c r="G265" s="4" t="str">
        <f>HYPERLINK("http://141.218.60.56/~jnz1568/getInfo.php?workbook=18_08.xlsx&amp;sheet=A0&amp;row=265&amp;col=7&amp;number=0&amp;sourceID=14","0")</f>
        <v>0</v>
      </c>
    </row>
    <row r="266" spans="1:7">
      <c r="A266" s="3">
        <v>18</v>
      </c>
      <c r="B266" s="3">
        <v>8</v>
      </c>
      <c r="C266" s="3">
        <v>57</v>
      </c>
      <c r="D266" s="3">
        <v>4</v>
      </c>
      <c r="E266" s="3">
        <v>-35.604</v>
      </c>
      <c r="F266" s="4" t="str">
        <f>HYPERLINK("http://141.218.60.56/~jnz1568/getInfo.php?workbook=18_08.xlsx&amp;sheet=A0&amp;row=266&amp;col=6&amp;number=3985000000&amp;sourceID=14","3985000000")</f>
        <v>3985000000</v>
      </c>
      <c r="G266" s="4" t="str">
        <f>HYPERLINK("http://141.218.60.56/~jnz1568/getInfo.php?workbook=18_08.xlsx&amp;sheet=A0&amp;row=266&amp;col=7&amp;number=0&amp;sourceID=14","0")</f>
        <v>0</v>
      </c>
    </row>
    <row r="267" spans="1:7">
      <c r="A267" s="3">
        <v>18</v>
      </c>
      <c r="B267" s="3">
        <v>8</v>
      </c>
      <c r="C267" s="3">
        <v>58</v>
      </c>
      <c r="D267" s="3">
        <v>4</v>
      </c>
      <c r="E267" s="3">
        <v>-35.57</v>
      </c>
      <c r="F267" s="4" t="str">
        <f>HYPERLINK("http://141.218.60.56/~jnz1568/getInfo.php?workbook=18_08.xlsx&amp;sheet=A0&amp;row=267&amp;col=6&amp;number=85170&amp;sourceID=14","85170")</f>
        <v>85170</v>
      </c>
      <c r="G267" s="4" t="str">
        <f>HYPERLINK("http://141.218.60.56/~jnz1568/getInfo.php?workbook=18_08.xlsx&amp;sheet=A0&amp;row=267&amp;col=7&amp;number=0&amp;sourceID=14","0")</f>
        <v>0</v>
      </c>
    </row>
    <row r="268" spans="1:7">
      <c r="A268" s="3">
        <v>18</v>
      </c>
      <c r="B268" s="3">
        <v>8</v>
      </c>
      <c r="C268" s="3">
        <v>59</v>
      </c>
      <c r="D268" s="3">
        <v>4</v>
      </c>
      <c r="E268" s="3">
        <v>-35.552</v>
      </c>
      <c r="F268" s="4" t="str">
        <f>HYPERLINK("http://141.218.60.56/~jnz1568/getInfo.php?workbook=18_08.xlsx&amp;sheet=A0&amp;row=268&amp;col=6&amp;number=110000&amp;sourceID=14","110000")</f>
        <v>110000</v>
      </c>
      <c r="G268" s="4" t="str">
        <f>HYPERLINK("http://141.218.60.56/~jnz1568/getInfo.php?workbook=18_08.xlsx&amp;sheet=A0&amp;row=268&amp;col=7&amp;number=0&amp;sourceID=14","0")</f>
        <v>0</v>
      </c>
    </row>
    <row r="269" spans="1:7">
      <c r="A269" s="3">
        <v>18</v>
      </c>
      <c r="B269" s="3">
        <v>8</v>
      </c>
      <c r="C269" s="3">
        <v>60</v>
      </c>
      <c r="D269" s="3">
        <v>4</v>
      </c>
      <c r="E269" s="3">
        <v>-35.464</v>
      </c>
      <c r="F269" s="4" t="str">
        <f>HYPERLINK("http://141.218.60.56/~jnz1568/getInfo.php?workbook=18_08.xlsx&amp;sheet=A0&amp;row=269&amp;col=6&amp;number=12650000000&amp;sourceID=14","12650000000")</f>
        <v>12650000000</v>
      </c>
      <c r="G269" s="4" t="str">
        <f>HYPERLINK("http://141.218.60.56/~jnz1568/getInfo.php?workbook=18_08.xlsx&amp;sheet=A0&amp;row=269&amp;col=7&amp;number=0&amp;sourceID=14","0")</f>
        <v>0</v>
      </c>
    </row>
    <row r="270" spans="1:7">
      <c r="A270" s="3">
        <v>18</v>
      </c>
      <c r="B270" s="3">
        <v>8</v>
      </c>
      <c r="C270" s="3">
        <v>61</v>
      </c>
      <c r="D270" s="3">
        <v>4</v>
      </c>
      <c r="E270" s="3">
        <v>-35.444</v>
      </c>
      <c r="F270" s="4" t="str">
        <f>HYPERLINK("http://141.218.60.56/~jnz1568/getInfo.php?workbook=18_08.xlsx&amp;sheet=A0&amp;row=270&amp;col=6&amp;number=15590&amp;sourceID=14","15590")</f>
        <v>15590</v>
      </c>
      <c r="G270" s="4" t="str">
        <f>HYPERLINK("http://141.218.60.56/~jnz1568/getInfo.php?workbook=18_08.xlsx&amp;sheet=A0&amp;row=270&amp;col=7&amp;number=0&amp;sourceID=14","0")</f>
        <v>0</v>
      </c>
    </row>
    <row r="271" spans="1:7">
      <c r="A271" s="3">
        <v>18</v>
      </c>
      <c r="B271" s="3">
        <v>8</v>
      </c>
      <c r="C271" s="3">
        <v>63</v>
      </c>
      <c r="D271" s="3">
        <v>4</v>
      </c>
      <c r="E271" s="3">
        <v>-35.379</v>
      </c>
      <c r="F271" s="4" t="str">
        <f>HYPERLINK("http://141.218.60.56/~jnz1568/getInfo.php?workbook=18_08.xlsx&amp;sheet=A0&amp;row=271&amp;col=6&amp;number=49740&amp;sourceID=14","49740")</f>
        <v>49740</v>
      </c>
      <c r="G271" s="4" t="str">
        <f>HYPERLINK("http://141.218.60.56/~jnz1568/getInfo.php?workbook=18_08.xlsx&amp;sheet=A0&amp;row=271&amp;col=7&amp;number=0&amp;sourceID=14","0")</f>
        <v>0</v>
      </c>
    </row>
    <row r="272" spans="1:7">
      <c r="A272" s="3">
        <v>18</v>
      </c>
      <c r="B272" s="3">
        <v>8</v>
      </c>
      <c r="C272" s="3">
        <v>64</v>
      </c>
      <c r="D272" s="3">
        <v>4</v>
      </c>
      <c r="E272" s="3">
        <v>35.213</v>
      </c>
      <c r="F272" s="4" t="str">
        <f>HYPERLINK("http://141.218.60.56/~jnz1568/getInfo.php?workbook=18_08.xlsx&amp;sheet=A0&amp;row=272&amp;col=6&amp;number=566800000000&amp;sourceID=14","566800000000")</f>
        <v>566800000000</v>
      </c>
      <c r="G272" s="4" t="str">
        <f>HYPERLINK("http://141.218.60.56/~jnz1568/getInfo.php?workbook=18_08.xlsx&amp;sheet=A0&amp;row=272&amp;col=7&amp;number=0&amp;sourceID=14","0")</f>
        <v>0</v>
      </c>
    </row>
    <row r="273" spans="1:7">
      <c r="A273" s="3">
        <v>18</v>
      </c>
      <c r="B273" s="3">
        <v>8</v>
      </c>
      <c r="C273" s="3">
        <v>65</v>
      </c>
      <c r="D273" s="3">
        <v>4</v>
      </c>
      <c r="E273" s="3">
        <v>-35.61</v>
      </c>
      <c r="F273" s="4" t="str">
        <f>HYPERLINK("http://141.218.60.56/~jnz1568/getInfo.php?workbook=18_08.xlsx&amp;sheet=A0&amp;row=273&amp;col=6&amp;number=124500000&amp;sourceID=14","124500000")</f>
        <v>124500000</v>
      </c>
      <c r="G273" s="4" t="str">
        <f>HYPERLINK("http://141.218.60.56/~jnz1568/getInfo.php?workbook=18_08.xlsx&amp;sheet=A0&amp;row=273&amp;col=7&amp;number=0&amp;sourceID=14","0")</f>
        <v>0</v>
      </c>
    </row>
    <row r="274" spans="1:7">
      <c r="A274" s="3">
        <v>18</v>
      </c>
      <c r="B274" s="3">
        <v>8</v>
      </c>
      <c r="C274" s="3">
        <v>66</v>
      </c>
      <c r="D274" s="3">
        <v>4</v>
      </c>
      <c r="E274" s="3">
        <v>35.218</v>
      </c>
      <c r="F274" s="4" t="str">
        <f>HYPERLINK("http://141.218.60.56/~jnz1568/getInfo.php?workbook=18_08.xlsx&amp;sheet=A0&amp;row=274&amp;col=6&amp;number=133700000&amp;sourceID=14","133700000")</f>
        <v>133700000</v>
      </c>
      <c r="G274" s="4" t="str">
        <f>HYPERLINK("http://141.218.60.56/~jnz1568/getInfo.php?workbook=18_08.xlsx&amp;sheet=A0&amp;row=274&amp;col=7&amp;number=0&amp;sourceID=14","0")</f>
        <v>0</v>
      </c>
    </row>
    <row r="275" spans="1:7">
      <c r="A275" s="3">
        <v>18</v>
      </c>
      <c r="B275" s="3">
        <v>8</v>
      </c>
      <c r="C275" s="3">
        <v>67</v>
      </c>
      <c r="D275" s="3">
        <v>4</v>
      </c>
      <c r="E275" s="3">
        <v>35.326</v>
      </c>
      <c r="F275" s="4" t="str">
        <f>HYPERLINK("http://141.218.60.56/~jnz1568/getInfo.php?workbook=18_08.xlsx&amp;sheet=A0&amp;row=275&amp;col=6&amp;number=519000000000&amp;sourceID=14","519000000000")</f>
        <v>519000000000</v>
      </c>
      <c r="G275" s="4" t="str">
        <f>HYPERLINK("http://141.218.60.56/~jnz1568/getInfo.php?workbook=18_08.xlsx&amp;sheet=A0&amp;row=275&amp;col=7&amp;number=0&amp;sourceID=14","0")</f>
        <v>0</v>
      </c>
    </row>
    <row r="276" spans="1:7">
      <c r="A276" s="3">
        <v>18</v>
      </c>
      <c r="B276" s="3">
        <v>8</v>
      </c>
      <c r="C276" s="3">
        <v>68</v>
      </c>
      <c r="D276" s="3">
        <v>4</v>
      </c>
      <c r="E276" s="3">
        <v>35.198</v>
      </c>
      <c r="F276" s="4" t="str">
        <f>HYPERLINK("http://141.218.60.56/~jnz1568/getInfo.php?workbook=18_08.xlsx&amp;sheet=A0&amp;row=276&amp;col=6&amp;number=8644000000&amp;sourceID=14","8644000000")</f>
        <v>8644000000</v>
      </c>
      <c r="G276" s="4" t="str">
        <f>HYPERLINK("http://141.218.60.56/~jnz1568/getInfo.php?workbook=18_08.xlsx&amp;sheet=A0&amp;row=276&amp;col=7&amp;number=0&amp;sourceID=14","0")</f>
        <v>0</v>
      </c>
    </row>
    <row r="277" spans="1:7">
      <c r="A277" s="3">
        <v>18</v>
      </c>
      <c r="B277" s="3">
        <v>8</v>
      </c>
      <c r="C277" s="3">
        <v>69</v>
      </c>
      <c r="D277" s="3">
        <v>4</v>
      </c>
      <c r="E277" s="3">
        <v>35.087</v>
      </c>
      <c r="F277" s="4" t="str">
        <f>HYPERLINK("http://141.218.60.56/~jnz1568/getInfo.php?workbook=18_08.xlsx&amp;sheet=A0&amp;row=277&amp;col=6&amp;number=158400000000&amp;sourceID=14","158400000000")</f>
        <v>158400000000</v>
      </c>
      <c r="G277" s="4" t="str">
        <f>HYPERLINK("http://141.218.60.56/~jnz1568/getInfo.php?workbook=18_08.xlsx&amp;sheet=A0&amp;row=277&amp;col=7&amp;number=0&amp;sourceID=14","0")</f>
        <v>0</v>
      </c>
    </row>
    <row r="278" spans="1:7">
      <c r="A278" s="3">
        <v>18</v>
      </c>
      <c r="B278" s="3">
        <v>8</v>
      </c>
      <c r="C278" s="3">
        <v>70</v>
      </c>
      <c r="D278" s="3">
        <v>4</v>
      </c>
      <c r="E278" s="3">
        <v>-35.083</v>
      </c>
      <c r="F278" s="4" t="str">
        <f>HYPERLINK("http://141.218.60.56/~jnz1568/getInfo.php?workbook=18_08.xlsx&amp;sheet=A0&amp;row=278&amp;col=6&amp;number=36430&amp;sourceID=14","36430")</f>
        <v>36430</v>
      </c>
      <c r="G278" s="4" t="str">
        <f>HYPERLINK("http://141.218.60.56/~jnz1568/getInfo.php?workbook=18_08.xlsx&amp;sheet=A0&amp;row=278&amp;col=7&amp;number=0&amp;sourceID=14","0")</f>
        <v>0</v>
      </c>
    </row>
    <row r="279" spans="1:7">
      <c r="A279" s="3">
        <v>18</v>
      </c>
      <c r="B279" s="3">
        <v>8</v>
      </c>
      <c r="C279" s="3">
        <v>71</v>
      </c>
      <c r="D279" s="3">
        <v>4</v>
      </c>
      <c r="E279" s="3">
        <v>34.947</v>
      </c>
      <c r="F279" s="4" t="str">
        <f>HYPERLINK("http://141.218.60.56/~jnz1568/getInfo.php?workbook=18_08.xlsx&amp;sheet=A0&amp;row=279&amp;col=6&amp;number=82050000000&amp;sourceID=14","82050000000")</f>
        <v>82050000000</v>
      </c>
      <c r="G279" s="4" t="str">
        <f>HYPERLINK("http://141.218.60.56/~jnz1568/getInfo.php?workbook=18_08.xlsx&amp;sheet=A0&amp;row=279&amp;col=7&amp;number=0&amp;sourceID=14","0")</f>
        <v>0</v>
      </c>
    </row>
    <row r="280" spans="1:7">
      <c r="A280" s="3">
        <v>18</v>
      </c>
      <c r="B280" s="3">
        <v>8</v>
      </c>
      <c r="C280" s="3">
        <v>72</v>
      </c>
      <c r="D280" s="3">
        <v>4</v>
      </c>
      <c r="E280" s="3">
        <v>35.087</v>
      </c>
      <c r="F280" s="4" t="str">
        <f>HYPERLINK("http://141.218.60.56/~jnz1568/getInfo.php?workbook=18_08.xlsx&amp;sheet=A0&amp;row=280&amp;col=6&amp;number=630000000000&amp;sourceID=14","630000000000")</f>
        <v>630000000000</v>
      </c>
      <c r="G280" s="4" t="str">
        <f>HYPERLINK("http://141.218.60.56/~jnz1568/getInfo.php?workbook=18_08.xlsx&amp;sheet=A0&amp;row=280&amp;col=7&amp;number=0&amp;sourceID=14","0")</f>
        <v>0</v>
      </c>
    </row>
    <row r="281" spans="1:7">
      <c r="A281" s="3">
        <v>18</v>
      </c>
      <c r="B281" s="3">
        <v>8</v>
      </c>
      <c r="C281" s="3">
        <v>73</v>
      </c>
      <c r="D281" s="3">
        <v>4</v>
      </c>
      <c r="E281" s="3">
        <v>34.947</v>
      </c>
      <c r="F281" s="4" t="str">
        <f>HYPERLINK("http://141.218.60.56/~jnz1568/getInfo.php?workbook=18_08.xlsx&amp;sheet=A0&amp;row=281&amp;col=6&amp;number=69500000000&amp;sourceID=14","69500000000")</f>
        <v>69500000000</v>
      </c>
      <c r="G281" s="4" t="str">
        <f>HYPERLINK("http://141.218.60.56/~jnz1568/getInfo.php?workbook=18_08.xlsx&amp;sheet=A0&amp;row=281&amp;col=7&amp;number=0&amp;sourceID=14","0")</f>
        <v>0</v>
      </c>
    </row>
    <row r="282" spans="1:7">
      <c r="A282" s="3">
        <v>18</v>
      </c>
      <c r="B282" s="3">
        <v>8</v>
      </c>
      <c r="C282" s="3">
        <v>74</v>
      </c>
      <c r="D282" s="3">
        <v>4</v>
      </c>
      <c r="E282" s="3">
        <v>34.8</v>
      </c>
      <c r="F282" s="4" t="str">
        <f>HYPERLINK("http://141.218.60.56/~jnz1568/getInfo.php?workbook=18_08.xlsx&amp;sheet=A0&amp;row=282&amp;col=6&amp;number=671300000000&amp;sourceID=14","671300000000")</f>
        <v>671300000000</v>
      </c>
      <c r="G282" s="4" t="str">
        <f>HYPERLINK("http://141.218.60.56/~jnz1568/getInfo.php?workbook=18_08.xlsx&amp;sheet=A0&amp;row=282&amp;col=7&amp;number=0&amp;sourceID=14","0")</f>
        <v>0</v>
      </c>
    </row>
    <row r="283" spans="1:7">
      <c r="A283" s="3">
        <v>18</v>
      </c>
      <c r="B283" s="3">
        <v>8</v>
      </c>
      <c r="C283" s="3">
        <v>75</v>
      </c>
      <c r="D283" s="3">
        <v>4</v>
      </c>
      <c r="E283" s="3">
        <v>-34.801</v>
      </c>
      <c r="F283" s="4" t="str">
        <f>HYPERLINK("http://141.218.60.56/~jnz1568/getInfo.php?workbook=18_08.xlsx&amp;sheet=A0&amp;row=283&amp;col=6&amp;number=54740000000&amp;sourceID=14","54740000000")</f>
        <v>54740000000</v>
      </c>
      <c r="G283" s="4" t="str">
        <f>HYPERLINK("http://141.218.60.56/~jnz1568/getInfo.php?workbook=18_08.xlsx&amp;sheet=A0&amp;row=283&amp;col=7&amp;number=0&amp;sourceID=14","0")</f>
        <v>0</v>
      </c>
    </row>
    <row r="284" spans="1:7">
      <c r="A284" s="3">
        <v>18</v>
      </c>
      <c r="B284" s="3">
        <v>8</v>
      </c>
      <c r="C284" s="3">
        <v>76</v>
      </c>
      <c r="D284" s="3">
        <v>4</v>
      </c>
      <c r="E284" s="3">
        <v>-34.798</v>
      </c>
      <c r="F284" s="4" t="str">
        <f>HYPERLINK("http://141.218.60.56/~jnz1568/getInfo.php?workbook=18_08.xlsx&amp;sheet=A0&amp;row=284&amp;col=6&amp;number=53740&amp;sourceID=14","53740")</f>
        <v>53740</v>
      </c>
      <c r="G284" s="4" t="str">
        <f>HYPERLINK("http://141.218.60.56/~jnz1568/getInfo.php?workbook=18_08.xlsx&amp;sheet=A0&amp;row=284&amp;col=7&amp;number=0&amp;sourceID=14","0")</f>
        <v>0</v>
      </c>
    </row>
    <row r="285" spans="1:7">
      <c r="A285" s="3">
        <v>18</v>
      </c>
      <c r="B285" s="3">
        <v>8</v>
      </c>
      <c r="C285" s="3">
        <v>77</v>
      </c>
      <c r="D285" s="3">
        <v>4</v>
      </c>
      <c r="E285" s="3">
        <v>34.8</v>
      </c>
      <c r="F285" s="4" t="str">
        <f>HYPERLINK("http://141.218.60.56/~jnz1568/getInfo.php?workbook=18_08.xlsx&amp;sheet=A0&amp;row=285&amp;col=6&amp;number=471100000000&amp;sourceID=14","471100000000")</f>
        <v>471100000000</v>
      </c>
      <c r="G285" s="4" t="str">
        <f>HYPERLINK("http://141.218.60.56/~jnz1568/getInfo.php?workbook=18_08.xlsx&amp;sheet=A0&amp;row=285&amp;col=7&amp;number=0&amp;sourceID=14","0")</f>
        <v>0</v>
      </c>
    </row>
    <row r="286" spans="1:7">
      <c r="A286" s="3">
        <v>18</v>
      </c>
      <c r="B286" s="3">
        <v>8</v>
      </c>
      <c r="C286" s="3">
        <v>78</v>
      </c>
      <c r="D286" s="3">
        <v>4</v>
      </c>
      <c r="E286" s="3">
        <v>-34.792</v>
      </c>
      <c r="F286" s="4" t="str">
        <f>HYPERLINK("http://141.218.60.56/~jnz1568/getInfo.php?workbook=18_08.xlsx&amp;sheet=A0&amp;row=286&amp;col=6&amp;number=6635&amp;sourceID=14","6635")</f>
        <v>6635</v>
      </c>
      <c r="G286" s="4" t="str">
        <f>HYPERLINK("http://141.218.60.56/~jnz1568/getInfo.php?workbook=18_08.xlsx&amp;sheet=A0&amp;row=286&amp;col=7&amp;number=0&amp;sourceID=14","0")</f>
        <v>0</v>
      </c>
    </row>
    <row r="287" spans="1:7">
      <c r="A287" s="3">
        <v>18</v>
      </c>
      <c r="B287" s="3">
        <v>8</v>
      </c>
      <c r="C287" s="3">
        <v>79</v>
      </c>
      <c r="D287" s="3">
        <v>4</v>
      </c>
      <c r="E287" s="3">
        <v>-34.755</v>
      </c>
      <c r="F287" s="4" t="str">
        <f>HYPERLINK("http://141.218.60.56/~jnz1568/getInfo.php?workbook=18_08.xlsx&amp;sheet=A0&amp;row=287&amp;col=6&amp;number=40420000000&amp;sourceID=14","40420000000")</f>
        <v>40420000000</v>
      </c>
      <c r="G287" s="4" t="str">
        <f>HYPERLINK("http://141.218.60.56/~jnz1568/getInfo.php?workbook=18_08.xlsx&amp;sheet=A0&amp;row=287&amp;col=7&amp;number=0&amp;sourceID=14","0")</f>
        <v>0</v>
      </c>
    </row>
    <row r="288" spans="1:7">
      <c r="A288" s="3">
        <v>18</v>
      </c>
      <c r="B288" s="3">
        <v>8</v>
      </c>
      <c r="C288" s="3">
        <v>80</v>
      </c>
      <c r="D288" s="3">
        <v>4</v>
      </c>
      <c r="E288" s="3">
        <v>-34.732</v>
      </c>
      <c r="F288" s="4" t="str">
        <f>HYPERLINK("http://141.218.60.56/~jnz1568/getInfo.php?workbook=18_08.xlsx&amp;sheet=A0&amp;row=288&amp;col=6&amp;number=24740000000&amp;sourceID=14","24740000000")</f>
        <v>24740000000</v>
      </c>
      <c r="G288" s="4" t="str">
        <f>HYPERLINK("http://141.218.60.56/~jnz1568/getInfo.php?workbook=18_08.xlsx&amp;sheet=A0&amp;row=288&amp;col=7&amp;number=0&amp;sourceID=14","0")</f>
        <v>0</v>
      </c>
    </row>
    <row r="289" spans="1:7">
      <c r="A289" s="3">
        <v>18</v>
      </c>
      <c r="B289" s="3">
        <v>8</v>
      </c>
      <c r="C289" s="3">
        <v>81</v>
      </c>
      <c r="D289" s="3">
        <v>4</v>
      </c>
      <c r="E289" s="3">
        <v>34.56</v>
      </c>
      <c r="F289" s="4" t="str">
        <f>HYPERLINK("http://141.218.60.56/~jnz1568/getInfo.php?workbook=18_08.xlsx&amp;sheet=A0&amp;row=289&amp;col=6&amp;number=263100000000&amp;sourceID=14","263100000000")</f>
        <v>263100000000</v>
      </c>
      <c r="G289" s="4" t="str">
        <f>HYPERLINK("http://141.218.60.56/~jnz1568/getInfo.php?workbook=18_08.xlsx&amp;sheet=A0&amp;row=289&amp;col=7&amp;number=0&amp;sourceID=14","0")</f>
        <v>0</v>
      </c>
    </row>
    <row r="290" spans="1:7">
      <c r="A290" s="3">
        <v>18</v>
      </c>
      <c r="B290" s="3">
        <v>8</v>
      </c>
      <c r="C290" s="3">
        <v>82</v>
      </c>
      <c r="D290" s="3">
        <v>4</v>
      </c>
      <c r="E290" s="3">
        <v>34.514</v>
      </c>
      <c r="F290" s="4" t="str">
        <f>HYPERLINK("http://141.218.60.56/~jnz1568/getInfo.php?workbook=18_08.xlsx&amp;sheet=A0&amp;row=290&amp;col=6&amp;number=48850000000&amp;sourceID=14","48850000000")</f>
        <v>48850000000</v>
      </c>
      <c r="G290" s="4" t="str">
        <f>HYPERLINK("http://141.218.60.56/~jnz1568/getInfo.php?workbook=18_08.xlsx&amp;sheet=A0&amp;row=290&amp;col=7&amp;number=0&amp;sourceID=14","0")</f>
        <v>0</v>
      </c>
    </row>
    <row r="291" spans="1:7">
      <c r="A291" s="3">
        <v>18</v>
      </c>
      <c r="B291" s="3">
        <v>8</v>
      </c>
      <c r="C291" s="3">
        <v>83</v>
      </c>
      <c r="D291" s="3">
        <v>4</v>
      </c>
      <c r="E291" s="3">
        <v>34.398</v>
      </c>
      <c r="F291" s="4" t="str">
        <f>HYPERLINK("http://141.218.60.56/~jnz1568/getInfo.php?workbook=18_08.xlsx&amp;sheet=A0&amp;row=291&amp;col=6&amp;number=1180000000&amp;sourceID=14","1180000000")</f>
        <v>1180000000</v>
      </c>
      <c r="G291" s="4" t="str">
        <f>HYPERLINK("http://141.218.60.56/~jnz1568/getInfo.php?workbook=18_08.xlsx&amp;sheet=A0&amp;row=291&amp;col=7&amp;number=0&amp;sourceID=14","0")</f>
        <v>0</v>
      </c>
    </row>
    <row r="292" spans="1:7">
      <c r="A292" s="3">
        <v>18</v>
      </c>
      <c r="B292" s="3">
        <v>8</v>
      </c>
      <c r="C292" s="3">
        <v>84</v>
      </c>
      <c r="D292" s="3">
        <v>4</v>
      </c>
      <c r="E292" s="3">
        <v>34.511</v>
      </c>
      <c r="F292" s="4" t="str">
        <f>HYPERLINK("http://141.218.60.56/~jnz1568/getInfo.php?workbook=18_08.xlsx&amp;sheet=A0&amp;row=292&amp;col=6&amp;number=2356000000000&amp;sourceID=14","2356000000000")</f>
        <v>2356000000000</v>
      </c>
      <c r="G292" s="4" t="str">
        <f>HYPERLINK("http://141.218.60.56/~jnz1568/getInfo.php?workbook=18_08.xlsx&amp;sheet=A0&amp;row=292&amp;col=7&amp;number=0&amp;sourceID=14","0")</f>
        <v>0</v>
      </c>
    </row>
    <row r="293" spans="1:7">
      <c r="A293" s="3">
        <v>18</v>
      </c>
      <c r="B293" s="3">
        <v>8</v>
      </c>
      <c r="C293" s="3">
        <v>85</v>
      </c>
      <c r="D293" s="3">
        <v>4</v>
      </c>
      <c r="E293" s="3">
        <v>34.33</v>
      </c>
      <c r="F293" s="4" t="str">
        <f>HYPERLINK("http://141.218.60.56/~jnz1568/getInfo.php?workbook=18_08.xlsx&amp;sheet=A0&amp;row=293&amp;col=6&amp;number=3846000000000&amp;sourceID=14","3846000000000")</f>
        <v>3846000000000</v>
      </c>
      <c r="G293" s="4" t="str">
        <f>HYPERLINK("http://141.218.60.56/~jnz1568/getInfo.php?workbook=18_08.xlsx&amp;sheet=A0&amp;row=293&amp;col=7&amp;number=0&amp;sourceID=14","0")</f>
        <v>0</v>
      </c>
    </row>
    <row r="294" spans="1:7">
      <c r="A294" s="3">
        <v>18</v>
      </c>
      <c r="B294" s="3">
        <v>8</v>
      </c>
      <c r="C294" s="3">
        <v>86</v>
      </c>
      <c r="D294" s="3">
        <v>4</v>
      </c>
      <c r="E294" s="3">
        <v>33.972</v>
      </c>
      <c r="F294" s="4" t="str">
        <f>HYPERLINK("http://141.218.60.56/~jnz1568/getInfo.php?workbook=18_08.xlsx&amp;sheet=A0&amp;row=294&amp;col=6&amp;number=235200000000&amp;sourceID=14","235200000000")</f>
        <v>235200000000</v>
      </c>
      <c r="G294" s="4" t="str">
        <f>HYPERLINK("http://141.218.60.56/~jnz1568/getInfo.php?workbook=18_08.xlsx&amp;sheet=A0&amp;row=294&amp;col=7&amp;number=0&amp;sourceID=14","0")</f>
        <v>0</v>
      </c>
    </row>
    <row r="295" spans="1:7">
      <c r="A295" s="3">
        <v>18</v>
      </c>
      <c r="B295" s="3">
        <v>8</v>
      </c>
      <c r="C295" s="3">
        <v>6</v>
      </c>
      <c r="D295" s="3">
        <v>5</v>
      </c>
      <c r="E295" s="3">
        <v>262.378</v>
      </c>
      <c r="F295" s="4" t="str">
        <f>HYPERLINK("http://141.218.60.56/~jnz1568/getInfo.php?workbook=18_08.xlsx&amp;sheet=A0&amp;row=295&amp;col=6&amp;number=2.926&amp;sourceID=14","2.926")</f>
        <v>2.926</v>
      </c>
      <c r="G295" s="4" t="str">
        <f>HYPERLINK("http://141.218.60.56/~jnz1568/getInfo.php?workbook=18_08.xlsx&amp;sheet=A0&amp;row=295&amp;col=7&amp;number=0&amp;sourceID=14","0")</f>
        <v>0</v>
      </c>
    </row>
    <row r="296" spans="1:7">
      <c r="A296" s="3">
        <v>18</v>
      </c>
      <c r="B296" s="3">
        <v>8</v>
      </c>
      <c r="C296" s="3">
        <v>7</v>
      </c>
      <c r="D296" s="3">
        <v>5</v>
      </c>
      <c r="E296" s="3">
        <v>254.179</v>
      </c>
      <c r="F296" s="4" t="str">
        <f>HYPERLINK("http://141.218.60.56/~jnz1568/getInfo.php?workbook=18_08.xlsx&amp;sheet=A0&amp;row=296&amp;col=6&amp;number=35190000&amp;sourceID=14","35190000")</f>
        <v>35190000</v>
      </c>
      <c r="G296" s="4" t="str">
        <f>HYPERLINK("http://141.218.60.56/~jnz1568/getInfo.php?workbook=18_08.xlsx&amp;sheet=A0&amp;row=296&amp;col=7&amp;number=0&amp;sourceID=14","0")</f>
        <v>0</v>
      </c>
    </row>
    <row r="297" spans="1:7">
      <c r="A297" s="3">
        <v>18</v>
      </c>
      <c r="B297" s="3">
        <v>8</v>
      </c>
      <c r="C297" s="3">
        <v>9</v>
      </c>
      <c r="D297" s="3">
        <v>5</v>
      </c>
      <c r="E297" s="3">
        <v>171.866</v>
      </c>
      <c r="F297" s="4" t="str">
        <f>HYPERLINK("http://141.218.60.56/~jnz1568/getInfo.php?workbook=18_08.xlsx&amp;sheet=A0&amp;row=297&amp;col=6&amp;number=5164000000&amp;sourceID=14","5164000000")</f>
        <v>5164000000</v>
      </c>
      <c r="G297" s="4" t="str">
        <f>HYPERLINK("http://141.218.60.56/~jnz1568/getInfo.php?workbook=18_08.xlsx&amp;sheet=A0&amp;row=297&amp;col=7&amp;number=0&amp;sourceID=14","0")</f>
        <v>0</v>
      </c>
    </row>
    <row r="298" spans="1:7">
      <c r="A298" s="3">
        <v>18</v>
      </c>
      <c r="B298" s="3">
        <v>8</v>
      </c>
      <c r="C298" s="3">
        <v>11</v>
      </c>
      <c r="D298" s="3">
        <v>5</v>
      </c>
      <c r="E298" s="3">
        <v>42.83</v>
      </c>
      <c r="F298" s="4" t="str">
        <f>HYPERLINK("http://141.218.60.56/~jnz1568/getInfo.php?workbook=18_08.xlsx&amp;sheet=A0&amp;row=298&amp;col=6&amp;number=1.195&amp;sourceID=14","1.195")</f>
        <v>1.195</v>
      </c>
      <c r="G298" s="4" t="str">
        <f>HYPERLINK("http://141.218.60.56/~jnz1568/getInfo.php?workbook=18_08.xlsx&amp;sheet=A0&amp;row=298&amp;col=7&amp;number=0&amp;sourceID=14","0")</f>
        <v>0</v>
      </c>
    </row>
    <row r="299" spans="1:7">
      <c r="A299" s="3">
        <v>18</v>
      </c>
      <c r="B299" s="3">
        <v>8</v>
      </c>
      <c r="C299" s="3">
        <v>12</v>
      </c>
      <c r="D299" s="3">
        <v>5</v>
      </c>
      <c r="E299" s="3">
        <v>42.15</v>
      </c>
      <c r="F299" s="4" t="str">
        <f>HYPERLINK("http://141.218.60.56/~jnz1568/getInfo.php?workbook=18_08.xlsx&amp;sheet=A0&amp;row=299&amp;col=6&amp;number=8056000&amp;sourceID=14","8056000")</f>
        <v>8056000</v>
      </c>
      <c r="G299" s="4" t="str">
        <f>HYPERLINK("http://141.218.60.56/~jnz1568/getInfo.php?workbook=18_08.xlsx&amp;sheet=A0&amp;row=299&amp;col=7&amp;number=0&amp;sourceID=14","0")</f>
        <v>0</v>
      </c>
    </row>
    <row r="300" spans="1:7">
      <c r="A300" s="3">
        <v>18</v>
      </c>
      <c r="B300" s="3">
        <v>8</v>
      </c>
      <c r="C300" s="3">
        <v>13</v>
      </c>
      <c r="D300" s="3">
        <v>5</v>
      </c>
      <c r="E300" s="3">
        <v>41.007</v>
      </c>
      <c r="F300" s="4" t="str">
        <f>HYPERLINK("http://141.218.60.56/~jnz1568/getInfo.php?workbook=18_08.xlsx&amp;sheet=A0&amp;row=300&amp;col=6&amp;number=1786000000&amp;sourceID=14","1786000000")</f>
        <v>1786000000</v>
      </c>
      <c r="G300" s="4" t="str">
        <f>HYPERLINK("http://141.218.60.56/~jnz1568/getInfo.php?workbook=18_08.xlsx&amp;sheet=A0&amp;row=300&amp;col=7&amp;number=0&amp;sourceID=14","0")</f>
        <v>0</v>
      </c>
    </row>
    <row r="301" spans="1:7">
      <c r="A301" s="3">
        <v>18</v>
      </c>
      <c r="B301" s="3">
        <v>8</v>
      </c>
      <c r="C301" s="3">
        <v>14</v>
      </c>
      <c r="D301" s="3">
        <v>5</v>
      </c>
      <c r="E301" s="3">
        <v>40.986</v>
      </c>
      <c r="F301" s="4" t="str">
        <f>HYPERLINK("http://141.218.60.56/~jnz1568/getInfo.php?workbook=18_08.xlsx&amp;sheet=A0&amp;row=301&amp;col=6&amp;number=106.9&amp;sourceID=14","106.9")</f>
        <v>106.9</v>
      </c>
      <c r="G301" s="4" t="str">
        <f>HYPERLINK("http://141.218.60.56/~jnz1568/getInfo.php?workbook=18_08.xlsx&amp;sheet=A0&amp;row=301&amp;col=7&amp;number=0&amp;sourceID=14","0")</f>
        <v>0</v>
      </c>
    </row>
    <row r="302" spans="1:7">
      <c r="A302" s="3">
        <v>18</v>
      </c>
      <c r="B302" s="3">
        <v>8</v>
      </c>
      <c r="C302" s="3">
        <v>16</v>
      </c>
      <c r="D302" s="3">
        <v>5</v>
      </c>
      <c r="E302" s="3">
        <v>40.723</v>
      </c>
      <c r="F302" s="4" t="str">
        <f>HYPERLINK("http://141.218.60.56/~jnz1568/getInfo.php?workbook=18_08.xlsx&amp;sheet=A0&amp;row=302&amp;col=6&amp;number=302.2&amp;sourceID=14","302.2")</f>
        <v>302.2</v>
      </c>
      <c r="G302" s="4" t="str">
        <f>HYPERLINK("http://141.218.60.56/~jnz1568/getInfo.php?workbook=18_08.xlsx&amp;sheet=A0&amp;row=302&amp;col=7&amp;number=0&amp;sourceID=14","0")</f>
        <v>0</v>
      </c>
    </row>
    <row r="303" spans="1:7">
      <c r="A303" s="3">
        <v>18</v>
      </c>
      <c r="B303" s="3">
        <v>8</v>
      </c>
      <c r="C303" s="3">
        <v>17</v>
      </c>
      <c r="D303" s="3">
        <v>5</v>
      </c>
      <c r="E303" s="3">
        <v>40.476</v>
      </c>
      <c r="F303" s="4" t="str">
        <f>HYPERLINK("http://141.218.60.56/~jnz1568/getInfo.php?workbook=18_08.xlsx&amp;sheet=A0&amp;row=303&amp;col=6&amp;number=0.04894&amp;sourceID=14","0.04894")</f>
        <v>0.04894</v>
      </c>
      <c r="G303" s="4" t="str">
        <f>HYPERLINK("http://141.218.60.56/~jnz1568/getInfo.php?workbook=18_08.xlsx&amp;sheet=A0&amp;row=303&amp;col=7&amp;number=0&amp;sourceID=14","0")</f>
        <v>0</v>
      </c>
    </row>
    <row r="304" spans="1:7">
      <c r="A304" s="3">
        <v>18</v>
      </c>
      <c r="B304" s="3">
        <v>8</v>
      </c>
      <c r="C304" s="3">
        <v>18</v>
      </c>
      <c r="D304" s="3">
        <v>5</v>
      </c>
      <c r="E304" s="3">
        <v>40.458</v>
      </c>
      <c r="F304" s="4" t="str">
        <f>HYPERLINK("http://141.218.60.56/~jnz1568/getInfo.php?workbook=18_08.xlsx&amp;sheet=A0&amp;row=304&amp;col=6&amp;number=19.97&amp;sourceID=14","19.97")</f>
        <v>19.97</v>
      </c>
      <c r="G304" s="4" t="str">
        <f>HYPERLINK("http://141.218.60.56/~jnz1568/getInfo.php?workbook=18_08.xlsx&amp;sheet=A0&amp;row=304&amp;col=7&amp;number=0&amp;sourceID=14","0")</f>
        <v>0</v>
      </c>
    </row>
    <row r="305" spans="1:7">
      <c r="A305" s="3">
        <v>18</v>
      </c>
      <c r="B305" s="3">
        <v>8</v>
      </c>
      <c r="C305" s="3">
        <v>20</v>
      </c>
      <c r="D305" s="3">
        <v>5</v>
      </c>
      <c r="E305" s="3">
        <v>-40.043</v>
      </c>
      <c r="F305" s="4" t="str">
        <f>HYPERLINK("http://141.218.60.56/~jnz1568/getInfo.php?workbook=18_08.xlsx&amp;sheet=A0&amp;row=305&amp;col=6&amp;number=64.03&amp;sourceID=14","64.03")</f>
        <v>64.03</v>
      </c>
      <c r="G305" s="4" t="str">
        <f>HYPERLINK("http://141.218.60.56/~jnz1568/getInfo.php?workbook=18_08.xlsx&amp;sheet=A0&amp;row=305&amp;col=7&amp;number=0&amp;sourceID=14","0")</f>
        <v>0</v>
      </c>
    </row>
    <row r="306" spans="1:7">
      <c r="A306" s="3">
        <v>18</v>
      </c>
      <c r="B306" s="3">
        <v>8</v>
      </c>
      <c r="C306" s="3">
        <v>21</v>
      </c>
      <c r="D306" s="3">
        <v>5</v>
      </c>
      <c r="E306" s="3">
        <v>-40.023</v>
      </c>
      <c r="F306" s="4" t="str">
        <f>HYPERLINK("http://141.218.60.56/~jnz1568/getInfo.php?workbook=18_08.xlsx&amp;sheet=A0&amp;row=306&amp;col=6&amp;number=4203&amp;sourceID=14","4203")</f>
        <v>4203</v>
      </c>
      <c r="G306" s="4" t="str">
        <f>HYPERLINK("http://141.218.60.56/~jnz1568/getInfo.php?workbook=18_08.xlsx&amp;sheet=A0&amp;row=306&amp;col=7&amp;number=0&amp;sourceID=14","0")</f>
        <v>0</v>
      </c>
    </row>
    <row r="307" spans="1:7">
      <c r="A307" s="3">
        <v>18</v>
      </c>
      <c r="B307" s="3">
        <v>8</v>
      </c>
      <c r="C307" s="3">
        <v>24</v>
      </c>
      <c r="D307" s="3">
        <v>5</v>
      </c>
      <c r="E307" s="3">
        <v>-40.232</v>
      </c>
      <c r="F307" s="4" t="str">
        <f>HYPERLINK("http://141.218.60.56/~jnz1568/getInfo.php?workbook=18_08.xlsx&amp;sheet=A0&amp;row=307&amp;col=6&amp;number=385800000&amp;sourceID=14","385800000")</f>
        <v>385800000</v>
      </c>
      <c r="G307" s="4" t="str">
        <f>HYPERLINK("http://141.218.60.56/~jnz1568/getInfo.php?workbook=18_08.xlsx&amp;sheet=A0&amp;row=307&amp;col=7&amp;number=0&amp;sourceID=14","0")</f>
        <v>0</v>
      </c>
    </row>
    <row r="308" spans="1:7">
      <c r="A308" s="3">
        <v>18</v>
      </c>
      <c r="B308" s="3">
        <v>8</v>
      </c>
      <c r="C308" s="3">
        <v>25</v>
      </c>
      <c r="D308" s="3">
        <v>5</v>
      </c>
      <c r="E308" s="3">
        <v>40.059</v>
      </c>
      <c r="F308" s="4" t="str">
        <f>HYPERLINK("http://141.218.60.56/~jnz1568/getInfo.php?workbook=18_08.xlsx&amp;sheet=A0&amp;row=308&amp;col=6&amp;number=4356&amp;sourceID=14","4356")</f>
        <v>4356</v>
      </c>
      <c r="G308" s="4" t="str">
        <f>HYPERLINK("http://141.218.60.56/~jnz1568/getInfo.php?workbook=18_08.xlsx&amp;sheet=A0&amp;row=308&amp;col=7&amp;number=0&amp;sourceID=14","0")</f>
        <v>0</v>
      </c>
    </row>
    <row r="309" spans="1:7">
      <c r="A309" s="3">
        <v>18</v>
      </c>
      <c r="B309" s="3">
        <v>8</v>
      </c>
      <c r="C309" s="3">
        <v>26</v>
      </c>
      <c r="D309" s="3">
        <v>5</v>
      </c>
      <c r="E309" s="3">
        <v>39.98</v>
      </c>
      <c r="F309" s="4" t="str">
        <f>HYPERLINK("http://141.218.60.56/~jnz1568/getInfo.php?workbook=18_08.xlsx&amp;sheet=A0&amp;row=309&amp;col=6&amp;number=225100000000&amp;sourceID=14","225100000000")</f>
        <v>225100000000</v>
      </c>
      <c r="G309" s="4" t="str">
        <f>HYPERLINK("http://141.218.60.56/~jnz1568/getInfo.php?workbook=18_08.xlsx&amp;sheet=A0&amp;row=309&amp;col=7&amp;number=0&amp;sourceID=14","0")</f>
        <v>0</v>
      </c>
    </row>
    <row r="310" spans="1:7">
      <c r="A310" s="3">
        <v>18</v>
      </c>
      <c r="B310" s="3">
        <v>8</v>
      </c>
      <c r="C310" s="3">
        <v>27</v>
      </c>
      <c r="D310" s="3">
        <v>5</v>
      </c>
      <c r="E310" s="3">
        <v>-38.982</v>
      </c>
      <c r="F310" s="4" t="str">
        <f>HYPERLINK("http://141.218.60.56/~jnz1568/getInfo.php?workbook=18_08.xlsx&amp;sheet=A0&amp;row=310&amp;col=6&amp;number=0.003331&amp;sourceID=14","0.003331")</f>
        <v>0.003331</v>
      </c>
      <c r="G310" s="4" t="str">
        <f>HYPERLINK("http://141.218.60.56/~jnz1568/getInfo.php?workbook=18_08.xlsx&amp;sheet=A0&amp;row=310&amp;col=7&amp;number=0&amp;sourceID=14","0")</f>
        <v>0</v>
      </c>
    </row>
    <row r="311" spans="1:7">
      <c r="A311" s="3">
        <v>18</v>
      </c>
      <c r="B311" s="3">
        <v>8</v>
      </c>
      <c r="C311" s="3">
        <v>28</v>
      </c>
      <c r="D311" s="3">
        <v>5</v>
      </c>
      <c r="E311" s="3">
        <v>-39.033</v>
      </c>
      <c r="F311" s="4" t="str">
        <f>HYPERLINK("http://141.218.60.56/~jnz1568/getInfo.php?workbook=18_08.xlsx&amp;sheet=A0&amp;row=311&amp;col=6&amp;number=31220&amp;sourceID=14","31220")</f>
        <v>31220</v>
      </c>
      <c r="G311" s="4" t="str">
        <f>HYPERLINK("http://141.218.60.56/~jnz1568/getInfo.php?workbook=18_08.xlsx&amp;sheet=A0&amp;row=311&amp;col=7&amp;number=0&amp;sourceID=14","0")</f>
        <v>0</v>
      </c>
    </row>
    <row r="312" spans="1:7">
      <c r="A312" s="3">
        <v>18</v>
      </c>
      <c r="B312" s="3">
        <v>8</v>
      </c>
      <c r="C312" s="3">
        <v>30</v>
      </c>
      <c r="D312" s="3">
        <v>5</v>
      </c>
      <c r="E312" s="3">
        <v>-39.164</v>
      </c>
      <c r="F312" s="4" t="str">
        <f>HYPERLINK("http://141.218.60.56/~jnz1568/getInfo.php?workbook=18_08.xlsx&amp;sheet=A0&amp;row=312&amp;col=6&amp;number=4.455&amp;sourceID=14","4.455")</f>
        <v>4.455</v>
      </c>
      <c r="G312" s="4" t="str">
        <f>HYPERLINK("http://141.218.60.56/~jnz1568/getInfo.php?workbook=18_08.xlsx&amp;sheet=A0&amp;row=312&amp;col=7&amp;number=0&amp;sourceID=14","0")</f>
        <v>0</v>
      </c>
    </row>
    <row r="313" spans="1:7">
      <c r="A313" s="3">
        <v>18</v>
      </c>
      <c r="B313" s="3">
        <v>8</v>
      </c>
      <c r="C313" s="3">
        <v>31</v>
      </c>
      <c r="D313" s="3">
        <v>5</v>
      </c>
      <c r="E313" s="3">
        <v>-38.878</v>
      </c>
      <c r="F313" s="4" t="str">
        <f>HYPERLINK("http://141.218.60.56/~jnz1568/getInfo.php?workbook=18_08.xlsx&amp;sheet=A0&amp;row=313&amp;col=6&amp;number=614400&amp;sourceID=14","614400")</f>
        <v>614400</v>
      </c>
      <c r="G313" s="4" t="str">
        <f>HYPERLINK("http://141.218.60.56/~jnz1568/getInfo.php?workbook=18_08.xlsx&amp;sheet=A0&amp;row=313&amp;col=7&amp;number=0&amp;sourceID=14","0")</f>
        <v>0</v>
      </c>
    </row>
    <row r="314" spans="1:7">
      <c r="A314" s="3">
        <v>18</v>
      </c>
      <c r="B314" s="3">
        <v>8</v>
      </c>
      <c r="C314" s="3">
        <v>36</v>
      </c>
      <c r="D314" s="3">
        <v>5</v>
      </c>
      <c r="E314" s="3">
        <v>-38.104</v>
      </c>
      <c r="F314" s="4" t="str">
        <f>HYPERLINK("http://141.218.60.56/~jnz1568/getInfo.php?workbook=18_08.xlsx&amp;sheet=A0&amp;row=314&amp;col=6&amp;number=258.4&amp;sourceID=14","258.4")</f>
        <v>258.4</v>
      </c>
      <c r="G314" s="4" t="str">
        <f>HYPERLINK("http://141.218.60.56/~jnz1568/getInfo.php?workbook=18_08.xlsx&amp;sheet=A0&amp;row=314&amp;col=7&amp;number=0&amp;sourceID=14","0")</f>
        <v>0</v>
      </c>
    </row>
    <row r="315" spans="1:7">
      <c r="A315" s="3">
        <v>18</v>
      </c>
      <c r="B315" s="3">
        <v>8</v>
      </c>
      <c r="C315" s="3">
        <v>37</v>
      </c>
      <c r="D315" s="3">
        <v>5</v>
      </c>
      <c r="E315" s="3">
        <v>38.151</v>
      </c>
      <c r="F315" s="4" t="str">
        <f>HYPERLINK("http://141.218.60.56/~jnz1568/getInfo.php?workbook=18_08.xlsx&amp;sheet=A0&amp;row=315&amp;col=6&amp;number=4556000&amp;sourceID=14","4556000")</f>
        <v>4556000</v>
      </c>
      <c r="G315" s="4" t="str">
        <f>HYPERLINK("http://141.218.60.56/~jnz1568/getInfo.php?workbook=18_08.xlsx&amp;sheet=A0&amp;row=315&amp;col=7&amp;number=0&amp;sourceID=14","0")</f>
        <v>0</v>
      </c>
    </row>
    <row r="316" spans="1:7">
      <c r="A316" s="3">
        <v>18</v>
      </c>
      <c r="B316" s="3">
        <v>8</v>
      </c>
      <c r="C316" s="3">
        <v>39</v>
      </c>
      <c r="D316" s="3">
        <v>5</v>
      </c>
      <c r="E316" s="3">
        <v>-37.922</v>
      </c>
      <c r="F316" s="4" t="str">
        <f>HYPERLINK("http://141.218.60.56/~jnz1568/getInfo.php?workbook=18_08.xlsx&amp;sheet=A0&amp;row=316&amp;col=6&amp;number=216600&amp;sourceID=14","216600")</f>
        <v>216600</v>
      </c>
      <c r="G316" s="4" t="str">
        <f>HYPERLINK("http://141.218.60.56/~jnz1568/getInfo.php?workbook=18_08.xlsx&amp;sheet=A0&amp;row=316&amp;col=7&amp;number=0&amp;sourceID=14","0")</f>
        <v>0</v>
      </c>
    </row>
    <row r="317" spans="1:7">
      <c r="A317" s="3">
        <v>18</v>
      </c>
      <c r="B317" s="3">
        <v>8</v>
      </c>
      <c r="C317" s="3">
        <v>40</v>
      </c>
      <c r="D317" s="3">
        <v>5</v>
      </c>
      <c r="E317" s="3">
        <v>37.989</v>
      </c>
      <c r="F317" s="4" t="str">
        <f>HYPERLINK("http://141.218.60.56/~jnz1568/getInfo.php?workbook=18_08.xlsx&amp;sheet=A0&amp;row=317&amp;col=6&amp;number=5.326&amp;sourceID=14","5.326")</f>
        <v>5.326</v>
      </c>
      <c r="G317" s="4" t="str">
        <f>HYPERLINK("http://141.218.60.56/~jnz1568/getInfo.php?workbook=18_08.xlsx&amp;sheet=A0&amp;row=317&amp;col=7&amp;number=0&amp;sourceID=14","0")</f>
        <v>0</v>
      </c>
    </row>
    <row r="318" spans="1:7">
      <c r="A318" s="3">
        <v>18</v>
      </c>
      <c r="B318" s="3">
        <v>8</v>
      </c>
      <c r="C318" s="3">
        <v>43</v>
      </c>
      <c r="D318" s="3">
        <v>5</v>
      </c>
      <c r="E318" s="3">
        <v>-38.1</v>
      </c>
      <c r="F318" s="4" t="str">
        <f>HYPERLINK("http://141.218.60.56/~jnz1568/getInfo.php?workbook=18_08.xlsx&amp;sheet=A0&amp;row=318&amp;col=6&amp;number=2225000&amp;sourceID=14","2225000")</f>
        <v>2225000</v>
      </c>
      <c r="G318" s="4" t="str">
        <f>HYPERLINK("http://141.218.60.56/~jnz1568/getInfo.php?workbook=18_08.xlsx&amp;sheet=A0&amp;row=318&amp;col=7&amp;number=0&amp;sourceID=14","0")</f>
        <v>0</v>
      </c>
    </row>
    <row r="319" spans="1:7">
      <c r="A319" s="3">
        <v>18</v>
      </c>
      <c r="B319" s="3">
        <v>8</v>
      </c>
      <c r="C319" s="3">
        <v>44</v>
      </c>
      <c r="D319" s="3">
        <v>5</v>
      </c>
      <c r="E319" s="3">
        <v>-38.35</v>
      </c>
      <c r="F319" s="4" t="str">
        <f>HYPERLINK("http://141.218.60.56/~jnz1568/getInfo.php?workbook=18_08.xlsx&amp;sheet=A0&amp;row=319&amp;col=6&amp;number=177.9&amp;sourceID=14","177.9")</f>
        <v>177.9</v>
      </c>
      <c r="G319" s="4" t="str">
        <f>HYPERLINK("http://141.218.60.56/~jnz1568/getInfo.php?workbook=18_08.xlsx&amp;sheet=A0&amp;row=319&amp;col=7&amp;number=0&amp;sourceID=14","0")</f>
        <v>0</v>
      </c>
    </row>
    <row r="320" spans="1:7">
      <c r="A320" s="3">
        <v>18</v>
      </c>
      <c r="B320" s="3">
        <v>8</v>
      </c>
      <c r="C320" s="3">
        <v>45</v>
      </c>
      <c r="D320" s="3">
        <v>5</v>
      </c>
      <c r="E320" s="3">
        <v>-38.128</v>
      </c>
      <c r="F320" s="4" t="str">
        <f>HYPERLINK("http://141.218.60.56/~jnz1568/getInfo.php?workbook=18_08.xlsx&amp;sheet=A0&amp;row=320&amp;col=6&amp;number=0.1858&amp;sourceID=14","0.1858")</f>
        <v>0.1858</v>
      </c>
      <c r="G320" s="4" t="str">
        <f>HYPERLINK("http://141.218.60.56/~jnz1568/getInfo.php?workbook=18_08.xlsx&amp;sheet=A0&amp;row=320&amp;col=7&amp;number=0&amp;sourceID=14","0")</f>
        <v>0</v>
      </c>
    </row>
    <row r="321" spans="1:7">
      <c r="A321" s="3">
        <v>18</v>
      </c>
      <c r="B321" s="3">
        <v>8</v>
      </c>
      <c r="C321" s="3">
        <v>46</v>
      </c>
      <c r="D321" s="3">
        <v>5</v>
      </c>
      <c r="E321" s="3">
        <v>-37.971</v>
      </c>
      <c r="F321" s="4" t="str">
        <f>HYPERLINK("http://141.218.60.56/~jnz1568/getInfo.php?workbook=18_08.xlsx&amp;sheet=A0&amp;row=321&amp;col=6&amp;number=28810000&amp;sourceID=14","28810000")</f>
        <v>28810000</v>
      </c>
      <c r="G321" s="4" t="str">
        <f>HYPERLINK("http://141.218.60.56/~jnz1568/getInfo.php?workbook=18_08.xlsx&amp;sheet=A0&amp;row=321&amp;col=7&amp;number=0&amp;sourceID=14","0")</f>
        <v>0</v>
      </c>
    </row>
    <row r="322" spans="1:7">
      <c r="A322" s="3">
        <v>18</v>
      </c>
      <c r="B322" s="3">
        <v>8</v>
      </c>
      <c r="C322" s="3">
        <v>48</v>
      </c>
      <c r="D322" s="3">
        <v>5</v>
      </c>
      <c r="E322" s="3">
        <v>-37.91</v>
      </c>
      <c r="F322" s="4" t="str">
        <f>HYPERLINK("http://141.218.60.56/~jnz1568/getInfo.php?workbook=18_08.xlsx&amp;sheet=A0&amp;row=322&amp;col=6&amp;number=38.96&amp;sourceID=14","38.96")</f>
        <v>38.96</v>
      </c>
      <c r="G322" s="4" t="str">
        <f>HYPERLINK("http://141.218.60.56/~jnz1568/getInfo.php?workbook=18_08.xlsx&amp;sheet=A0&amp;row=322&amp;col=7&amp;number=0&amp;sourceID=14","0")</f>
        <v>0</v>
      </c>
    </row>
    <row r="323" spans="1:7">
      <c r="A323" s="3">
        <v>18</v>
      </c>
      <c r="B323" s="3">
        <v>8</v>
      </c>
      <c r="C323" s="3">
        <v>49</v>
      </c>
      <c r="D323" s="3">
        <v>5</v>
      </c>
      <c r="E323" s="3">
        <v>-37.76</v>
      </c>
      <c r="F323" s="4" t="str">
        <f>HYPERLINK("http://141.218.60.56/~jnz1568/getInfo.php?workbook=18_08.xlsx&amp;sheet=A0&amp;row=323&amp;col=6&amp;number=17120000&amp;sourceID=14","17120000")</f>
        <v>17120000</v>
      </c>
      <c r="G323" s="4" t="str">
        <f>HYPERLINK("http://141.218.60.56/~jnz1568/getInfo.php?workbook=18_08.xlsx&amp;sheet=A0&amp;row=323&amp;col=7&amp;number=0&amp;sourceID=14","0")</f>
        <v>0</v>
      </c>
    </row>
    <row r="324" spans="1:7">
      <c r="A324" s="3">
        <v>18</v>
      </c>
      <c r="B324" s="3">
        <v>8</v>
      </c>
      <c r="C324" s="3">
        <v>50</v>
      </c>
      <c r="D324" s="3">
        <v>5</v>
      </c>
      <c r="E324" s="3">
        <v>-37.718</v>
      </c>
      <c r="F324" s="4" t="str">
        <f>HYPERLINK("http://141.218.60.56/~jnz1568/getInfo.php?workbook=18_08.xlsx&amp;sheet=A0&amp;row=324&amp;col=6&amp;number=2495&amp;sourceID=14","2495")</f>
        <v>2495</v>
      </c>
      <c r="G324" s="4" t="str">
        <f>HYPERLINK("http://141.218.60.56/~jnz1568/getInfo.php?workbook=18_08.xlsx&amp;sheet=A0&amp;row=324&amp;col=7&amp;number=0&amp;sourceID=14","0")</f>
        <v>0</v>
      </c>
    </row>
    <row r="325" spans="1:7">
      <c r="A325" s="3">
        <v>18</v>
      </c>
      <c r="B325" s="3">
        <v>8</v>
      </c>
      <c r="C325" s="3">
        <v>51</v>
      </c>
      <c r="D325" s="3">
        <v>5</v>
      </c>
      <c r="E325" s="3">
        <v>37.345</v>
      </c>
      <c r="F325" s="4" t="str">
        <f>HYPERLINK("http://141.218.60.56/~jnz1568/getInfo.php?workbook=18_08.xlsx&amp;sheet=A0&amp;row=325&amp;col=6&amp;number=27.15&amp;sourceID=14","27.15")</f>
        <v>27.15</v>
      </c>
      <c r="G325" s="4" t="str">
        <f>HYPERLINK("http://141.218.60.56/~jnz1568/getInfo.php?workbook=18_08.xlsx&amp;sheet=A0&amp;row=325&amp;col=7&amp;number=0&amp;sourceID=14","0")</f>
        <v>0</v>
      </c>
    </row>
    <row r="326" spans="1:7">
      <c r="A326" s="3">
        <v>18</v>
      </c>
      <c r="B326" s="3">
        <v>8</v>
      </c>
      <c r="C326" s="3">
        <v>52</v>
      </c>
      <c r="D326" s="3">
        <v>5</v>
      </c>
      <c r="E326" s="3">
        <v>37.362</v>
      </c>
      <c r="F326" s="4" t="str">
        <f>HYPERLINK("http://141.218.60.56/~jnz1568/getInfo.php?workbook=18_08.xlsx&amp;sheet=A0&amp;row=326&amp;col=6&amp;number=3937000&amp;sourceID=14","3937000")</f>
        <v>3937000</v>
      </c>
      <c r="G326" s="4" t="str">
        <f>HYPERLINK("http://141.218.60.56/~jnz1568/getInfo.php?workbook=18_08.xlsx&amp;sheet=A0&amp;row=326&amp;col=7&amp;number=0&amp;sourceID=14","0")</f>
        <v>0</v>
      </c>
    </row>
    <row r="327" spans="1:7">
      <c r="A327" s="3">
        <v>18</v>
      </c>
      <c r="B327" s="3">
        <v>8</v>
      </c>
      <c r="C327" s="3">
        <v>55</v>
      </c>
      <c r="D327" s="3">
        <v>5</v>
      </c>
      <c r="E327" s="3">
        <v>-37.282</v>
      </c>
      <c r="F327" s="4" t="str">
        <f>HYPERLINK("http://141.218.60.56/~jnz1568/getInfo.php?workbook=18_08.xlsx&amp;sheet=A0&amp;row=327&amp;col=6&amp;number=43130000&amp;sourceID=14","43130000")</f>
        <v>43130000</v>
      </c>
      <c r="G327" s="4" t="str">
        <f>HYPERLINK("http://141.218.60.56/~jnz1568/getInfo.php?workbook=18_08.xlsx&amp;sheet=A0&amp;row=327&amp;col=7&amp;number=0&amp;sourceID=14","0")</f>
        <v>0</v>
      </c>
    </row>
    <row r="328" spans="1:7">
      <c r="A328" s="3">
        <v>18</v>
      </c>
      <c r="B328" s="3">
        <v>8</v>
      </c>
      <c r="C328" s="3">
        <v>56</v>
      </c>
      <c r="D328" s="3">
        <v>5</v>
      </c>
      <c r="E328" s="3">
        <v>36.503</v>
      </c>
      <c r="F328" s="4" t="str">
        <f>HYPERLINK("http://141.218.60.56/~jnz1568/getInfo.php?workbook=18_08.xlsx&amp;sheet=A0&amp;row=328&amp;col=6&amp;number=578.8&amp;sourceID=14","578.8")</f>
        <v>578.8</v>
      </c>
      <c r="G328" s="4" t="str">
        <f>HYPERLINK("http://141.218.60.56/~jnz1568/getInfo.php?workbook=18_08.xlsx&amp;sheet=A0&amp;row=328&amp;col=7&amp;number=0&amp;sourceID=14","0")</f>
        <v>0</v>
      </c>
    </row>
    <row r="329" spans="1:7">
      <c r="A329" s="3">
        <v>18</v>
      </c>
      <c r="B329" s="3">
        <v>8</v>
      </c>
      <c r="C329" s="3">
        <v>64</v>
      </c>
      <c r="D329" s="3">
        <v>5</v>
      </c>
      <c r="E329" s="3">
        <v>36.19</v>
      </c>
      <c r="F329" s="4" t="str">
        <f>HYPERLINK("http://141.218.60.56/~jnz1568/getInfo.php?workbook=18_08.xlsx&amp;sheet=A0&amp;row=329&amp;col=6&amp;number=105300000000&amp;sourceID=14","105300000000")</f>
        <v>105300000000</v>
      </c>
      <c r="G329" s="4" t="str">
        <f>HYPERLINK("http://141.218.60.56/~jnz1568/getInfo.php?workbook=18_08.xlsx&amp;sheet=A0&amp;row=329&amp;col=7&amp;number=0&amp;sourceID=14","0")</f>
        <v>0</v>
      </c>
    </row>
    <row r="330" spans="1:7">
      <c r="A330" s="3">
        <v>18</v>
      </c>
      <c r="B330" s="3">
        <v>8</v>
      </c>
      <c r="C330" s="3">
        <v>66</v>
      </c>
      <c r="D330" s="3">
        <v>5</v>
      </c>
      <c r="E330" s="3">
        <v>36.195</v>
      </c>
      <c r="F330" s="4" t="str">
        <f>HYPERLINK("http://141.218.60.56/~jnz1568/getInfo.php?workbook=18_08.xlsx&amp;sheet=A0&amp;row=330&amp;col=6&amp;number=822.7&amp;sourceID=14","822.7")</f>
        <v>822.7</v>
      </c>
      <c r="G330" s="4" t="str">
        <f>HYPERLINK("http://141.218.60.56/~jnz1568/getInfo.php?workbook=18_08.xlsx&amp;sheet=A0&amp;row=330&amp;col=7&amp;number=0&amp;sourceID=14","0")</f>
        <v>0</v>
      </c>
    </row>
    <row r="331" spans="1:7">
      <c r="A331" s="3">
        <v>18</v>
      </c>
      <c r="B331" s="3">
        <v>8</v>
      </c>
      <c r="C331" s="3">
        <v>67</v>
      </c>
      <c r="D331" s="3">
        <v>5</v>
      </c>
      <c r="E331" s="3">
        <v>36.309</v>
      </c>
      <c r="F331" s="4" t="str">
        <f>HYPERLINK("http://141.218.60.56/~jnz1568/getInfo.php?workbook=18_08.xlsx&amp;sheet=A0&amp;row=331&amp;col=6&amp;number=153800000000&amp;sourceID=14","153800000000")</f>
        <v>153800000000</v>
      </c>
      <c r="G331" s="4" t="str">
        <f>HYPERLINK("http://141.218.60.56/~jnz1568/getInfo.php?workbook=18_08.xlsx&amp;sheet=A0&amp;row=331&amp;col=7&amp;number=0&amp;sourceID=14","0")</f>
        <v>0</v>
      </c>
    </row>
    <row r="332" spans="1:7">
      <c r="A332" s="3">
        <v>18</v>
      </c>
      <c r="B332" s="3">
        <v>8</v>
      </c>
      <c r="C332" s="3">
        <v>69</v>
      </c>
      <c r="D332" s="3">
        <v>5</v>
      </c>
      <c r="E332" s="3">
        <v>36.057</v>
      </c>
      <c r="F332" s="4" t="str">
        <f>HYPERLINK("http://141.218.60.56/~jnz1568/getInfo.php?workbook=18_08.xlsx&amp;sheet=A0&amp;row=332&amp;col=6&amp;number=1483&amp;sourceID=14","1483")</f>
        <v>1483</v>
      </c>
      <c r="G332" s="4" t="str">
        <f>HYPERLINK("http://141.218.60.56/~jnz1568/getInfo.php?workbook=18_08.xlsx&amp;sheet=A0&amp;row=332&amp;col=7&amp;number=0&amp;sourceID=14","0")</f>
        <v>0</v>
      </c>
    </row>
    <row r="333" spans="1:7">
      <c r="A333" s="3">
        <v>18</v>
      </c>
      <c r="B333" s="3">
        <v>8</v>
      </c>
      <c r="C333" s="3">
        <v>71</v>
      </c>
      <c r="D333" s="3">
        <v>5</v>
      </c>
      <c r="E333" s="3">
        <v>35.909</v>
      </c>
      <c r="F333" s="4" t="str">
        <f>HYPERLINK("http://141.218.60.56/~jnz1568/getInfo.php?workbook=18_08.xlsx&amp;sheet=A0&amp;row=333&amp;col=6&amp;number=152300000&amp;sourceID=14","152300000")</f>
        <v>152300000</v>
      </c>
      <c r="G333" s="4" t="str">
        <f>HYPERLINK("http://141.218.60.56/~jnz1568/getInfo.php?workbook=18_08.xlsx&amp;sheet=A0&amp;row=333&amp;col=7&amp;number=0&amp;sourceID=14","0")</f>
        <v>0</v>
      </c>
    </row>
    <row r="334" spans="1:7">
      <c r="A334" s="3">
        <v>18</v>
      </c>
      <c r="B334" s="3">
        <v>8</v>
      </c>
      <c r="C334" s="3">
        <v>72</v>
      </c>
      <c r="D334" s="3">
        <v>5</v>
      </c>
      <c r="E334" s="3">
        <v>36.057</v>
      </c>
      <c r="F334" s="4" t="str">
        <f>HYPERLINK("http://141.218.60.56/~jnz1568/getInfo.php?workbook=18_08.xlsx&amp;sheet=A0&amp;row=334&amp;col=6&amp;number=38560&amp;sourceID=14","38560")</f>
        <v>38560</v>
      </c>
      <c r="G334" s="4" t="str">
        <f>HYPERLINK("http://141.218.60.56/~jnz1568/getInfo.php?workbook=18_08.xlsx&amp;sheet=A0&amp;row=334&amp;col=7&amp;number=0&amp;sourceID=14","0")</f>
        <v>0</v>
      </c>
    </row>
    <row r="335" spans="1:7">
      <c r="A335" s="3">
        <v>18</v>
      </c>
      <c r="B335" s="3">
        <v>8</v>
      </c>
      <c r="C335" s="3">
        <v>73</v>
      </c>
      <c r="D335" s="3">
        <v>5</v>
      </c>
      <c r="E335" s="3">
        <v>35.909</v>
      </c>
      <c r="F335" s="4" t="str">
        <f>HYPERLINK("http://141.218.60.56/~jnz1568/getInfo.php?workbook=18_08.xlsx&amp;sheet=A0&amp;row=335&amp;col=6&amp;number=18530000000&amp;sourceID=14","18530000000")</f>
        <v>18530000000</v>
      </c>
      <c r="G335" s="4" t="str">
        <f>HYPERLINK("http://141.218.60.56/~jnz1568/getInfo.php?workbook=18_08.xlsx&amp;sheet=A0&amp;row=335&amp;col=7&amp;number=0&amp;sourceID=14","0")</f>
        <v>0</v>
      </c>
    </row>
    <row r="336" spans="1:7">
      <c r="A336" s="3">
        <v>18</v>
      </c>
      <c r="B336" s="3">
        <v>8</v>
      </c>
      <c r="C336" s="3">
        <v>75</v>
      </c>
      <c r="D336" s="3">
        <v>5</v>
      </c>
      <c r="E336" s="3">
        <v>-35.733</v>
      </c>
      <c r="F336" s="4" t="str">
        <f>HYPERLINK("http://141.218.60.56/~jnz1568/getInfo.php?workbook=18_08.xlsx&amp;sheet=A0&amp;row=336&amp;col=6&amp;number=1833&amp;sourceID=14","1833")</f>
        <v>1833</v>
      </c>
      <c r="G336" s="4" t="str">
        <f>HYPERLINK("http://141.218.60.56/~jnz1568/getInfo.php?workbook=18_08.xlsx&amp;sheet=A0&amp;row=336&amp;col=7&amp;number=0&amp;sourceID=14","0")</f>
        <v>0</v>
      </c>
    </row>
    <row r="337" spans="1:7">
      <c r="A337" s="3">
        <v>18</v>
      </c>
      <c r="B337" s="3">
        <v>8</v>
      </c>
      <c r="C337" s="3">
        <v>79</v>
      </c>
      <c r="D337" s="3">
        <v>5</v>
      </c>
      <c r="E337" s="3">
        <v>-35.685</v>
      </c>
      <c r="F337" s="4" t="str">
        <f>HYPERLINK("http://141.218.60.56/~jnz1568/getInfo.php?workbook=18_08.xlsx&amp;sheet=A0&amp;row=337&amp;col=6&amp;number=30950000000&amp;sourceID=14","30950000000")</f>
        <v>30950000000</v>
      </c>
      <c r="G337" s="4" t="str">
        <f>HYPERLINK("http://141.218.60.56/~jnz1568/getInfo.php?workbook=18_08.xlsx&amp;sheet=A0&amp;row=337&amp;col=7&amp;number=0&amp;sourceID=14","0")</f>
        <v>0</v>
      </c>
    </row>
    <row r="338" spans="1:7">
      <c r="A338" s="3">
        <v>18</v>
      </c>
      <c r="B338" s="3">
        <v>8</v>
      </c>
      <c r="C338" s="3">
        <v>80</v>
      </c>
      <c r="D338" s="3">
        <v>5</v>
      </c>
      <c r="E338" s="3">
        <v>-35.66</v>
      </c>
      <c r="F338" s="4" t="str">
        <f>HYPERLINK("http://141.218.60.56/~jnz1568/getInfo.php?workbook=18_08.xlsx&amp;sheet=A0&amp;row=338&amp;col=6&amp;number=78100&amp;sourceID=14","78100")</f>
        <v>78100</v>
      </c>
      <c r="G338" s="4" t="str">
        <f>HYPERLINK("http://141.218.60.56/~jnz1568/getInfo.php?workbook=18_08.xlsx&amp;sheet=A0&amp;row=338&amp;col=7&amp;number=0&amp;sourceID=14","0")</f>
        <v>0</v>
      </c>
    </row>
    <row r="339" spans="1:7">
      <c r="A339" s="3">
        <v>18</v>
      </c>
      <c r="B339" s="3">
        <v>8</v>
      </c>
      <c r="C339" s="3">
        <v>81</v>
      </c>
      <c r="D339" s="3">
        <v>5</v>
      </c>
      <c r="E339" s="3">
        <v>35.501</v>
      </c>
      <c r="F339" s="4" t="str">
        <f>HYPERLINK("http://141.218.60.56/~jnz1568/getInfo.php?workbook=18_08.xlsx&amp;sheet=A0&amp;row=339&amp;col=6&amp;number=759.5&amp;sourceID=14","759.5")</f>
        <v>759.5</v>
      </c>
      <c r="G339" s="4" t="str">
        <f>HYPERLINK("http://141.218.60.56/~jnz1568/getInfo.php?workbook=18_08.xlsx&amp;sheet=A0&amp;row=339&amp;col=7&amp;number=0&amp;sourceID=14","0")</f>
        <v>0</v>
      </c>
    </row>
    <row r="340" spans="1:7">
      <c r="A340" s="3">
        <v>18</v>
      </c>
      <c r="B340" s="3">
        <v>8</v>
      </c>
      <c r="C340" s="3">
        <v>83</v>
      </c>
      <c r="D340" s="3">
        <v>5</v>
      </c>
      <c r="E340" s="3">
        <v>35.33</v>
      </c>
      <c r="F340" s="4" t="str">
        <f>HYPERLINK("http://141.218.60.56/~jnz1568/getInfo.php?workbook=18_08.xlsx&amp;sheet=A0&amp;row=340&amp;col=6&amp;number=7976000000&amp;sourceID=14","7976000000")</f>
        <v>7976000000</v>
      </c>
      <c r="G340" s="4" t="str">
        <f>HYPERLINK("http://141.218.60.56/~jnz1568/getInfo.php?workbook=18_08.xlsx&amp;sheet=A0&amp;row=340&amp;col=7&amp;number=0&amp;sourceID=14","0")</f>
        <v>0</v>
      </c>
    </row>
    <row r="341" spans="1:7">
      <c r="A341" s="3">
        <v>18</v>
      </c>
      <c r="B341" s="3">
        <v>8</v>
      </c>
      <c r="C341" s="3">
        <v>84</v>
      </c>
      <c r="D341" s="3">
        <v>5</v>
      </c>
      <c r="E341" s="3">
        <v>35.449</v>
      </c>
      <c r="F341" s="4" t="str">
        <f>HYPERLINK("http://141.218.60.56/~jnz1568/getInfo.php?workbook=18_08.xlsx&amp;sheet=A0&amp;row=341&amp;col=6&amp;number=34310&amp;sourceID=14","34310")</f>
        <v>34310</v>
      </c>
      <c r="G341" s="4" t="str">
        <f>HYPERLINK("http://141.218.60.56/~jnz1568/getInfo.php?workbook=18_08.xlsx&amp;sheet=A0&amp;row=341&amp;col=7&amp;number=0&amp;sourceID=14","0")</f>
        <v>0</v>
      </c>
    </row>
    <row r="342" spans="1:7">
      <c r="A342" s="3">
        <v>18</v>
      </c>
      <c r="B342" s="3">
        <v>8</v>
      </c>
      <c r="C342" s="3">
        <v>86</v>
      </c>
      <c r="D342" s="3">
        <v>5</v>
      </c>
      <c r="E342" s="3">
        <v>34.881</v>
      </c>
      <c r="F342" s="4" t="str">
        <f>HYPERLINK("http://141.218.60.56/~jnz1568/getInfo.php?workbook=18_08.xlsx&amp;sheet=A0&amp;row=342&amp;col=6&amp;number=3572000000000&amp;sourceID=14","3572000000000")</f>
        <v>3572000000000</v>
      </c>
      <c r="G342" s="4" t="str">
        <f>HYPERLINK("http://141.218.60.56/~jnz1568/getInfo.php?workbook=18_08.xlsx&amp;sheet=A0&amp;row=342&amp;col=7&amp;number=0&amp;sourceID=14","0")</f>
        <v>0</v>
      </c>
    </row>
    <row r="343" spans="1:7">
      <c r="A343" s="3">
        <v>18</v>
      </c>
      <c r="B343" s="3">
        <v>8</v>
      </c>
      <c r="C343" s="3">
        <v>7</v>
      </c>
      <c r="D343" s="3">
        <v>6</v>
      </c>
      <c r="E343" s="3">
        <v>8134.711</v>
      </c>
      <c r="F343" s="4" t="str">
        <f>HYPERLINK("http://141.218.60.56/~jnz1568/getInfo.php?workbook=18_08.xlsx&amp;sheet=A0&amp;row=343&amp;col=6&amp;number=41.66&amp;sourceID=14","41.66")</f>
        <v>41.66</v>
      </c>
      <c r="G343" s="4" t="str">
        <f>HYPERLINK("http://141.218.60.56/~jnz1568/getInfo.php?workbook=18_08.xlsx&amp;sheet=A0&amp;row=343&amp;col=7&amp;number=0&amp;sourceID=14","0")</f>
        <v>0</v>
      </c>
    </row>
    <row r="344" spans="1:7">
      <c r="A344" s="3">
        <v>18</v>
      </c>
      <c r="B344" s="3">
        <v>8</v>
      </c>
      <c r="C344" s="3">
        <v>8</v>
      </c>
      <c r="D344" s="3">
        <v>6</v>
      </c>
      <c r="E344" s="3">
        <v>5177.323</v>
      </c>
      <c r="F344" s="4" t="str">
        <f>HYPERLINK("http://141.218.60.56/~jnz1568/getInfo.php?workbook=18_08.xlsx&amp;sheet=A0&amp;row=344&amp;col=6&amp;number=0.002617&amp;sourceID=14","0.002617")</f>
        <v>0.002617</v>
      </c>
      <c r="G344" s="4" t="str">
        <f>HYPERLINK("http://141.218.60.56/~jnz1568/getInfo.php?workbook=18_08.xlsx&amp;sheet=A0&amp;row=344&amp;col=7&amp;number=0&amp;sourceID=14","0")</f>
        <v>0</v>
      </c>
    </row>
    <row r="345" spans="1:7">
      <c r="A345" s="3">
        <v>18</v>
      </c>
      <c r="B345" s="3">
        <v>8</v>
      </c>
      <c r="C345" s="3">
        <v>9</v>
      </c>
      <c r="D345" s="3">
        <v>6</v>
      </c>
      <c r="E345" s="3">
        <v>498.209</v>
      </c>
      <c r="F345" s="4" t="str">
        <f>HYPERLINK("http://141.218.60.56/~jnz1568/getInfo.php?workbook=18_08.xlsx&amp;sheet=A0&amp;row=345&amp;col=6&amp;number=394.8&amp;sourceID=14","394.8")</f>
        <v>394.8</v>
      </c>
      <c r="G345" s="4" t="str">
        <f>HYPERLINK("http://141.218.60.56/~jnz1568/getInfo.php?workbook=18_08.xlsx&amp;sheet=A0&amp;row=345&amp;col=7&amp;number=0&amp;sourceID=14","0")</f>
        <v>0</v>
      </c>
    </row>
    <row r="346" spans="1:7">
      <c r="A346" s="3">
        <v>18</v>
      </c>
      <c r="B346" s="3">
        <v>8</v>
      </c>
      <c r="C346" s="3">
        <v>10</v>
      </c>
      <c r="D346" s="3">
        <v>6</v>
      </c>
      <c r="E346" s="3">
        <v>141.667</v>
      </c>
      <c r="F346" s="4" t="str">
        <f>HYPERLINK("http://141.218.60.56/~jnz1568/getInfo.php?workbook=18_08.xlsx&amp;sheet=A0&amp;row=346&amp;col=6&amp;number=599&amp;sourceID=14","599")</f>
        <v>599</v>
      </c>
      <c r="G346" s="4" t="str">
        <f>HYPERLINK("http://141.218.60.56/~jnz1568/getInfo.php?workbook=18_08.xlsx&amp;sheet=A0&amp;row=346&amp;col=7&amp;number=0&amp;sourceID=14","0")</f>
        <v>0</v>
      </c>
    </row>
    <row r="347" spans="1:7">
      <c r="A347" s="3">
        <v>18</v>
      </c>
      <c r="B347" s="3">
        <v>8</v>
      </c>
      <c r="C347" s="3">
        <v>11</v>
      </c>
      <c r="D347" s="3">
        <v>6</v>
      </c>
      <c r="E347" s="3">
        <v>51.186</v>
      </c>
      <c r="F347" s="4" t="str">
        <f>HYPERLINK("http://141.218.60.56/~jnz1568/getInfo.php?workbook=18_08.xlsx&amp;sheet=A0&amp;row=347&amp;col=6&amp;number=1620&amp;sourceID=14","1620")</f>
        <v>1620</v>
      </c>
      <c r="G347" s="4" t="str">
        <f>HYPERLINK("http://141.218.60.56/~jnz1568/getInfo.php?workbook=18_08.xlsx&amp;sheet=A0&amp;row=347&amp;col=7&amp;number=0&amp;sourceID=14","0")</f>
        <v>0</v>
      </c>
    </row>
    <row r="348" spans="1:7">
      <c r="A348" s="3">
        <v>18</v>
      </c>
      <c r="B348" s="3">
        <v>8</v>
      </c>
      <c r="C348" s="3">
        <v>12</v>
      </c>
      <c r="D348" s="3">
        <v>6</v>
      </c>
      <c r="E348" s="3">
        <v>50.217</v>
      </c>
      <c r="F348" s="4" t="str">
        <f>HYPERLINK("http://141.218.60.56/~jnz1568/getInfo.php?workbook=18_08.xlsx&amp;sheet=A0&amp;row=348&amp;col=6&amp;number=1720&amp;sourceID=14","1720")</f>
        <v>1720</v>
      </c>
      <c r="G348" s="4" t="str">
        <f>HYPERLINK("http://141.218.60.56/~jnz1568/getInfo.php?workbook=18_08.xlsx&amp;sheet=A0&amp;row=348&amp;col=7&amp;number=0&amp;sourceID=14","0")</f>
        <v>0</v>
      </c>
    </row>
    <row r="349" spans="1:7">
      <c r="A349" s="3">
        <v>18</v>
      </c>
      <c r="B349" s="3">
        <v>8</v>
      </c>
      <c r="C349" s="3">
        <v>13</v>
      </c>
      <c r="D349" s="3">
        <v>6</v>
      </c>
      <c r="E349" s="3">
        <v>48.603</v>
      </c>
      <c r="F349" s="4" t="str">
        <f>HYPERLINK("http://141.218.60.56/~jnz1568/getInfo.php?workbook=18_08.xlsx&amp;sheet=A0&amp;row=349&amp;col=6&amp;number=283200&amp;sourceID=14","283200")</f>
        <v>283200</v>
      </c>
      <c r="G349" s="4" t="str">
        <f>HYPERLINK("http://141.218.60.56/~jnz1568/getInfo.php?workbook=18_08.xlsx&amp;sheet=A0&amp;row=349&amp;col=7&amp;number=0&amp;sourceID=14","0")</f>
        <v>0</v>
      </c>
    </row>
    <row r="350" spans="1:7">
      <c r="A350" s="3">
        <v>18</v>
      </c>
      <c r="B350" s="3">
        <v>8</v>
      </c>
      <c r="C350" s="3">
        <v>14</v>
      </c>
      <c r="D350" s="3">
        <v>6</v>
      </c>
      <c r="E350" s="3">
        <v>48.573</v>
      </c>
      <c r="F350" s="4" t="str">
        <f>HYPERLINK("http://141.218.60.56/~jnz1568/getInfo.php?workbook=18_08.xlsx&amp;sheet=A0&amp;row=350&amp;col=6&amp;number=568400&amp;sourceID=14","568400")</f>
        <v>568400</v>
      </c>
      <c r="G350" s="4" t="str">
        <f>HYPERLINK("http://141.218.60.56/~jnz1568/getInfo.php?workbook=18_08.xlsx&amp;sheet=A0&amp;row=350&amp;col=7&amp;number=0&amp;sourceID=14","0")</f>
        <v>0</v>
      </c>
    </row>
    <row r="351" spans="1:7">
      <c r="A351" s="3">
        <v>18</v>
      </c>
      <c r="B351" s="3">
        <v>8</v>
      </c>
      <c r="C351" s="3">
        <v>15</v>
      </c>
      <c r="D351" s="3">
        <v>6</v>
      </c>
      <c r="E351" s="3">
        <v>48.543</v>
      </c>
      <c r="F351" s="4" t="str">
        <f>HYPERLINK("http://141.218.60.56/~jnz1568/getInfo.php?workbook=18_08.xlsx&amp;sheet=A0&amp;row=351&amp;col=6&amp;number=509400&amp;sourceID=14","509400")</f>
        <v>509400</v>
      </c>
      <c r="G351" s="4" t="str">
        <f>HYPERLINK("http://141.218.60.56/~jnz1568/getInfo.php?workbook=18_08.xlsx&amp;sheet=A0&amp;row=351&amp;col=7&amp;number=0&amp;sourceID=14","0")</f>
        <v>0</v>
      </c>
    </row>
    <row r="352" spans="1:7">
      <c r="A352" s="3">
        <v>18</v>
      </c>
      <c r="B352" s="3">
        <v>8</v>
      </c>
      <c r="C352" s="3">
        <v>16</v>
      </c>
      <c r="D352" s="3">
        <v>6</v>
      </c>
      <c r="E352" s="3">
        <v>48.205</v>
      </c>
      <c r="F352" s="4" t="str">
        <f>HYPERLINK("http://141.218.60.56/~jnz1568/getInfo.php?workbook=18_08.xlsx&amp;sheet=A0&amp;row=352&amp;col=6&amp;number=706.1&amp;sourceID=14","706.1")</f>
        <v>706.1</v>
      </c>
      <c r="G352" s="4" t="str">
        <f>HYPERLINK("http://141.218.60.56/~jnz1568/getInfo.php?workbook=18_08.xlsx&amp;sheet=A0&amp;row=352&amp;col=7&amp;number=0&amp;sourceID=14","0")</f>
        <v>0</v>
      </c>
    </row>
    <row r="353" spans="1:7">
      <c r="A353" s="3">
        <v>18</v>
      </c>
      <c r="B353" s="3">
        <v>8</v>
      </c>
      <c r="C353" s="3">
        <v>17</v>
      </c>
      <c r="D353" s="3">
        <v>6</v>
      </c>
      <c r="E353" s="3">
        <v>47.86</v>
      </c>
      <c r="F353" s="4" t="str">
        <f>HYPERLINK("http://141.218.60.56/~jnz1568/getInfo.php?workbook=18_08.xlsx&amp;sheet=A0&amp;row=353&amp;col=6&amp;number=34360000&amp;sourceID=14","34360000")</f>
        <v>34360000</v>
      </c>
      <c r="G353" s="4" t="str">
        <f>HYPERLINK("http://141.218.60.56/~jnz1568/getInfo.php?workbook=18_08.xlsx&amp;sheet=A0&amp;row=353&amp;col=7&amp;number=0&amp;sourceID=14","0")</f>
        <v>0</v>
      </c>
    </row>
    <row r="354" spans="1:7">
      <c r="A354" s="3">
        <v>18</v>
      </c>
      <c r="B354" s="3">
        <v>8</v>
      </c>
      <c r="C354" s="3">
        <v>18</v>
      </c>
      <c r="D354" s="3">
        <v>6</v>
      </c>
      <c r="E354" s="3">
        <v>47.834</v>
      </c>
      <c r="F354" s="4" t="str">
        <f>HYPERLINK("http://141.218.60.56/~jnz1568/getInfo.php?workbook=18_08.xlsx&amp;sheet=A0&amp;row=354&amp;col=6&amp;number=7396000&amp;sourceID=14","7396000")</f>
        <v>7396000</v>
      </c>
      <c r="G354" s="4" t="str">
        <f>HYPERLINK("http://141.218.60.56/~jnz1568/getInfo.php?workbook=18_08.xlsx&amp;sheet=A0&amp;row=354&amp;col=7&amp;number=0&amp;sourceID=14","0")</f>
        <v>0</v>
      </c>
    </row>
    <row r="355" spans="1:7">
      <c r="A355" s="3">
        <v>18</v>
      </c>
      <c r="B355" s="3">
        <v>8</v>
      </c>
      <c r="C355" s="3">
        <v>19</v>
      </c>
      <c r="D355" s="3">
        <v>6</v>
      </c>
      <c r="E355" s="3">
        <v>47.779</v>
      </c>
      <c r="F355" s="4" t="str">
        <f>HYPERLINK("http://141.218.60.56/~jnz1568/getInfo.php?workbook=18_08.xlsx&amp;sheet=A0&amp;row=355&amp;col=6&amp;number=15390000&amp;sourceID=14","15390000")</f>
        <v>15390000</v>
      </c>
      <c r="G355" s="4" t="str">
        <f>HYPERLINK("http://141.218.60.56/~jnz1568/getInfo.php?workbook=18_08.xlsx&amp;sheet=A0&amp;row=355&amp;col=7&amp;number=0&amp;sourceID=14","0")</f>
        <v>0</v>
      </c>
    </row>
    <row r="356" spans="1:7">
      <c r="A356" s="3">
        <v>18</v>
      </c>
      <c r="B356" s="3">
        <v>8</v>
      </c>
      <c r="C356" s="3">
        <v>20</v>
      </c>
      <c r="D356" s="3">
        <v>6</v>
      </c>
      <c r="E356" s="3">
        <v>-47.447</v>
      </c>
      <c r="F356" s="4" t="str">
        <f>HYPERLINK("http://141.218.60.56/~jnz1568/getInfo.php?workbook=18_08.xlsx&amp;sheet=A0&amp;row=356&amp;col=6&amp;number=572200000&amp;sourceID=14","572200000")</f>
        <v>572200000</v>
      </c>
      <c r="G356" s="4" t="str">
        <f>HYPERLINK("http://141.218.60.56/~jnz1568/getInfo.php?workbook=18_08.xlsx&amp;sheet=A0&amp;row=356&amp;col=7&amp;number=0&amp;sourceID=14","0")</f>
        <v>0</v>
      </c>
    </row>
    <row r="357" spans="1:7">
      <c r="A357" s="3">
        <v>18</v>
      </c>
      <c r="B357" s="3">
        <v>8</v>
      </c>
      <c r="C357" s="3">
        <v>21</v>
      </c>
      <c r="D357" s="3">
        <v>6</v>
      </c>
      <c r="E357" s="3">
        <v>-47.419</v>
      </c>
      <c r="F357" s="4" t="str">
        <f>HYPERLINK("http://141.218.60.56/~jnz1568/getInfo.php?workbook=18_08.xlsx&amp;sheet=A0&amp;row=357&amp;col=6&amp;number=535800000&amp;sourceID=14","535800000")</f>
        <v>535800000</v>
      </c>
      <c r="G357" s="4" t="str">
        <f>HYPERLINK("http://141.218.60.56/~jnz1568/getInfo.php?workbook=18_08.xlsx&amp;sheet=A0&amp;row=357&amp;col=7&amp;number=0&amp;sourceID=14","0")</f>
        <v>0</v>
      </c>
    </row>
    <row r="358" spans="1:7">
      <c r="A358" s="3">
        <v>18</v>
      </c>
      <c r="B358" s="3">
        <v>8</v>
      </c>
      <c r="C358" s="3">
        <v>22</v>
      </c>
      <c r="D358" s="3">
        <v>6</v>
      </c>
      <c r="E358" s="3">
        <v>-47.407</v>
      </c>
      <c r="F358" s="4" t="str">
        <f>HYPERLINK("http://141.218.60.56/~jnz1568/getInfo.php?workbook=18_08.xlsx&amp;sheet=A0&amp;row=358&amp;col=6&amp;number=2.359&amp;sourceID=14","2.359")</f>
        <v>2.359</v>
      </c>
      <c r="G358" s="4" t="str">
        <f>HYPERLINK("http://141.218.60.56/~jnz1568/getInfo.php?workbook=18_08.xlsx&amp;sheet=A0&amp;row=358&amp;col=7&amp;number=0&amp;sourceID=14","0")</f>
        <v>0</v>
      </c>
    </row>
    <row r="359" spans="1:7">
      <c r="A359" s="3">
        <v>18</v>
      </c>
      <c r="B359" s="3">
        <v>8</v>
      </c>
      <c r="C359" s="3">
        <v>23</v>
      </c>
      <c r="D359" s="3">
        <v>6</v>
      </c>
      <c r="E359" s="3">
        <v>-47.749</v>
      </c>
      <c r="F359" s="4" t="str">
        <f>HYPERLINK("http://141.218.60.56/~jnz1568/getInfo.php?workbook=18_08.xlsx&amp;sheet=A0&amp;row=359&amp;col=6&amp;number=571100&amp;sourceID=14","571100")</f>
        <v>571100</v>
      </c>
      <c r="G359" s="4" t="str">
        <f>HYPERLINK("http://141.218.60.56/~jnz1568/getInfo.php?workbook=18_08.xlsx&amp;sheet=A0&amp;row=359&amp;col=7&amp;number=0&amp;sourceID=14","0")</f>
        <v>0</v>
      </c>
    </row>
    <row r="360" spans="1:7">
      <c r="A360" s="3">
        <v>18</v>
      </c>
      <c r="B360" s="3">
        <v>8</v>
      </c>
      <c r="C360" s="3">
        <v>24</v>
      </c>
      <c r="D360" s="3">
        <v>6</v>
      </c>
      <c r="E360" s="3">
        <v>-47.713</v>
      </c>
      <c r="F360" s="4" t="str">
        <f>HYPERLINK("http://141.218.60.56/~jnz1568/getInfo.php?workbook=18_08.xlsx&amp;sheet=A0&amp;row=360&amp;col=6&amp;number=330800&amp;sourceID=14","330800")</f>
        <v>330800</v>
      </c>
      <c r="G360" s="4" t="str">
        <f>HYPERLINK("http://141.218.60.56/~jnz1568/getInfo.php?workbook=18_08.xlsx&amp;sheet=A0&amp;row=360&amp;col=7&amp;number=0&amp;sourceID=14","0")</f>
        <v>0</v>
      </c>
    </row>
    <row r="361" spans="1:7">
      <c r="A361" s="3">
        <v>18</v>
      </c>
      <c r="B361" s="3">
        <v>8</v>
      </c>
      <c r="C361" s="3">
        <v>25</v>
      </c>
      <c r="D361" s="3">
        <v>6</v>
      </c>
      <c r="E361" s="3">
        <v>47.278</v>
      </c>
      <c r="F361" s="4" t="str">
        <f>HYPERLINK("http://141.218.60.56/~jnz1568/getInfo.php?workbook=18_08.xlsx&amp;sheet=A0&amp;row=361&amp;col=6&amp;number=78330&amp;sourceID=14","78330")</f>
        <v>78330</v>
      </c>
      <c r="G361" s="4" t="str">
        <f>HYPERLINK("http://141.218.60.56/~jnz1568/getInfo.php?workbook=18_08.xlsx&amp;sheet=A0&amp;row=361&amp;col=7&amp;number=0&amp;sourceID=14","0")</f>
        <v>0</v>
      </c>
    </row>
    <row r="362" spans="1:7">
      <c r="A362" s="3">
        <v>18</v>
      </c>
      <c r="B362" s="3">
        <v>8</v>
      </c>
      <c r="C362" s="3">
        <v>26</v>
      </c>
      <c r="D362" s="3">
        <v>6</v>
      </c>
      <c r="E362" s="3">
        <v>47.167</v>
      </c>
      <c r="F362" s="4" t="str">
        <f>HYPERLINK("http://141.218.60.56/~jnz1568/getInfo.php?workbook=18_08.xlsx&amp;sheet=A0&amp;row=362&amp;col=6&amp;number=683&amp;sourceID=14","683")</f>
        <v>683</v>
      </c>
      <c r="G362" s="4" t="str">
        <f>HYPERLINK("http://141.218.60.56/~jnz1568/getInfo.php?workbook=18_08.xlsx&amp;sheet=A0&amp;row=362&amp;col=7&amp;number=0&amp;sourceID=14","0")</f>
        <v>0</v>
      </c>
    </row>
    <row r="363" spans="1:7">
      <c r="A363" s="3">
        <v>18</v>
      </c>
      <c r="B363" s="3">
        <v>8</v>
      </c>
      <c r="C363" s="3">
        <v>27</v>
      </c>
      <c r="D363" s="3">
        <v>6</v>
      </c>
      <c r="E363" s="3">
        <v>-45.965</v>
      </c>
      <c r="F363" s="4" t="str">
        <f>HYPERLINK("http://141.218.60.56/~jnz1568/getInfo.php?workbook=18_08.xlsx&amp;sheet=A0&amp;row=363&amp;col=6&amp;number=210900000&amp;sourceID=14","210900000")</f>
        <v>210900000</v>
      </c>
      <c r="G363" s="4" t="str">
        <f>HYPERLINK("http://141.218.60.56/~jnz1568/getInfo.php?workbook=18_08.xlsx&amp;sheet=A0&amp;row=363&amp;col=7&amp;number=0&amp;sourceID=14","0")</f>
        <v>0</v>
      </c>
    </row>
    <row r="364" spans="1:7">
      <c r="A364" s="3">
        <v>18</v>
      </c>
      <c r="B364" s="3">
        <v>8</v>
      </c>
      <c r="C364" s="3">
        <v>28</v>
      </c>
      <c r="D364" s="3">
        <v>6</v>
      </c>
      <c r="E364" s="3">
        <v>-46.036</v>
      </c>
      <c r="F364" s="4" t="str">
        <f>HYPERLINK("http://141.218.60.56/~jnz1568/getInfo.php?workbook=18_08.xlsx&amp;sheet=A0&amp;row=364&amp;col=6&amp;number=143200000&amp;sourceID=14","143200000")</f>
        <v>143200000</v>
      </c>
      <c r="G364" s="4" t="str">
        <f>HYPERLINK("http://141.218.60.56/~jnz1568/getInfo.php?workbook=18_08.xlsx&amp;sheet=A0&amp;row=364&amp;col=7&amp;number=0&amp;sourceID=14","0")</f>
        <v>0</v>
      </c>
    </row>
    <row r="365" spans="1:7">
      <c r="A365" s="3">
        <v>18</v>
      </c>
      <c r="B365" s="3">
        <v>8</v>
      </c>
      <c r="C365" s="3">
        <v>29</v>
      </c>
      <c r="D365" s="3">
        <v>6</v>
      </c>
      <c r="E365" s="3">
        <v>-45.95</v>
      </c>
      <c r="F365" s="4" t="str">
        <f>HYPERLINK("http://141.218.60.56/~jnz1568/getInfo.php?workbook=18_08.xlsx&amp;sheet=A0&amp;row=365&amp;col=6&amp;number=972500000&amp;sourceID=14","972500000")</f>
        <v>972500000</v>
      </c>
      <c r="G365" s="4" t="str">
        <f>HYPERLINK("http://141.218.60.56/~jnz1568/getInfo.php?workbook=18_08.xlsx&amp;sheet=A0&amp;row=365&amp;col=7&amp;number=0&amp;sourceID=14","0")</f>
        <v>0</v>
      </c>
    </row>
    <row r="366" spans="1:7">
      <c r="A366" s="3">
        <v>18</v>
      </c>
      <c r="B366" s="3">
        <v>8</v>
      </c>
      <c r="C366" s="3">
        <v>30</v>
      </c>
      <c r="D366" s="3">
        <v>6</v>
      </c>
      <c r="E366" s="3">
        <v>-46.218</v>
      </c>
      <c r="F366" s="4" t="str">
        <f>HYPERLINK("http://141.218.60.56/~jnz1568/getInfo.php?workbook=18_08.xlsx&amp;sheet=A0&amp;row=366&amp;col=6&amp;number=148600000&amp;sourceID=14","148600000")</f>
        <v>148600000</v>
      </c>
      <c r="G366" s="4" t="str">
        <f>HYPERLINK("http://141.218.60.56/~jnz1568/getInfo.php?workbook=18_08.xlsx&amp;sheet=A0&amp;row=366&amp;col=7&amp;number=0&amp;sourceID=14","0")</f>
        <v>0</v>
      </c>
    </row>
    <row r="367" spans="1:7">
      <c r="A367" s="3">
        <v>18</v>
      </c>
      <c r="B367" s="3">
        <v>8</v>
      </c>
      <c r="C367" s="3">
        <v>31</v>
      </c>
      <c r="D367" s="3">
        <v>6</v>
      </c>
      <c r="E367" s="3">
        <v>-45.82</v>
      </c>
      <c r="F367" s="4" t="str">
        <f>HYPERLINK("http://141.218.60.56/~jnz1568/getInfo.php?workbook=18_08.xlsx&amp;sheet=A0&amp;row=367&amp;col=6&amp;number=189900000&amp;sourceID=14","189900000")</f>
        <v>189900000</v>
      </c>
      <c r="G367" s="4" t="str">
        <f>HYPERLINK("http://141.218.60.56/~jnz1568/getInfo.php?workbook=18_08.xlsx&amp;sheet=A0&amp;row=367&amp;col=7&amp;number=0&amp;sourceID=14","0")</f>
        <v>0</v>
      </c>
    </row>
    <row r="368" spans="1:7">
      <c r="A368" s="3">
        <v>18</v>
      </c>
      <c r="B368" s="3">
        <v>8</v>
      </c>
      <c r="C368" s="3">
        <v>32</v>
      </c>
      <c r="D368" s="3">
        <v>6</v>
      </c>
      <c r="E368" s="3">
        <v>-45.759</v>
      </c>
      <c r="F368" s="4" t="str">
        <f>HYPERLINK("http://141.218.60.56/~jnz1568/getInfo.php?workbook=18_08.xlsx&amp;sheet=A0&amp;row=368&amp;col=6&amp;number=844400000&amp;sourceID=14","844400000")</f>
        <v>844400000</v>
      </c>
      <c r="G368" s="4" t="str">
        <f>HYPERLINK("http://141.218.60.56/~jnz1568/getInfo.php?workbook=18_08.xlsx&amp;sheet=A0&amp;row=368&amp;col=7&amp;number=0&amp;sourceID=14","0")</f>
        <v>0</v>
      </c>
    </row>
    <row r="369" spans="1:7">
      <c r="A369" s="3">
        <v>18</v>
      </c>
      <c r="B369" s="3">
        <v>8</v>
      </c>
      <c r="C369" s="3">
        <v>33</v>
      </c>
      <c r="D369" s="3">
        <v>6</v>
      </c>
      <c r="E369" s="3">
        <v>-45.695</v>
      </c>
      <c r="F369" s="4" t="str">
        <f>HYPERLINK("http://141.218.60.56/~jnz1568/getInfo.php?workbook=18_08.xlsx&amp;sheet=A0&amp;row=369&amp;col=6&amp;number=0.09612&amp;sourceID=14","0.09612")</f>
        <v>0.09612</v>
      </c>
      <c r="G369" s="4" t="str">
        <f>HYPERLINK("http://141.218.60.56/~jnz1568/getInfo.php?workbook=18_08.xlsx&amp;sheet=A0&amp;row=369&amp;col=7&amp;number=0&amp;sourceID=14","0")</f>
        <v>0</v>
      </c>
    </row>
    <row r="370" spans="1:7">
      <c r="A370" s="3">
        <v>18</v>
      </c>
      <c r="B370" s="3">
        <v>8</v>
      </c>
      <c r="C370" s="3">
        <v>34</v>
      </c>
      <c r="D370" s="3">
        <v>6</v>
      </c>
      <c r="E370" s="3">
        <v>-45.628</v>
      </c>
      <c r="F370" s="4" t="str">
        <f>HYPERLINK("http://141.218.60.56/~jnz1568/getInfo.php?workbook=18_08.xlsx&amp;sheet=A0&amp;row=370&amp;col=6&amp;number=232100000&amp;sourceID=14","232100000")</f>
        <v>232100000</v>
      </c>
      <c r="G370" s="4" t="str">
        <f>HYPERLINK("http://141.218.60.56/~jnz1568/getInfo.php?workbook=18_08.xlsx&amp;sheet=A0&amp;row=370&amp;col=7&amp;number=0&amp;sourceID=14","0")</f>
        <v>0</v>
      </c>
    </row>
    <row r="371" spans="1:7">
      <c r="A371" s="3">
        <v>18</v>
      </c>
      <c r="B371" s="3">
        <v>8</v>
      </c>
      <c r="C371" s="3">
        <v>35</v>
      </c>
      <c r="D371" s="3">
        <v>6</v>
      </c>
      <c r="E371" s="3">
        <v>-44.945</v>
      </c>
      <c r="F371" s="4" t="str">
        <f>HYPERLINK("http://141.218.60.56/~jnz1568/getInfo.php?workbook=18_08.xlsx&amp;sheet=A0&amp;row=371&amp;col=6&amp;number=49.46&amp;sourceID=14","49.46")</f>
        <v>49.46</v>
      </c>
      <c r="G371" s="4" t="str">
        <f>HYPERLINK("http://141.218.60.56/~jnz1568/getInfo.php?workbook=18_08.xlsx&amp;sheet=A0&amp;row=371&amp;col=7&amp;number=0&amp;sourceID=14","0")</f>
        <v>0</v>
      </c>
    </row>
    <row r="372" spans="1:7">
      <c r="A372" s="3">
        <v>18</v>
      </c>
      <c r="B372" s="3">
        <v>8</v>
      </c>
      <c r="C372" s="3">
        <v>36</v>
      </c>
      <c r="D372" s="3">
        <v>6</v>
      </c>
      <c r="E372" s="3">
        <v>-44.748</v>
      </c>
      <c r="F372" s="4" t="str">
        <f>HYPERLINK("http://141.218.60.56/~jnz1568/getInfo.php?workbook=18_08.xlsx&amp;sheet=A0&amp;row=372&amp;col=6&amp;number=37590000&amp;sourceID=14","37590000")</f>
        <v>37590000</v>
      </c>
      <c r="G372" s="4" t="str">
        <f>HYPERLINK("http://141.218.60.56/~jnz1568/getInfo.php?workbook=18_08.xlsx&amp;sheet=A0&amp;row=372&amp;col=7&amp;number=0&amp;sourceID=14","0")</f>
        <v>0</v>
      </c>
    </row>
    <row r="373" spans="1:7">
      <c r="A373" s="3">
        <v>18</v>
      </c>
      <c r="B373" s="3">
        <v>8</v>
      </c>
      <c r="C373" s="3">
        <v>37</v>
      </c>
      <c r="D373" s="3">
        <v>6</v>
      </c>
      <c r="E373" s="3">
        <v>44.642</v>
      </c>
      <c r="F373" s="4" t="str">
        <f>HYPERLINK("http://141.218.60.56/~jnz1568/getInfo.php?workbook=18_08.xlsx&amp;sheet=A0&amp;row=373&amp;col=6&amp;number=20240000000&amp;sourceID=14","20240000000")</f>
        <v>20240000000</v>
      </c>
      <c r="G373" s="4" t="str">
        <f>HYPERLINK("http://141.218.60.56/~jnz1568/getInfo.php?workbook=18_08.xlsx&amp;sheet=A0&amp;row=373&amp;col=7&amp;number=0&amp;sourceID=14","0")</f>
        <v>0</v>
      </c>
    </row>
    <row r="374" spans="1:7">
      <c r="A374" s="3">
        <v>18</v>
      </c>
      <c r="B374" s="3">
        <v>8</v>
      </c>
      <c r="C374" s="3">
        <v>38</v>
      </c>
      <c r="D374" s="3">
        <v>6</v>
      </c>
      <c r="E374" s="3">
        <v>-44.5</v>
      </c>
      <c r="F374" s="4" t="str">
        <f>HYPERLINK("http://141.218.60.56/~jnz1568/getInfo.php?workbook=18_08.xlsx&amp;sheet=A0&amp;row=374&amp;col=6&amp;number=28930&amp;sourceID=14","28930")</f>
        <v>28930</v>
      </c>
      <c r="G374" s="4" t="str">
        <f>HYPERLINK("http://141.218.60.56/~jnz1568/getInfo.php?workbook=18_08.xlsx&amp;sheet=A0&amp;row=374&amp;col=7&amp;number=0&amp;sourceID=14","0")</f>
        <v>0</v>
      </c>
    </row>
    <row r="375" spans="1:7">
      <c r="A375" s="3">
        <v>18</v>
      </c>
      <c r="B375" s="3">
        <v>8</v>
      </c>
      <c r="C375" s="3">
        <v>39</v>
      </c>
      <c r="D375" s="3">
        <v>6</v>
      </c>
      <c r="E375" s="3">
        <v>-44.498</v>
      </c>
      <c r="F375" s="4" t="str">
        <f>HYPERLINK("http://141.218.60.56/~jnz1568/getInfo.php?workbook=18_08.xlsx&amp;sheet=A0&amp;row=375&amp;col=6&amp;number=18190&amp;sourceID=14","18190")</f>
        <v>18190</v>
      </c>
      <c r="G375" s="4" t="str">
        <f>HYPERLINK("http://141.218.60.56/~jnz1568/getInfo.php?workbook=18_08.xlsx&amp;sheet=A0&amp;row=375&amp;col=7&amp;number=0&amp;sourceID=14","0")</f>
        <v>0</v>
      </c>
    </row>
    <row r="376" spans="1:7">
      <c r="A376" s="3">
        <v>18</v>
      </c>
      <c r="B376" s="3">
        <v>8</v>
      </c>
      <c r="C376" s="3">
        <v>40</v>
      </c>
      <c r="D376" s="3">
        <v>6</v>
      </c>
      <c r="E376" s="3">
        <v>44.42</v>
      </c>
      <c r="F376" s="4" t="str">
        <f>HYPERLINK("http://141.218.60.56/~jnz1568/getInfo.php?workbook=18_08.xlsx&amp;sheet=A0&amp;row=376&amp;col=6&amp;number=6445&amp;sourceID=14","6445")</f>
        <v>6445</v>
      </c>
      <c r="G376" s="4" t="str">
        <f>HYPERLINK("http://141.218.60.56/~jnz1568/getInfo.php?workbook=18_08.xlsx&amp;sheet=A0&amp;row=376&amp;col=7&amp;number=0&amp;sourceID=14","0")</f>
        <v>0</v>
      </c>
    </row>
    <row r="377" spans="1:7">
      <c r="A377" s="3">
        <v>18</v>
      </c>
      <c r="B377" s="3">
        <v>8</v>
      </c>
      <c r="C377" s="3">
        <v>41</v>
      </c>
      <c r="D377" s="3">
        <v>6</v>
      </c>
      <c r="E377" s="3">
        <v>-44.491</v>
      </c>
      <c r="F377" s="4" t="str">
        <f>HYPERLINK("http://141.218.60.56/~jnz1568/getInfo.php?workbook=18_08.xlsx&amp;sheet=A0&amp;row=377&amp;col=6&amp;number=2087&amp;sourceID=14","2087")</f>
        <v>2087</v>
      </c>
      <c r="G377" s="4" t="str">
        <f>HYPERLINK("http://141.218.60.56/~jnz1568/getInfo.php?workbook=18_08.xlsx&amp;sheet=A0&amp;row=377&amp;col=7&amp;number=0&amp;sourceID=14","0")</f>
        <v>0</v>
      </c>
    </row>
    <row r="378" spans="1:7">
      <c r="A378" s="3">
        <v>18</v>
      </c>
      <c r="B378" s="3">
        <v>8</v>
      </c>
      <c r="C378" s="3">
        <v>42</v>
      </c>
      <c r="D378" s="3">
        <v>6</v>
      </c>
      <c r="E378" s="3">
        <v>-44.483</v>
      </c>
      <c r="F378" s="4" t="str">
        <f>HYPERLINK("http://141.218.60.56/~jnz1568/getInfo.php?workbook=18_08.xlsx&amp;sheet=A0&amp;row=378&amp;col=6&amp;number=8994&amp;sourceID=14","8994")</f>
        <v>8994</v>
      </c>
      <c r="G378" s="4" t="str">
        <f>HYPERLINK("http://141.218.60.56/~jnz1568/getInfo.php?workbook=18_08.xlsx&amp;sheet=A0&amp;row=378&amp;col=7&amp;number=0&amp;sourceID=14","0")</f>
        <v>0</v>
      </c>
    </row>
    <row r="379" spans="1:7">
      <c r="A379" s="3">
        <v>18</v>
      </c>
      <c r="B379" s="3">
        <v>8</v>
      </c>
      <c r="C379" s="3">
        <v>43</v>
      </c>
      <c r="D379" s="3">
        <v>6</v>
      </c>
      <c r="E379" s="3">
        <v>-44.743</v>
      </c>
      <c r="F379" s="4" t="str">
        <f>HYPERLINK("http://141.218.60.56/~jnz1568/getInfo.php?workbook=18_08.xlsx&amp;sheet=A0&amp;row=379&amp;col=6&amp;number=148000000&amp;sourceID=14","148000000")</f>
        <v>148000000</v>
      </c>
      <c r="G379" s="4" t="str">
        <f>HYPERLINK("http://141.218.60.56/~jnz1568/getInfo.php?workbook=18_08.xlsx&amp;sheet=A0&amp;row=379&amp;col=7&amp;number=0&amp;sourceID=14","0")</f>
        <v>0</v>
      </c>
    </row>
    <row r="380" spans="1:7">
      <c r="A380" s="3">
        <v>18</v>
      </c>
      <c r="B380" s="3">
        <v>8</v>
      </c>
      <c r="C380" s="3">
        <v>44</v>
      </c>
      <c r="D380" s="3">
        <v>6</v>
      </c>
      <c r="E380" s="3">
        <v>-45.088</v>
      </c>
      <c r="F380" s="4" t="str">
        <f>HYPERLINK("http://141.218.60.56/~jnz1568/getInfo.php?workbook=18_08.xlsx&amp;sheet=A0&amp;row=380&amp;col=6&amp;number=19240000000&amp;sourceID=14","19240000000")</f>
        <v>19240000000</v>
      </c>
      <c r="G380" s="4" t="str">
        <f>HYPERLINK("http://141.218.60.56/~jnz1568/getInfo.php?workbook=18_08.xlsx&amp;sheet=A0&amp;row=380&amp;col=7&amp;number=0&amp;sourceID=14","0")</f>
        <v>0</v>
      </c>
    </row>
    <row r="381" spans="1:7">
      <c r="A381" s="3">
        <v>18</v>
      </c>
      <c r="B381" s="3">
        <v>8</v>
      </c>
      <c r="C381" s="3">
        <v>45</v>
      </c>
      <c r="D381" s="3">
        <v>6</v>
      </c>
      <c r="E381" s="3">
        <v>-44.782</v>
      </c>
      <c r="F381" s="4" t="str">
        <f>HYPERLINK("http://141.218.60.56/~jnz1568/getInfo.php?workbook=18_08.xlsx&amp;sheet=A0&amp;row=381&amp;col=6&amp;number=66200000&amp;sourceID=14","66200000")</f>
        <v>66200000</v>
      </c>
      <c r="G381" s="4" t="str">
        <f>HYPERLINK("http://141.218.60.56/~jnz1568/getInfo.php?workbook=18_08.xlsx&amp;sheet=A0&amp;row=381&amp;col=7&amp;number=0&amp;sourceID=14","0")</f>
        <v>0</v>
      </c>
    </row>
    <row r="382" spans="1:7">
      <c r="A382" s="3">
        <v>18</v>
      </c>
      <c r="B382" s="3">
        <v>8</v>
      </c>
      <c r="C382" s="3">
        <v>46</v>
      </c>
      <c r="D382" s="3">
        <v>6</v>
      </c>
      <c r="E382" s="3">
        <v>-44.566</v>
      </c>
      <c r="F382" s="4" t="str">
        <f>HYPERLINK("http://141.218.60.56/~jnz1568/getInfo.php?workbook=18_08.xlsx&amp;sheet=A0&amp;row=382&amp;col=6&amp;number=2224000000&amp;sourceID=14","2224000000")</f>
        <v>2224000000</v>
      </c>
      <c r="G382" s="4" t="str">
        <f>HYPERLINK("http://141.218.60.56/~jnz1568/getInfo.php?workbook=18_08.xlsx&amp;sheet=A0&amp;row=382&amp;col=7&amp;number=0&amp;sourceID=14","0")</f>
        <v>0</v>
      </c>
    </row>
    <row r="383" spans="1:7">
      <c r="A383" s="3">
        <v>18</v>
      </c>
      <c r="B383" s="3">
        <v>8</v>
      </c>
      <c r="C383" s="3">
        <v>47</v>
      </c>
      <c r="D383" s="3">
        <v>6</v>
      </c>
      <c r="E383" s="3">
        <v>-44.671</v>
      </c>
      <c r="F383" s="4" t="str">
        <f>HYPERLINK("http://141.218.60.56/~jnz1568/getInfo.php?workbook=18_08.xlsx&amp;sheet=A0&amp;row=383&amp;col=6&amp;number=5445000000&amp;sourceID=14","5445000000")</f>
        <v>5445000000</v>
      </c>
      <c r="G383" s="4" t="str">
        <f>HYPERLINK("http://141.218.60.56/~jnz1568/getInfo.php?workbook=18_08.xlsx&amp;sheet=A0&amp;row=383&amp;col=7&amp;number=0&amp;sourceID=14","0")</f>
        <v>0</v>
      </c>
    </row>
    <row r="384" spans="1:7">
      <c r="A384" s="3">
        <v>18</v>
      </c>
      <c r="B384" s="3">
        <v>8</v>
      </c>
      <c r="C384" s="3">
        <v>48</v>
      </c>
      <c r="D384" s="3">
        <v>6</v>
      </c>
      <c r="E384" s="3">
        <v>-44.482</v>
      </c>
      <c r="F384" s="4" t="str">
        <f>HYPERLINK("http://141.218.60.56/~jnz1568/getInfo.php?workbook=18_08.xlsx&amp;sheet=A0&amp;row=384&amp;col=6&amp;number=1407000000&amp;sourceID=14","1407000000")</f>
        <v>1407000000</v>
      </c>
      <c r="G384" s="4" t="str">
        <f>HYPERLINK("http://141.218.60.56/~jnz1568/getInfo.php?workbook=18_08.xlsx&amp;sheet=A0&amp;row=384&amp;col=7&amp;number=0&amp;sourceID=14","0")</f>
        <v>0</v>
      </c>
    </row>
    <row r="385" spans="1:7">
      <c r="A385" s="3">
        <v>18</v>
      </c>
      <c r="B385" s="3">
        <v>8</v>
      </c>
      <c r="C385" s="3">
        <v>49</v>
      </c>
      <c r="D385" s="3">
        <v>6</v>
      </c>
      <c r="E385" s="3">
        <v>-44.275</v>
      </c>
      <c r="F385" s="4" t="str">
        <f>HYPERLINK("http://141.218.60.56/~jnz1568/getInfo.php?workbook=18_08.xlsx&amp;sheet=A0&amp;row=385&amp;col=6&amp;number=99180000&amp;sourceID=14","99180000")</f>
        <v>99180000</v>
      </c>
      <c r="G385" s="4" t="str">
        <f>HYPERLINK("http://141.218.60.56/~jnz1568/getInfo.php?workbook=18_08.xlsx&amp;sheet=A0&amp;row=385&amp;col=7&amp;number=0&amp;sourceID=14","0")</f>
        <v>0</v>
      </c>
    </row>
    <row r="386" spans="1:7">
      <c r="A386" s="3">
        <v>18</v>
      </c>
      <c r="B386" s="3">
        <v>8</v>
      </c>
      <c r="C386" s="3">
        <v>50</v>
      </c>
      <c r="D386" s="3">
        <v>6</v>
      </c>
      <c r="E386" s="3">
        <v>-44.218</v>
      </c>
      <c r="F386" s="4" t="str">
        <f>HYPERLINK("http://141.218.60.56/~jnz1568/getInfo.php?workbook=18_08.xlsx&amp;sheet=A0&amp;row=386&amp;col=6&amp;number=2830000000&amp;sourceID=14","2830000000")</f>
        <v>2830000000</v>
      </c>
      <c r="G386" s="4" t="str">
        <f>HYPERLINK("http://141.218.60.56/~jnz1568/getInfo.php?workbook=18_08.xlsx&amp;sheet=A0&amp;row=386&amp;col=7&amp;number=0&amp;sourceID=14","0")</f>
        <v>0</v>
      </c>
    </row>
    <row r="387" spans="1:7">
      <c r="A387" s="3">
        <v>18</v>
      </c>
      <c r="B387" s="3">
        <v>8</v>
      </c>
      <c r="C387" s="3">
        <v>51</v>
      </c>
      <c r="D387" s="3">
        <v>6</v>
      </c>
      <c r="E387" s="3">
        <v>43.543</v>
      </c>
      <c r="F387" s="4" t="str">
        <f>HYPERLINK("http://141.218.60.56/~jnz1568/getInfo.php?workbook=18_08.xlsx&amp;sheet=A0&amp;row=387&amp;col=6&amp;number=229000&amp;sourceID=14","229000")</f>
        <v>229000</v>
      </c>
      <c r="G387" s="4" t="str">
        <f>HYPERLINK("http://141.218.60.56/~jnz1568/getInfo.php?workbook=18_08.xlsx&amp;sheet=A0&amp;row=387&amp;col=7&amp;number=0&amp;sourceID=14","0")</f>
        <v>0</v>
      </c>
    </row>
    <row r="388" spans="1:7">
      <c r="A388" s="3">
        <v>18</v>
      </c>
      <c r="B388" s="3">
        <v>8</v>
      </c>
      <c r="C388" s="3">
        <v>52</v>
      </c>
      <c r="D388" s="3">
        <v>6</v>
      </c>
      <c r="E388" s="3">
        <v>43.566</v>
      </c>
      <c r="F388" s="4" t="str">
        <f>HYPERLINK("http://141.218.60.56/~jnz1568/getInfo.php?workbook=18_08.xlsx&amp;sheet=A0&amp;row=388&amp;col=6&amp;number=113800&amp;sourceID=14","113800")</f>
        <v>113800</v>
      </c>
      <c r="G388" s="4" t="str">
        <f>HYPERLINK("http://141.218.60.56/~jnz1568/getInfo.php?workbook=18_08.xlsx&amp;sheet=A0&amp;row=388&amp;col=7&amp;number=0&amp;sourceID=14","0")</f>
        <v>0</v>
      </c>
    </row>
    <row r="389" spans="1:7">
      <c r="A389" s="3">
        <v>18</v>
      </c>
      <c r="B389" s="3">
        <v>8</v>
      </c>
      <c r="C389" s="3">
        <v>53</v>
      </c>
      <c r="D389" s="3">
        <v>6</v>
      </c>
      <c r="E389" s="3">
        <v>-44.191</v>
      </c>
      <c r="F389" s="4" t="str">
        <f>HYPERLINK("http://141.218.60.56/~jnz1568/getInfo.php?workbook=18_08.xlsx&amp;sheet=A0&amp;row=389&amp;col=6&amp;number=12.72&amp;sourceID=14","12.72")</f>
        <v>12.72</v>
      </c>
      <c r="G389" s="4" t="str">
        <f>HYPERLINK("http://141.218.60.56/~jnz1568/getInfo.php?workbook=18_08.xlsx&amp;sheet=A0&amp;row=389&amp;col=7&amp;number=0&amp;sourceID=14","0")</f>
        <v>0</v>
      </c>
    </row>
    <row r="390" spans="1:7">
      <c r="A390" s="3">
        <v>18</v>
      </c>
      <c r="B390" s="3">
        <v>8</v>
      </c>
      <c r="C390" s="3">
        <v>54</v>
      </c>
      <c r="D390" s="3">
        <v>6</v>
      </c>
      <c r="E390" s="3">
        <v>43.543</v>
      </c>
      <c r="F390" s="4" t="str">
        <f>HYPERLINK("http://141.218.60.56/~jnz1568/getInfo.php?workbook=18_08.xlsx&amp;sheet=A0&amp;row=390&amp;col=6&amp;number=214600&amp;sourceID=14","214600")</f>
        <v>214600</v>
      </c>
      <c r="G390" s="4" t="str">
        <f>HYPERLINK("http://141.218.60.56/~jnz1568/getInfo.php?workbook=18_08.xlsx&amp;sheet=A0&amp;row=390&amp;col=7&amp;number=0&amp;sourceID=14","0")</f>
        <v>0</v>
      </c>
    </row>
    <row r="391" spans="1:7">
      <c r="A391" s="3">
        <v>18</v>
      </c>
      <c r="B391" s="3">
        <v>8</v>
      </c>
      <c r="C391" s="3">
        <v>55</v>
      </c>
      <c r="D391" s="3">
        <v>6</v>
      </c>
      <c r="E391" s="3">
        <v>-43.62</v>
      </c>
      <c r="F391" s="4" t="str">
        <f>HYPERLINK("http://141.218.60.56/~jnz1568/getInfo.php?workbook=18_08.xlsx&amp;sheet=A0&amp;row=391&amp;col=6&amp;number=274900000&amp;sourceID=14","274900000")</f>
        <v>274900000</v>
      </c>
      <c r="G391" s="4" t="str">
        <f>HYPERLINK("http://141.218.60.56/~jnz1568/getInfo.php?workbook=18_08.xlsx&amp;sheet=A0&amp;row=391&amp;col=7&amp;number=0&amp;sourceID=14","0")</f>
        <v>0</v>
      </c>
    </row>
    <row r="392" spans="1:7">
      <c r="A392" s="3">
        <v>18</v>
      </c>
      <c r="B392" s="3">
        <v>8</v>
      </c>
      <c r="C392" s="3">
        <v>56</v>
      </c>
      <c r="D392" s="3">
        <v>6</v>
      </c>
      <c r="E392" s="3">
        <v>42.402</v>
      </c>
      <c r="F392" s="4" t="str">
        <f>HYPERLINK("http://141.218.60.56/~jnz1568/getInfo.php?workbook=18_08.xlsx&amp;sheet=A0&amp;row=392&amp;col=6&amp;number=11570&amp;sourceID=14","11570")</f>
        <v>11570</v>
      </c>
      <c r="G392" s="4" t="str">
        <f>HYPERLINK("http://141.218.60.56/~jnz1568/getInfo.php?workbook=18_08.xlsx&amp;sheet=A0&amp;row=392&amp;col=7&amp;number=0&amp;sourceID=14","0")</f>
        <v>0</v>
      </c>
    </row>
    <row r="393" spans="1:7">
      <c r="A393" s="3">
        <v>18</v>
      </c>
      <c r="B393" s="3">
        <v>8</v>
      </c>
      <c r="C393" s="3">
        <v>57</v>
      </c>
      <c r="D393" s="3">
        <v>6</v>
      </c>
      <c r="E393" s="3">
        <v>-42.662</v>
      </c>
      <c r="F393" s="4" t="str">
        <f>HYPERLINK("http://141.218.60.56/~jnz1568/getInfo.php?workbook=18_08.xlsx&amp;sheet=A0&amp;row=393&amp;col=6&amp;number=815.5&amp;sourceID=14","815.5")</f>
        <v>815.5</v>
      </c>
      <c r="G393" s="4" t="str">
        <f>HYPERLINK("http://141.218.60.56/~jnz1568/getInfo.php?workbook=18_08.xlsx&amp;sheet=A0&amp;row=393&amp;col=7&amp;number=0&amp;sourceID=14","0")</f>
        <v>0</v>
      </c>
    </row>
    <row r="394" spans="1:7">
      <c r="A394" s="3">
        <v>18</v>
      </c>
      <c r="B394" s="3">
        <v>8</v>
      </c>
      <c r="C394" s="3">
        <v>58</v>
      </c>
      <c r="D394" s="3">
        <v>6</v>
      </c>
      <c r="E394" s="3">
        <v>-42.612</v>
      </c>
      <c r="F394" s="4" t="str">
        <f>HYPERLINK("http://141.218.60.56/~jnz1568/getInfo.php?workbook=18_08.xlsx&amp;sheet=A0&amp;row=394&amp;col=6&amp;number=118400&amp;sourceID=14","118400")</f>
        <v>118400</v>
      </c>
      <c r="G394" s="4" t="str">
        <f>HYPERLINK("http://141.218.60.56/~jnz1568/getInfo.php?workbook=18_08.xlsx&amp;sheet=A0&amp;row=394&amp;col=7&amp;number=0&amp;sourceID=14","0")</f>
        <v>0</v>
      </c>
    </row>
    <row r="395" spans="1:7">
      <c r="A395" s="3">
        <v>18</v>
      </c>
      <c r="B395" s="3">
        <v>8</v>
      </c>
      <c r="C395" s="3">
        <v>59</v>
      </c>
      <c r="D395" s="3">
        <v>6</v>
      </c>
      <c r="E395" s="3">
        <v>-42.587</v>
      </c>
      <c r="F395" s="4" t="str">
        <f>HYPERLINK("http://141.218.60.56/~jnz1568/getInfo.php?workbook=18_08.xlsx&amp;sheet=A0&amp;row=395&amp;col=6&amp;number=39620&amp;sourceID=14","39620")</f>
        <v>39620</v>
      </c>
      <c r="G395" s="4" t="str">
        <f>HYPERLINK("http://141.218.60.56/~jnz1568/getInfo.php?workbook=18_08.xlsx&amp;sheet=A0&amp;row=395&amp;col=7&amp;number=0&amp;sourceID=14","0")</f>
        <v>0</v>
      </c>
    </row>
    <row r="396" spans="1:7">
      <c r="A396" s="3">
        <v>18</v>
      </c>
      <c r="B396" s="3">
        <v>8</v>
      </c>
      <c r="C396" s="3">
        <v>60</v>
      </c>
      <c r="D396" s="3">
        <v>6</v>
      </c>
      <c r="E396" s="3">
        <v>-42.461</v>
      </c>
      <c r="F396" s="4" t="str">
        <f>HYPERLINK("http://141.218.60.56/~jnz1568/getInfo.php?workbook=18_08.xlsx&amp;sheet=A0&amp;row=396&amp;col=6&amp;number=29330&amp;sourceID=14","29330")</f>
        <v>29330</v>
      </c>
      <c r="G396" s="4" t="str">
        <f>HYPERLINK("http://141.218.60.56/~jnz1568/getInfo.php?workbook=18_08.xlsx&amp;sheet=A0&amp;row=396&amp;col=7&amp;number=0&amp;sourceID=14","0")</f>
        <v>0</v>
      </c>
    </row>
    <row r="397" spans="1:7">
      <c r="A397" s="3">
        <v>18</v>
      </c>
      <c r="B397" s="3">
        <v>8</v>
      </c>
      <c r="C397" s="3">
        <v>61</v>
      </c>
      <c r="D397" s="3">
        <v>6</v>
      </c>
      <c r="E397" s="3">
        <v>-42.432</v>
      </c>
      <c r="F397" s="4" t="str">
        <f>HYPERLINK("http://141.218.60.56/~jnz1568/getInfo.php?workbook=18_08.xlsx&amp;sheet=A0&amp;row=397&amp;col=6&amp;number=232900&amp;sourceID=14","232900")</f>
        <v>232900</v>
      </c>
      <c r="G397" s="4" t="str">
        <f>HYPERLINK("http://141.218.60.56/~jnz1568/getInfo.php?workbook=18_08.xlsx&amp;sheet=A0&amp;row=397&amp;col=7&amp;number=0&amp;sourceID=14","0")</f>
        <v>0</v>
      </c>
    </row>
    <row r="398" spans="1:7">
      <c r="A398" s="3">
        <v>18</v>
      </c>
      <c r="B398" s="3">
        <v>8</v>
      </c>
      <c r="C398" s="3">
        <v>63</v>
      </c>
      <c r="D398" s="3">
        <v>6</v>
      </c>
      <c r="E398" s="3">
        <v>-42.339</v>
      </c>
      <c r="F398" s="4" t="str">
        <f>HYPERLINK("http://141.218.60.56/~jnz1568/getInfo.php?workbook=18_08.xlsx&amp;sheet=A0&amp;row=398&amp;col=6&amp;number=77670&amp;sourceID=14","77670")</f>
        <v>77670</v>
      </c>
      <c r="G398" s="4" t="str">
        <f>HYPERLINK("http://141.218.60.56/~jnz1568/getInfo.php?workbook=18_08.xlsx&amp;sheet=A0&amp;row=398&amp;col=7&amp;number=0&amp;sourceID=14","0")</f>
        <v>0</v>
      </c>
    </row>
    <row r="399" spans="1:7">
      <c r="A399" s="3">
        <v>18</v>
      </c>
      <c r="B399" s="3">
        <v>8</v>
      </c>
      <c r="C399" s="3">
        <v>64</v>
      </c>
      <c r="D399" s="3">
        <v>6</v>
      </c>
      <c r="E399" s="3">
        <v>41.981</v>
      </c>
      <c r="F399" s="4" t="str">
        <f>HYPERLINK("http://141.218.60.56/~jnz1568/getInfo.php?workbook=18_08.xlsx&amp;sheet=A0&amp;row=399&amp;col=6&amp;number=9033&amp;sourceID=14","9033")</f>
        <v>9033</v>
      </c>
      <c r="G399" s="4" t="str">
        <f>HYPERLINK("http://141.218.60.56/~jnz1568/getInfo.php?workbook=18_08.xlsx&amp;sheet=A0&amp;row=399&amp;col=7&amp;number=0&amp;sourceID=14","0")</f>
        <v>0</v>
      </c>
    </row>
    <row r="400" spans="1:7">
      <c r="A400" s="3">
        <v>18</v>
      </c>
      <c r="B400" s="3">
        <v>8</v>
      </c>
      <c r="C400" s="3">
        <v>65</v>
      </c>
      <c r="D400" s="3">
        <v>6</v>
      </c>
      <c r="E400" s="3">
        <v>-42.67</v>
      </c>
      <c r="F400" s="4" t="str">
        <f>HYPERLINK("http://141.218.60.56/~jnz1568/getInfo.php?workbook=18_08.xlsx&amp;sheet=A0&amp;row=400&amp;col=6&amp;number=357.9&amp;sourceID=14","357.9")</f>
        <v>357.9</v>
      </c>
      <c r="G400" s="4" t="str">
        <f>HYPERLINK("http://141.218.60.56/~jnz1568/getInfo.php?workbook=18_08.xlsx&amp;sheet=A0&amp;row=400&amp;col=7&amp;number=0&amp;sourceID=14","0")</f>
        <v>0</v>
      </c>
    </row>
    <row r="401" spans="1:7">
      <c r="A401" s="3">
        <v>18</v>
      </c>
      <c r="B401" s="3">
        <v>8</v>
      </c>
      <c r="C401" s="3">
        <v>66</v>
      </c>
      <c r="D401" s="3">
        <v>6</v>
      </c>
      <c r="E401" s="3">
        <v>41.987</v>
      </c>
      <c r="F401" s="4" t="str">
        <f>HYPERLINK("http://141.218.60.56/~jnz1568/getInfo.php?workbook=18_08.xlsx&amp;sheet=A0&amp;row=401&amp;col=6&amp;number=93390&amp;sourceID=14","93390")</f>
        <v>93390</v>
      </c>
      <c r="G401" s="4" t="str">
        <f>HYPERLINK("http://141.218.60.56/~jnz1568/getInfo.php?workbook=18_08.xlsx&amp;sheet=A0&amp;row=401&amp;col=7&amp;number=0&amp;sourceID=14","0")</f>
        <v>0</v>
      </c>
    </row>
    <row r="402" spans="1:7">
      <c r="A402" s="3">
        <v>18</v>
      </c>
      <c r="B402" s="3">
        <v>8</v>
      </c>
      <c r="C402" s="3">
        <v>67</v>
      </c>
      <c r="D402" s="3">
        <v>6</v>
      </c>
      <c r="E402" s="3">
        <v>42.141</v>
      </c>
      <c r="F402" s="4" t="str">
        <f>HYPERLINK("http://141.218.60.56/~jnz1568/getInfo.php?workbook=18_08.xlsx&amp;sheet=A0&amp;row=402&amp;col=6&amp;number=233200&amp;sourceID=14","233200")</f>
        <v>233200</v>
      </c>
      <c r="G402" s="4" t="str">
        <f>HYPERLINK("http://141.218.60.56/~jnz1568/getInfo.php?workbook=18_08.xlsx&amp;sheet=A0&amp;row=402&amp;col=7&amp;number=0&amp;sourceID=14","0")</f>
        <v>0</v>
      </c>
    </row>
    <row r="403" spans="1:7">
      <c r="A403" s="3">
        <v>18</v>
      </c>
      <c r="B403" s="3">
        <v>8</v>
      </c>
      <c r="C403" s="3">
        <v>68</v>
      </c>
      <c r="D403" s="3">
        <v>6</v>
      </c>
      <c r="E403" s="3">
        <v>41.959</v>
      </c>
      <c r="F403" s="4" t="str">
        <f>HYPERLINK("http://141.218.60.56/~jnz1568/getInfo.php?workbook=18_08.xlsx&amp;sheet=A0&amp;row=403&amp;col=6&amp;number=16650&amp;sourceID=14","16650")</f>
        <v>16650</v>
      </c>
      <c r="G403" s="4" t="str">
        <f>HYPERLINK("http://141.218.60.56/~jnz1568/getInfo.php?workbook=18_08.xlsx&amp;sheet=A0&amp;row=403&amp;col=7&amp;number=0&amp;sourceID=14","0")</f>
        <v>0</v>
      </c>
    </row>
    <row r="404" spans="1:7">
      <c r="A404" s="3">
        <v>18</v>
      </c>
      <c r="B404" s="3">
        <v>8</v>
      </c>
      <c r="C404" s="3">
        <v>69</v>
      </c>
      <c r="D404" s="3">
        <v>6</v>
      </c>
      <c r="E404" s="3">
        <v>41.801</v>
      </c>
      <c r="F404" s="4" t="str">
        <f>HYPERLINK("http://141.218.60.56/~jnz1568/getInfo.php?workbook=18_08.xlsx&amp;sheet=A0&amp;row=404&amp;col=6&amp;number=69980&amp;sourceID=14","69980")</f>
        <v>69980</v>
      </c>
      <c r="G404" s="4" t="str">
        <f>HYPERLINK("http://141.218.60.56/~jnz1568/getInfo.php?workbook=18_08.xlsx&amp;sheet=A0&amp;row=404&amp;col=7&amp;number=0&amp;sourceID=14","0")</f>
        <v>0</v>
      </c>
    </row>
    <row r="405" spans="1:7">
      <c r="A405" s="3">
        <v>18</v>
      </c>
      <c r="B405" s="3">
        <v>8</v>
      </c>
      <c r="C405" s="3">
        <v>70</v>
      </c>
      <c r="D405" s="3">
        <v>6</v>
      </c>
      <c r="E405" s="3">
        <v>-41.916</v>
      </c>
      <c r="F405" s="4" t="str">
        <f>HYPERLINK("http://141.218.60.56/~jnz1568/getInfo.php?workbook=18_08.xlsx&amp;sheet=A0&amp;row=405&amp;col=6&amp;number=624800&amp;sourceID=14","624800")</f>
        <v>624800</v>
      </c>
      <c r="G405" s="4" t="str">
        <f>HYPERLINK("http://141.218.60.56/~jnz1568/getInfo.php?workbook=18_08.xlsx&amp;sheet=A0&amp;row=405&amp;col=7&amp;number=0&amp;sourceID=14","0")</f>
        <v>0</v>
      </c>
    </row>
    <row r="406" spans="1:7">
      <c r="A406" s="3">
        <v>18</v>
      </c>
      <c r="B406" s="3">
        <v>8</v>
      </c>
      <c r="C406" s="3">
        <v>71</v>
      </c>
      <c r="D406" s="3">
        <v>6</v>
      </c>
      <c r="E406" s="3">
        <v>41.603</v>
      </c>
      <c r="F406" s="4" t="str">
        <f>HYPERLINK("http://141.218.60.56/~jnz1568/getInfo.php?workbook=18_08.xlsx&amp;sheet=A0&amp;row=406&amp;col=6&amp;number=93450&amp;sourceID=14","93450")</f>
        <v>93450</v>
      </c>
      <c r="G406" s="4" t="str">
        <f>HYPERLINK("http://141.218.60.56/~jnz1568/getInfo.php?workbook=18_08.xlsx&amp;sheet=A0&amp;row=406&amp;col=7&amp;number=0&amp;sourceID=14","0")</f>
        <v>0</v>
      </c>
    </row>
    <row r="407" spans="1:7">
      <c r="A407" s="3">
        <v>18</v>
      </c>
      <c r="B407" s="3">
        <v>8</v>
      </c>
      <c r="C407" s="3">
        <v>72</v>
      </c>
      <c r="D407" s="3">
        <v>6</v>
      </c>
      <c r="E407" s="3">
        <v>41.801</v>
      </c>
      <c r="F407" s="4" t="str">
        <f>HYPERLINK("http://141.218.60.56/~jnz1568/getInfo.php?workbook=18_08.xlsx&amp;sheet=A0&amp;row=407&amp;col=6&amp;number=245500&amp;sourceID=14","245500")</f>
        <v>245500</v>
      </c>
      <c r="G407" s="4" t="str">
        <f>HYPERLINK("http://141.218.60.56/~jnz1568/getInfo.php?workbook=18_08.xlsx&amp;sheet=A0&amp;row=407&amp;col=7&amp;number=0&amp;sourceID=14","0")</f>
        <v>0</v>
      </c>
    </row>
    <row r="408" spans="1:7">
      <c r="A408" s="3">
        <v>18</v>
      </c>
      <c r="B408" s="3">
        <v>8</v>
      </c>
      <c r="C408" s="3">
        <v>73</v>
      </c>
      <c r="D408" s="3">
        <v>6</v>
      </c>
      <c r="E408" s="3">
        <v>41.603</v>
      </c>
      <c r="F408" s="4" t="str">
        <f>HYPERLINK("http://141.218.60.56/~jnz1568/getInfo.php?workbook=18_08.xlsx&amp;sheet=A0&amp;row=408&amp;col=6&amp;number=584100&amp;sourceID=14","584100")</f>
        <v>584100</v>
      </c>
      <c r="G408" s="4" t="str">
        <f>HYPERLINK("http://141.218.60.56/~jnz1568/getInfo.php?workbook=18_08.xlsx&amp;sheet=A0&amp;row=408&amp;col=7&amp;number=0&amp;sourceID=14","0")</f>
        <v>0</v>
      </c>
    </row>
    <row r="409" spans="1:7">
      <c r="A409" s="3">
        <v>18</v>
      </c>
      <c r="B409" s="3">
        <v>8</v>
      </c>
      <c r="C409" s="3">
        <v>74</v>
      </c>
      <c r="D409" s="3">
        <v>6</v>
      </c>
      <c r="E409" s="3">
        <v>41.395</v>
      </c>
      <c r="F409" s="4" t="str">
        <f>HYPERLINK("http://141.218.60.56/~jnz1568/getInfo.php?workbook=18_08.xlsx&amp;sheet=A0&amp;row=409&amp;col=6&amp;number=864600&amp;sourceID=14","864600")</f>
        <v>864600</v>
      </c>
      <c r="G409" s="4" t="str">
        <f>HYPERLINK("http://141.218.60.56/~jnz1568/getInfo.php?workbook=18_08.xlsx&amp;sheet=A0&amp;row=409&amp;col=7&amp;number=0&amp;sourceID=14","0")</f>
        <v>0</v>
      </c>
    </row>
    <row r="410" spans="1:7">
      <c r="A410" s="3">
        <v>18</v>
      </c>
      <c r="B410" s="3">
        <v>8</v>
      </c>
      <c r="C410" s="3">
        <v>75</v>
      </c>
      <c r="D410" s="3">
        <v>6</v>
      </c>
      <c r="E410" s="3">
        <v>-41.515</v>
      </c>
      <c r="F410" s="4" t="str">
        <f>HYPERLINK("http://141.218.60.56/~jnz1568/getInfo.php?workbook=18_08.xlsx&amp;sheet=A0&amp;row=410&amp;col=6&amp;number=250700&amp;sourceID=14","250700")</f>
        <v>250700</v>
      </c>
      <c r="G410" s="4" t="str">
        <f>HYPERLINK("http://141.218.60.56/~jnz1568/getInfo.php?workbook=18_08.xlsx&amp;sheet=A0&amp;row=410&amp;col=7&amp;number=0&amp;sourceID=14","0")</f>
        <v>0</v>
      </c>
    </row>
    <row r="411" spans="1:7">
      <c r="A411" s="3">
        <v>18</v>
      </c>
      <c r="B411" s="3">
        <v>8</v>
      </c>
      <c r="C411" s="3">
        <v>76</v>
      </c>
      <c r="D411" s="3">
        <v>6</v>
      </c>
      <c r="E411" s="3">
        <v>-41.51</v>
      </c>
      <c r="F411" s="4" t="str">
        <f>HYPERLINK("http://141.218.60.56/~jnz1568/getInfo.php?workbook=18_08.xlsx&amp;sheet=A0&amp;row=411&amp;col=6&amp;number=2695000&amp;sourceID=14","2695000")</f>
        <v>2695000</v>
      </c>
      <c r="G411" s="4" t="str">
        <f>HYPERLINK("http://141.218.60.56/~jnz1568/getInfo.php?workbook=18_08.xlsx&amp;sheet=A0&amp;row=411&amp;col=7&amp;number=0&amp;sourceID=14","0")</f>
        <v>0</v>
      </c>
    </row>
    <row r="412" spans="1:7">
      <c r="A412" s="3">
        <v>18</v>
      </c>
      <c r="B412" s="3">
        <v>8</v>
      </c>
      <c r="C412" s="3">
        <v>77</v>
      </c>
      <c r="D412" s="3">
        <v>6</v>
      </c>
      <c r="E412" s="3">
        <v>41.394</v>
      </c>
      <c r="F412" s="4" t="str">
        <f>HYPERLINK("http://141.218.60.56/~jnz1568/getInfo.php?workbook=18_08.xlsx&amp;sheet=A0&amp;row=412&amp;col=6&amp;number=10.31&amp;sourceID=14","10.31")</f>
        <v>10.31</v>
      </c>
      <c r="G412" s="4" t="str">
        <f>HYPERLINK("http://141.218.60.56/~jnz1568/getInfo.php?workbook=18_08.xlsx&amp;sheet=A0&amp;row=412&amp;col=7&amp;number=0&amp;sourceID=14","0")</f>
        <v>0</v>
      </c>
    </row>
    <row r="413" spans="1:7">
      <c r="A413" s="3">
        <v>18</v>
      </c>
      <c r="B413" s="3">
        <v>8</v>
      </c>
      <c r="C413" s="3">
        <v>78</v>
      </c>
      <c r="D413" s="3">
        <v>6</v>
      </c>
      <c r="E413" s="3">
        <v>-41.5</v>
      </c>
      <c r="F413" s="4" t="str">
        <f>HYPERLINK("http://141.218.60.56/~jnz1568/getInfo.php?workbook=18_08.xlsx&amp;sheet=A0&amp;row=413&amp;col=6&amp;number=5246000&amp;sourceID=14","5246000")</f>
        <v>5246000</v>
      </c>
      <c r="G413" s="4" t="str">
        <f>HYPERLINK("http://141.218.60.56/~jnz1568/getInfo.php?workbook=18_08.xlsx&amp;sheet=A0&amp;row=413&amp;col=7&amp;number=0&amp;sourceID=14","0")</f>
        <v>0</v>
      </c>
    </row>
    <row r="414" spans="1:7">
      <c r="A414" s="3">
        <v>18</v>
      </c>
      <c r="B414" s="3">
        <v>8</v>
      </c>
      <c r="C414" s="3">
        <v>79</v>
      </c>
      <c r="D414" s="3">
        <v>6</v>
      </c>
      <c r="E414" s="3">
        <v>-41.449</v>
      </c>
      <c r="F414" s="4" t="str">
        <f>HYPERLINK("http://141.218.60.56/~jnz1568/getInfo.php?workbook=18_08.xlsx&amp;sheet=A0&amp;row=414&amp;col=6&amp;number=3386000&amp;sourceID=14","3386000")</f>
        <v>3386000</v>
      </c>
      <c r="G414" s="4" t="str">
        <f>HYPERLINK("http://141.218.60.56/~jnz1568/getInfo.php?workbook=18_08.xlsx&amp;sheet=A0&amp;row=414&amp;col=7&amp;number=0&amp;sourceID=14","0")</f>
        <v>0</v>
      </c>
    </row>
    <row r="415" spans="1:7">
      <c r="A415" s="3">
        <v>18</v>
      </c>
      <c r="B415" s="3">
        <v>8</v>
      </c>
      <c r="C415" s="3">
        <v>80</v>
      </c>
      <c r="D415" s="3">
        <v>6</v>
      </c>
      <c r="E415" s="3">
        <v>-41.416</v>
      </c>
      <c r="F415" s="4" t="str">
        <f>HYPERLINK("http://141.218.60.56/~jnz1568/getInfo.php?workbook=18_08.xlsx&amp;sheet=A0&amp;row=415&amp;col=6&amp;number=1098000&amp;sourceID=14","1098000")</f>
        <v>1098000</v>
      </c>
      <c r="G415" s="4" t="str">
        <f>HYPERLINK("http://141.218.60.56/~jnz1568/getInfo.php?workbook=18_08.xlsx&amp;sheet=A0&amp;row=415&amp;col=7&amp;number=0&amp;sourceID=14","0")</f>
        <v>0</v>
      </c>
    </row>
    <row r="416" spans="1:7">
      <c r="A416" s="3">
        <v>18</v>
      </c>
      <c r="B416" s="3">
        <v>8</v>
      </c>
      <c r="C416" s="3">
        <v>81</v>
      </c>
      <c r="D416" s="3">
        <v>6</v>
      </c>
      <c r="E416" s="3">
        <v>41.056</v>
      </c>
      <c r="F416" s="4" t="str">
        <f>HYPERLINK("http://141.218.60.56/~jnz1568/getInfo.php?workbook=18_08.xlsx&amp;sheet=A0&amp;row=416&amp;col=6&amp;number=1382000&amp;sourceID=14","1382000")</f>
        <v>1382000</v>
      </c>
      <c r="G416" s="4" t="str">
        <f>HYPERLINK("http://141.218.60.56/~jnz1568/getInfo.php?workbook=18_08.xlsx&amp;sheet=A0&amp;row=416&amp;col=7&amp;number=0&amp;sourceID=14","0")</f>
        <v>0</v>
      </c>
    </row>
    <row r="417" spans="1:7">
      <c r="A417" s="3">
        <v>18</v>
      </c>
      <c r="B417" s="3">
        <v>8</v>
      </c>
      <c r="C417" s="3">
        <v>82</v>
      </c>
      <c r="D417" s="3">
        <v>6</v>
      </c>
      <c r="E417" s="3">
        <v>40.991</v>
      </c>
      <c r="F417" s="4" t="str">
        <f>HYPERLINK("http://141.218.60.56/~jnz1568/getInfo.php?workbook=18_08.xlsx&amp;sheet=A0&amp;row=417&amp;col=6&amp;number=1680000&amp;sourceID=14","1680000")</f>
        <v>1680000</v>
      </c>
      <c r="G417" s="4" t="str">
        <f>HYPERLINK("http://141.218.60.56/~jnz1568/getInfo.php?workbook=18_08.xlsx&amp;sheet=A0&amp;row=417&amp;col=7&amp;number=0&amp;sourceID=14","0")</f>
        <v>0</v>
      </c>
    </row>
    <row r="418" spans="1:7">
      <c r="A418" s="3">
        <v>18</v>
      </c>
      <c r="B418" s="3">
        <v>8</v>
      </c>
      <c r="C418" s="3">
        <v>83</v>
      </c>
      <c r="D418" s="3">
        <v>6</v>
      </c>
      <c r="E418" s="3">
        <v>40.827</v>
      </c>
      <c r="F418" s="4" t="str">
        <f>HYPERLINK("http://141.218.60.56/~jnz1568/getInfo.php?workbook=18_08.xlsx&amp;sheet=A0&amp;row=418&amp;col=6&amp;number=738600&amp;sourceID=14","738600")</f>
        <v>738600</v>
      </c>
      <c r="G418" s="4" t="str">
        <f>HYPERLINK("http://141.218.60.56/~jnz1568/getInfo.php?workbook=18_08.xlsx&amp;sheet=A0&amp;row=418&amp;col=7&amp;number=0&amp;sourceID=14","0")</f>
        <v>0</v>
      </c>
    </row>
    <row r="419" spans="1:7">
      <c r="A419" s="3">
        <v>18</v>
      </c>
      <c r="B419" s="3">
        <v>8</v>
      </c>
      <c r="C419" s="3">
        <v>84</v>
      </c>
      <c r="D419" s="3">
        <v>6</v>
      </c>
      <c r="E419" s="3">
        <v>40.986</v>
      </c>
      <c r="F419" s="4" t="str">
        <f>HYPERLINK("http://141.218.60.56/~jnz1568/getInfo.php?workbook=18_08.xlsx&amp;sheet=A0&amp;row=419&amp;col=6&amp;number=524200&amp;sourceID=14","524200")</f>
        <v>524200</v>
      </c>
      <c r="G419" s="4" t="str">
        <f>HYPERLINK("http://141.218.60.56/~jnz1568/getInfo.php?workbook=18_08.xlsx&amp;sheet=A0&amp;row=419&amp;col=7&amp;number=0&amp;sourceID=14","0")</f>
        <v>0</v>
      </c>
    </row>
    <row r="420" spans="1:7">
      <c r="A420" s="3">
        <v>18</v>
      </c>
      <c r="B420" s="3">
        <v>8</v>
      </c>
      <c r="C420" s="3">
        <v>85</v>
      </c>
      <c r="D420" s="3">
        <v>6</v>
      </c>
      <c r="E420" s="3">
        <v>40.732</v>
      </c>
      <c r="F420" s="4" t="str">
        <f>HYPERLINK("http://141.218.60.56/~jnz1568/getInfo.php?workbook=18_08.xlsx&amp;sheet=A0&amp;row=420&amp;col=6&amp;number=135700&amp;sourceID=14","135700")</f>
        <v>135700</v>
      </c>
      <c r="G420" s="4" t="str">
        <f>HYPERLINK("http://141.218.60.56/~jnz1568/getInfo.php?workbook=18_08.xlsx&amp;sheet=A0&amp;row=420&amp;col=7&amp;number=0&amp;sourceID=14","0")</f>
        <v>0</v>
      </c>
    </row>
    <row r="421" spans="1:7">
      <c r="A421" s="3">
        <v>18</v>
      </c>
      <c r="B421" s="3">
        <v>8</v>
      </c>
      <c r="C421" s="3">
        <v>86</v>
      </c>
      <c r="D421" s="3">
        <v>6</v>
      </c>
      <c r="E421" s="3">
        <v>40.229</v>
      </c>
      <c r="F421" s="4" t="str">
        <f>HYPERLINK("http://141.218.60.56/~jnz1568/getInfo.php?workbook=18_08.xlsx&amp;sheet=A0&amp;row=421&amp;col=6&amp;number=38450&amp;sourceID=14","38450")</f>
        <v>38450</v>
      </c>
      <c r="G421" s="4" t="str">
        <f>HYPERLINK("http://141.218.60.56/~jnz1568/getInfo.php?workbook=18_08.xlsx&amp;sheet=A0&amp;row=421&amp;col=7&amp;number=0&amp;sourceID=14","0")</f>
        <v>0</v>
      </c>
    </row>
    <row r="422" spans="1:7">
      <c r="A422" s="3">
        <v>18</v>
      </c>
      <c r="B422" s="3">
        <v>8</v>
      </c>
      <c r="C422" s="3">
        <v>8</v>
      </c>
      <c r="D422" s="3">
        <v>7</v>
      </c>
      <c r="E422" s="3">
        <v>14240.957</v>
      </c>
      <c r="F422" s="4" t="str">
        <f>HYPERLINK("http://141.218.60.56/~jnz1568/getInfo.php?workbook=18_08.xlsx&amp;sheet=A0&amp;row=422&amp;col=6&amp;number=18.64&amp;sourceID=14","18.64")</f>
        <v>18.64</v>
      </c>
      <c r="G422" s="4" t="str">
        <f>HYPERLINK("http://141.218.60.56/~jnz1568/getInfo.php?workbook=18_08.xlsx&amp;sheet=A0&amp;row=422&amp;col=7&amp;number=0&amp;sourceID=14","0")</f>
        <v>0</v>
      </c>
    </row>
    <row r="423" spans="1:7">
      <c r="A423" s="3">
        <v>18</v>
      </c>
      <c r="B423" s="3">
        <v>8</v>
      </c>
      <c r="C423" s="3">
        <v>9</v>
      </c>
      <c r="D423" s="3">
        <v>7</v>
      </c>
      <c r="E423" s="3">
        <v>530.712</v>
      </c>
      <c r="F423" s="4" t="str">
        <f>HYPERLINK("http://141.218.60.56/~jnz1568/getInfo.php?workbook=18_08.xlsx&amp;sheet=A0&amp;row=423&amp;col=6&amp;number=196.6&amp;sourceID=14","196.6")</f>
        <v>196.6</v>
      </c>
      <c r="G423" s="4" t="str">
        <f>HYPERLINK("http://141.218.60.56/~jnz1568/getInfo.php?workbook=18_08.xlsx&amp;sheet=A0&amp;row=423&amp;col=7&amp;number=0&amp;sourceID=14","0")</f>
        <v>0</v>
      </c>
    </row>
    <row r="424" spans="1:7">
      <c r="A424" s="3">
        <v>18</v>
      </c>
      <c r="B424" s="3">
        <v>8</v>
      </c>
      <c r="C424" s="3">
        <v>10</v>
      </c>
      <c r="D424" s="3">
        <v>7</v>
      </c>
      <c r="E424" s="3">
        <v>144.178</v>
      </c>
      <c r="F424" s="4" t="str">
        <f>HYPERLINK("http://141.218.60.56/~jnz1568/getInfo.php?workbook=18_08.xlsx&amp;sheet=A0&amp;row=424&amp;col=6&amp;number=371100000&amp;sourceID=14","371100000")</f>
        <v>371100000</v>
      </c>
      <c r="G424" s="4" t="str">
        <f>HYPERLINK("http://141.218.60.56/~jnz1568/getInfo.php?workbook=18_08.xlsx&amp;sheet=A0&amp;row=424&amp;col=7&amp;number=0&amp;sourceID=14","0")</f>
        <v>0</v>
      </c>
    </row>
    <row r="425" spans="1:7">
      <c r="A425" s="3">
        <v>18</v>
      </c>
      <c r="B425" s="3">
        <v>8</v>
      </c>
      <c r="C425" s="3">
        <v>11</v>
      </c>
      <c r="D425" s="3">
        <v>7</v>
      </c>
      <c r="E425" s="3">
        <v>51.51</v>
      </c>
      <c r="F425" s="4" t="str">
        <f>HYPERLINK("http://141.218.60.56/~jnz1568/getInfo.php?workbook=18_08.xlsx&amp;sheet=A0&amp;row=425&amp;col=6&amp;number=1331&amp;sourceID=14","1331")</f>
        <v>1331</v>
      </c>
      <c r="G425" s="4" t="str">
        <f>HYPERLINK("http://141.218.60.56/~jnz1568/getInfo.php?workbook=18_08.xlsx&amp;sheet=A0&amp;row=425&amp;col=7&amp;number=0&amp;sourceID=14","0")</f>
        <v>0</v>
      </c>
    </row>
    <row r="426" spans="1:7">
      <c r="A426" s="3">
        <v>18</v>
      </c>
      <c r="B426" s="3">
        <v>8</v>
      </c>
      <c r="C426" s="3">
        <v>12</v>
      </c>
      <c r="D426" s="3">
        <v>7</v>
      </c>
      <c r="E426" s="3">
        <v>50.529</v>
      </c>
      <c r="F426" s="4" t="str">
        <f>HYPERLINK("http://141.218.60.56/~jnz1568/getInfo.php?workbook=18_08.xlsx&amp;sheet=A0&amp;row=426&amp;col=6&amp;number=8.394&amp;sourceID=14","8.394")</f>
        <v>8.394</v>
      </c>
      <c r="G426" s="4" t="str">
        <f>HYPERLINK("http://141.218.60.56/~jnz1568/getInfo.php?workbook=18_08.xlsx&amp;sheet=A0&amp;row=426&amp;col=7&amp;number=0&amp;sourceID=14","0")</f>
        <v>0</v>
      </c>
    </row>
    <row r="427" spans="1:7">
      <c r="A427" s="3">
        <v>18</v>
      </c>
      <c r="B427" s="3">
        <v>8</v>
      </c>
      <c r="C427" s="3">
        <v>13</v>
      </c>
      <c r="D427" s="3">
        <v>7</v>
      </c>
      <c r="E427" s="3">
        <v>48.895</v>
      </c>
      <c r="F427" s="4" t="str">
        <f>HYPERLINK("http://141.218.60.56/~jnz1568/getInfo.php?workbook=18_08.xlsx&amp;sheet=A0&amp;row=427&amp;col=6&amp;number=457500&amp;sourceID=14","457500")</f>
        <v>457500</v>
      </c>
      <c r="G427" s="4" t="str">
        <f>HYPERLINK("http://141.218.60.56/~jnz1568/getInfo.php?workbook=18_08.xlsx&amp;sheet=A0&amp;row=427&amp;col=7&amp;number=0&amp;sourceID=14","0")</f>
        <v>0</v>
      </c>
    </row>
    <row r="428" spans="1:7">
      <c r="A428" s="3">
        <v>18</v>
      </c>
      <c r="B428" s="3">
        <v>8</v>
      </c>
      <c r="C428" s="3">
        <v>14</v>
      </c>
      <c r="D428" s="3">
        <v>7</v>
      </c>
      <c r="E428" s="3">
        <v>48.865</v>
      </c>
      <c r="F428" s="4" t="str">
        <f>HYPERLINK("http://141.218.60.56/~jnz1568/getInfo.php?workbook=18_08.xlsx&amp;sheet=A0&amp;row=428&amp;col=6&amp;number=14850&amp;sourceID=14","14850")</f>
        <v>14850</v>
      </c>
      <c r="G428" s="4" t="str">
        <f>HYPERLINK("http://141.218.60.56/~jnz1568/getInfo.php?workbook=18_08.xlsx&amp;sheet=A0&amp;row=428&amp;col=7&amp;number=0&amp;sourceID=14","0")</f>
        <v>0</v>
      </c>
    </row>
    <row r="429" spans="1:7">
      <c r="A429" s="3">
        <v>18</v>
      </c>
      <c r="B429" s="3">
        <v>8</v>
      </c>
      <c r="C429" s="3">
        <v>15</v>
      </c>
      <c r="D429" s="3">
        <v>7</v>
      </c>
      <c r="E429" s="3">
        <v>48.835</v>
      </c>
      <c r="F429" s="4" t="str">
        <f>HYPERLINK("http://141.218.60.56/~jnz1568/getInfo.php?workbook=18_08.xlsx&amp;sheet=A0&amp;row=429&amp;col=6&amp;number=244200&amp;sourceID=14","244200")</f>
        <v>244200</v>
      </c>
      <c r="G429" s="4" t="str">
        <f>HYPERLINK("http://141.218.60.56/~jnz1568/getInfo.php?workbook=18_08.xlsx&amp;sheet=A0&amp;row=429&amp;col=7&amp;number=0&amp;sourceID=14","0")</f>
        <v>0</v>
      </c>
    </row>
    <row r="430" spans="1:7">
      <c r="A430" s="3">
        <v>18</v>
      </c>
      <c r="B430" s="3">
        <v>8</v>
      </c>
      <c r="C430" s="3">
        <v>16</v>
      </c>
      <c r="D430" s="3">
        <v>7</v>
      </c>
      <c r="E430" s="3">
        <v>48.492</v>
      </c>
      <c r="F430" s="4" t="str">
        <f>HYPERLINK("http://141.218.60.56/~jnz1568/getInfo.php?workbook=18_08.xlsx&amp;sheet=A0&amp;row=430&amp;col=6&amp;number=35770&amp;sourceID=14","35770")</f>
        <v>35770</v>
      </c>
      <c r="G430" s="4" t="str">
        <f>HYPERLINK("http://141.218.60.56/~jnz1568/getInfo.php?workbook=18_08.xlsx&amp;sheet=A0&amp;row=430&amp;col=7&amp;number=0&amp;sourceID=14","0")</f>
        <v>0</v>
      </c>
    </row>
    <row r="431" spans="1:7">
      <c r="A431" s="3">
        <v>18</v>
      </c>
      <c r="B431" s="3">
        <v>8</v>
      </c>
      <c r="C431" s="3">
        <v>17</v>
      </c>
      <c r="D431" s="3">
        <v>7</v>
      </c>
      <c r="E431" s="3">
        <v>48.143</v>
      </c>
      <c r="F431" s="4" t="str">
        <f>HYPERLINK("http://141.218.60.56/~jnz1568/getInfo.php?workbook=18_08.xlsx&amp;sheet=A0&amp;row=431&amp;col=6&amp;number=33740000&amp;sourceID=14","33740000")</f>
        <v>33740000</v>
      </c>
      <c r="G431" s="4" t="str">
        <f>HYPERLINK("http://141.218.60.56/~jnz1568/getInfo.php?workbook=18_08.xlsx&amp;sheet=A0&amp;row=431&amp;col=7&amp;number=0&amp;sourceID=14","0")</f>
        <v>0</v>
      </c>
    </row>
    <row r="432" spans="1:7">
      <c r="A432" s="3">
        <v>18</v>
      </c>
      <c r="B432" s="3">
        <v>8</v>
      </c>
      <c r="C432" s="3">
        <v>18</v>
      </c>
      <c r="D432" s="3">
        <v>7</v>
      </c>
      <c r="E432" s="3">
        <v>48.117</v>
      </c>
      <c r="F432" s="4" t="str">
        <f>HYPERLINK("http://141.218.60.56/~jnz1568/getInfo.php?workbook=18_08.xlsx&amp;sheet=A0&amp;row=432&amp;col=6&amp;number=14800000&amp;sourceID=14","14800000")</f>
        <v>14800000</v>
      </c>
      <c r="G432" s="4" t="str">
        <f>HYPERLINK("http://141.218.60.56/~jnz1568/getInfo.php?workbook=18_08.xlsx&amp;sheet=A0&amp;row=432&amp;col=7&amp;number=0&amp;sourceID=14","0")</f>
        <v>0</v>
      </c>
    </row>
    <row r="433" spans="1:7">
      <c r="A433" s="3">
        <v>18</v>
      </c>
      <c r="B433" s="3">
        <v>8</v>
      </c>
      <c r="C433" s="3">
        <v>19</v>
      </c>
      <c r="D433" s="3">
        <v>7</v>
      </c>
      <c r="E433" s="3">
        <v>48.061</v>
      </c>
      <c r="F433" s="4" t="str">
        <f>HYPERLINK("http://141.218.60.56/~jnz1568/getInfo.php?workbook=18_08.xlsx&amp;sheet=A0&amp;row=433&amp;col=6&amp;number=2.486&amp;sourceID=14","2.486")</f>
        <v>2.486</v>
      </c>
      <c r="G433" s="4" t="str">
        <f>HYPERLINK("http://141.218.60.56/~jnz1568/getInfo.php?workbook=18_08.xlsx&amp;sheet=A0&amp;row=433&amp;col=7&amp;number=0&amp;sourceID=14","0")</f>
        <v>0</v>
      </c>
    </row>
    <row r="434" spans="1:7">
      <c r="A434" s="3">
        <v>18</v>
      </c>
      <c r="B434" s="3">
        <v>8</v>
      </c>
      <c r="C434" s="3">
        <v>20</v>
      </c>
      <c r="D434" s="3">
        <v>7</v>
      </c>
      <c r="E434" s="3">
        <v>-47.733</v>
      </c>
      <c r="F434" s="4" t="str">
        <f>HYPERLINK("http://141.218.60.56/~jnz1568/getInfo.php?workbook=18_08.xlsx&amp;sheet=A0&amp;row=434&amp;col=6&amp;number=54050000&amp;sourceID=14","54050000")</f>
        <v>54050000</v>
      </c>
      <c r="G434" s="4" t="str">
        <f>HYPERLINK("http://141.218.60.56/~jnz1568/getInfo.php?workbook=18_08.xlsx&amp;sheet=A0&amp;row=434&amp;col=7&amp;number=0&amp;sourceID=14","0")</f>
        <v>0</v>
      </c>
    </row>
    <row r="435" spans="1:7">
      <c r="A435" s="3">
        <v>18</v>
      </c>
      <c r="B435" s="3">
        <v>8</v>
      </c>
      <c r="C435" s="3">
        <v>21</v>
      </c>
      <c r="D435" s="3">
        <v>7</v>
      </c>
      <c r="E435" s="3">
        <v>-47.705</v>
      </c>
      <c r="F435" s="4" t="str">
        <f>HYPERLINK("http://141.218.60.56/~jnz1568/getInfo.php?workbook=18_08.xlsx&amp;sheet=A0&amp;row=435&amp;col=6&amp;number=285800000&amp;sourceID=14","285800000")</f>
        <v>285800000</v>
      </c>
      <c r="G435" s="4" t="str">
        <f>HYPERLINK("http://141.218.60.56/~jnz1568/getInfo.php?workbook=18_08.xlsx&amp;sheet=A0&amp;row=435&amp;col=7&amp;number=0&amp;sourceID=14","0")</f>
        <v>0</v>
      </c>
    </row>
    <row r="436" spans="1:7">
      <c r="A436" s="3">
        <v>18</v>
      </c>
      <c r="B436" s="3">
        <v>8</v>
      </c>
      <c r="C436" s="3">
        <v>22</v>
      </c>
      <c r="D436" s="3">
        <v>7</v>
      </c>
      <c r="E436" s="3">
        <v>-47.692</v>
      </c>
      <c r="F436" s="4" t="str">
        <f>HYPERLINK("http://141.218.60.56/~jnz1568/getInfo.php?workbook=18_08.xlsx&amp;sheet=A0&amp;row=436&amp;col=6&amp;number=585100000&amp;sourceID=14","585100000")</f>
        <v>585100000</v>
      </c>
      <c r="G436" s="4" t="str">
        <f>HYPERLINK("http://141.218.60.56/~jnz1568/getInfo.php?workbook=18_08.xlsx&amp;sheet=A0&amp;row=436&amp;col=7&amp;number=0&amp;sourceID=14","0")</f>
        <v>0</v>
      </c>
    </row>
    <row r="437" spans="1:7">
      <c r="A437" s="3">
        <v>18</v>
      </c>
      <c r="B437" s="3">
        <v>8</v>
      </c>
      <c r="C437" s="3">
        <v>23</v>
      </c>
      <c r="D437" s="3">
        <v>7</v>
      </c>
      <c r="E437" s="3">
        <v>-48.039</v>
      </c>
      <c r="F437" s="4" t="str">
        <f>HYPERLINK("http://141.218.60.56/~jnz1568/getInfo.php?workbook=18_08.xlsx&amp;sheet=A0&amp;row=437&amp;col=6&amp;number=1.185&amp;sourceID=14","1.185")</f>
        <v>1.185</v>
      </c>
      <c r="G437" s="4" t="str">
        <f>HYPERLINK("http://141.218.60.56/~jnz1568/getInfo.php?workbook=18_08.xlsx&amp;sheet=A0&amp;row=437&amp;col=7&amp;number=0&amp;sourceID=14","0")</f>
        <v>0</v>
      </c>
    </row>
    <row r="438" spans="1:7">
      <c r="A438" s="3">
        <v>18</v>
      </c>
      <c r="B438" s="3">
        <v>8</v>
      </c>
      <c r="C438" s="3">
        <v>24</v>
      </c>
      <c r="D438" s="3">
        <v>7</v>
      </c>
      <c r="E438" s="3">
        <v>-48.002</v>
      </c>
      <c r="F438" s="4" t="str">
        <f>HYPERLINK("http://141.218.60.56/~jnz1568/getInfo.php?workbook=18_08.xlsx&amp;sheet=A0&amp;row=438&amp;col=6&amp;number=227400&amp;sourceID=14","227400")</f>
        <v>227400</v>
      </c>
      <c r="G438" s="4" t="str">
        <f>HYPERLINK("http://141.218.60.56/~jnz1568/getInfo.php?workbook=18_08.xlsx&amp;sheet=A0&amp;row=438&amp;col=7&amp;number=0&amp;sourceID=14","0")</f>
        <v>0</v>
      </c>
    </row>
    <row r="439" spans="1:7">
      <c r="A439" s="3">
        <v>18</v>
      </c>
      <c r="B439" s="3">
        <v>8</v>
      </c>
      <c r="C439" s="3">
        <v>25</v>
      </c>
      <c r="D439" s="3">
        <v>7</v>
      </c>
      <c r="E439" s="3">
        <v>47.554</v>
      </c>
      <c r="F439" s="4" t="str">
        <f>HYPERLINK("http://141.218.60.56/~jnz1568/getInfo.php?workbook=18_08.xlsx&amp;sheet=A0&amp;row=439&amp;col=6&amp;number=269000&amp;sourceID=14","269000")</f>
        <v>269000</v>
      </c>
      <c r="G439" s="4" t="str">
        <f>HYPERLINK("http://141.218.60.56/~jnz1568/getInfo.php?workbook=18_08.xlsx&amp;sheet=A0&amp;row=439&amp;col=7&amp;number=0&amp;sourceID=14","0")</f>
        <v>0</v>
      </c>
    </row>
    <row r="440" spans="1:7">
      <c r="A440" s="3">
        <v>18</v>
      </c>
      <c r="B440" s="3">
        <v>8</v>
      </c>
      <c r="C440" s="3">
        <v>26</v>
      </c>
      <c r="D440" s="3">
        <v>7</v>
      </c>
      <c r="E440" s="3">
        <v>47.442</v>
      </c>
      <c r="F440" s="4" t="str">
        <f>HYPERLINK("http://141.218.60.56/~jnz1568/getInfo.php?workbook=18_08.xlsx&amp;sheet=A0&amp;row=440&amp;col=6&amp;number=30600&amp;sourceID=14","30600")</f>
        <v>30600</v>
      </c>
      <c r="G440" s="4" t="str">
        <f>HYPERLINK("http://141.218.60.56/~jnz1568/getInfo.php?workbook=18_08.xlsx&amp;sheet=A0&amp;row=440&amp;col=7&amp;number=0&amp;sourceID=14","0")</f>
        <v>0</v>
      </c>
    </row>
    <row r="441" spans="1:7">
      <c r="A441" s="3">
        <v>18</v>
      </c>
      <c r="B441" s="3">
        <v>8</v>
      </c>
      <c r="C441" s="3">
        <v>27</v>
      </c>
      <c r="D441" s="3">
        <v>7</v>
      </c>
      <c r="E441" s="3">
        <v>-46.234</v>
      </c>
      <c r="F441" s="4" t="str">
        <f>HYPERLINK("http://141.218.60.56/~jnz1568/getInfo.php?workbook=18_08.xlsx&amp;sheet=A0&amp;row=441&amp;col=6&amp;number=5401000&amp;sourceID=14","5401000")</f>
        <v>5401000</v>
      </c>
      <c r="G441" s="4" t="str">
        <f>HYPERLINK("http://141.218.60.56/~jnz1568/getInfo.php?workbook=18_08.xlsx&amp;sheet=A0&amp;row=441&amp;col=7&amp;number=0&amp;sourceID=14","0")</f>
        <v>0</v>
      </c>
    </row>
    <row r="442" spans="1:7">
      <c r="A442" s="3">
        <v>18</v>
      </c>
      <c r="B442" s="3">
        <v>8</v>
      </c>
      <c r="C442" s="3">
        <v>28</v>
      </c>
      <c r="D442" s="3">
        <v>7</v>
      </c>
      <c r="E442" s="3">
        <v>-46.305</v>
      </c>
      <c r="F442" s="4" t="str">
        <f>HYPERLINK("http://141.218.60.56/~jnz1568/getInfo.php?workbook=18_08.xlsx&amp;sheet=A0&amp;row=442&amp;col=6&amp;number=604700000&amp;sourceID=14","604700000")</f>
        <v>604700000</v>
      </c>
      <c r="G442" s="4" t="str">
        <f>HYPERLINK("http://141.218.60.56/~jnz1568/getInfo.php?workbook=18_08.xlsx&amp;sheet=A0&amp;row=442&amp;col=7&amp;number=0&amp;sourceID=14","0")</f>
        <v>0</v>
      </c>
    </row>
    <row r="443" spans="1:7">
      <c r="A443" s="3">
        <v>18</v>
      </c>
      <c r="B443" s="3">
        <v>8</v>
      </c>
      <c r="C443" s="3">
        <v>29</v>
      </c>
      <c r="D443" s="3">
        <v>7</v>
      </c>
      <c r="E443" s="3">
        <v>-46.218</v>
      </c>
      <c r="F443" s="4" t="str">
        <f>HYPERLINK("http://141.218.60.56/~jnz1568/getInfo.php?workbook=18_08.xlsx&amp;sheet=A0&amp;row=443&amp;col=6&amp;number=50.83&amp;sourceID=14","50.83")</f>
        <v>50.83</v>
      </c>
      <c r="G443" s="4" t="str">
        <f>HYPERLINK("http://141.218.60.56/~jnz1568/getInfo.php?workbook=18_08.xlsx&amp;sheet=A0&amp;row=443&amp;col=7&amp;number=0&amp;sourceID=14","0")</f>
        <v>0</v>
      </c>
    </row>
    <row r="444" spans="1:7">
      <c r="A444" s="3">
        <v>18</v>
      </c>
      <c r="B444" s="3">
        <v>8</v>
      </c>
      <c r="C444" s="3">
        <v>30</v>
      </c>
      <c r="D444" s="3">
        <v>7</v>
      </c>
      <c r="E444" s="3">
        <v>-46.489</v>
      </c>
      <c r="F444" s="4" t="str">
        <f>HYPERLINK("http://141.218.60.56/~jnz1568/getInfo.php?workbook=18_08.xlsx&amp;sheet=A0&amp;row=444&amp;col=6&amp;number=404000000&amp;sourceID=14","404000000")</f>
        <v>404000000</v>
      </c>
      <c r="G444" s="4" t="str">
        <f>HYPERLINK("http://141.218.60.56/~jnz1568/getInfo.php?workbook=18_08.xlsx&amp;sheet=A0&amp;row=444&amp;col=7&amp;number=0&amp;sourceID=14","0")</f>
        <v>0</v>
      </c>
    </row>
    <row r="445" spans="1:7">
      <c r="A445" s="3">
        <v>18</v>
      </c>
      <c r="B445" s="3">
        <v>8</v>
      </c>
      <c r="C445" s="3">
        <v>31</v>
      </c>
      <c r="D445" s="3">
        <v>7</v>
      </c>
      <c r="E445" s="3">
        <v>-46.086</v>
      </c>
      <c r="F445" s="4" t="str">
        <f>HYPERLINK("http://141.218.60.56/~jnz1568/getInfo.php?workbook=18_08.xlsx&amp;sheet=A0&amp;row=445&amp;col=6&amp;number=304400000&amp;sourceID=14","304400000")</f>
        <v>304400000</v>
      </c>
      <c r="G445" s="4" t="str">
        <f>HYPERLINK("http://141.218.60.56/~jnz1568/getInfo.php?workbook=18_08.xlsx&amp;sheet=A0&amp;row=445&amp;col=7&amp;number=0&amp;sourceID=14","0")</f>
        <v>0</v>
      </c>
    </row>
    <row r="446" spans="1:7">
      <c r="A446" s="3">
        <v>18</v>
      </c>
      <c r="B446" s="3">
        <v>8</v>
      </c>
      <c r="C446" s="3">
        <v>32</v>
      </c>
      <c r="D446" s="3">
        <v>7</v>
      </c>
      <c r="E446" s="3">
        <v>-46.025</v>
      </c>
      <c r="F446" s="4" t="str">
        <f>HYPERLINK("http://141.218.60.56/~jnz1568/getInfo.php?workbook=18_08.xlsx&amp;sheet=A0&amp;row=446&amp;col=6&amp;number=22.73&amp;sourceID=14","22.73")</f>
        <v>22.73</v>
      </c>
      <c r="G446" s="4" t="str">
        <f>HYPERLINK("http://141.218.60.56/~jnz1568/getInfo.php?workbook=18_08.xlsx&amp;sheet=A0&amp;row=446&amp;col=7&amp;number=0&amp;sourceID=14","0")</f>
        <v>0</v>
      </c>
    </row>
    <row r="447" spans="1:7">
      <c r="A447" s="3">
        <v>18</v>
      </c>
      <c r="B447" s="3">
        <v>8</v>
      </c>
      <c r="C447" s="3">
        <v>34</v>
      </c>
      <c r="D447" s="3">
        <v>7</v>
      </c>
      <c r="E447" s="3">
        <v>-45.892</v>
      </c>
      <c r="F447" s="4" t="str">
        <f>HYPERLINK("http://141.218.60.56/~jnz1568/getInfo.php?workbook=18_08.xlsx&amp;sheet=A0&amp;row=447&amp;col=6&amp;number=5.939&amp;sourceID=14","5.939")</f>
        <v>5.939</v>
      </c>
      <c r="G447" s="4" t="str">
        <f>HYPERLINK("http://141.218.60.56/~jnz1568/getInfo.php?workbook=18_08.xlsx&amp;sheet=A0&amp;row=447&amp;col=7&amp;number=0&amp;sourceID=14","0")</f>
        <v>0</v>
      </c>
    </row>
    <row r="448" spans="1:7">
      <c r="A448" s="3">
        <v>18</v>
      </c>
      <c r="B448" s="3">
        <v>8</v>
      </c>
      <c r="C448" s="3">
        <v>35</v>
      </c>
      <c r="D448" s="3">
        <v>7</v>
      </c>
      <c r="E448" s="3">
        <v>-45.202</v>
      </c>
      <c r="F448" s="4" t="str">
        <f>HYPERLINK("http://141.218.60.56/~jnz1568/getInfo.php?workbook=18_08.xlsx&amp;sheet=A0&amp;row=448&amp;col=6&amp;number=16150000000&amp;sourceID=14","16150000000")</f>
        <v>16150000000</v>
      </c>
      <c r="G448" s="4" t="str">
        <f>HYPERLINK("http://141.218.60.56/~jnz1568/getInfo.php?workbook=18_08.xlsx&amp;sheet=A0&amp;row=448&amp;col=7&amp;number=0&amp;sourceID=14","0")</f>
        <v>0</v>
      </c>
    </row>
    <row r="449" spans="1:7">
      <c r="A449" s="3">
        <v>18</v>
      </c>
      <c r="B449" s="3">
        <v>8</v>
      </c>
      <c r="C449" s="3">
        <v>36</v>
      </c>
      <c r="D449" s="3">
        <v>7</v>
      </c>
      <c r="E449" s="3">
        <v>-45.003</v>
      </c>
      <c r="F449" s="4" t="str">
        <f>HYPERLINK("http://141.218.60.56/~jnz1568/getInfo.php?workbook=18_08.xlsx&amp;sheet=A0&amp;row=449&amp;col=6&amp;number=8576000000&amp;sourceID=14","8576000000")</f>
        <v>8576000000</v>
      </c>
      <c r="G449" s="4" t="str">
        <f>HYPERLINK("http://141.218.60.56/~jnz1568/getInfo.php?workbook=18_08.xlsx&amp;sheet=A0&amp;row=449&amp;col=7&amp;number=0&amp;sourceID=14","0")</f>
        <v>0</v>
      </c>
    </row>
    <row r="450" spans="1:7">
      <c r="A450" s="3">
        <v>18</v>
      </c>
      <c r="B450" s="3">
        <v>8</v>
      </c>
      <c r="C450" s="3">
        <v>37</v>
      </c>
      <c r="D450" s="3">
        <v>7</v>
      </c>
      <c r="E450" s="3">
        <v>44.888</v>
      </c>
      <c r="F450" s="4" t="str">
        <f>HYPERLINK("http://141.218.60.56/~jnz1568/getInfo.php?workbook=18_08.xlsx&amp;sheet=A0&amp;row=450&amp;col=6&amp;number=2643000000&amp;sourceID=14","2643000000")</f>
        <v>2643000000</v>
      </c>
      <c r="G450" s="4" t="str">
        <f>HYPERLINK("http://141.218.60.56/~jnz1568/getInfo.php?workbook=18_08.xlsx&amp;sheet=A0&amp;row=450&amp;col=7&amp;number=0&amp;sourceID=14","0")</f>
        <v>0</v>
      </c>
    </row>
    <row r="451" spans="1:7">
      <c r="A451" s="3">
        <v>18</v>
      </c>
      <c r="B451" s="3">
        <v>8</v>
      </c>
      <c r="C451" s="3">
        <v>38</v>
      </c>
      <c r="D451" s="3">
        <v>7</v>
      </c>
      <c r="E451" s="3">
        <v>-44.752</v>
      </c>
      <c r="F451" s="4" t="str">
        <f>HYPERLINK("http://141.218.60.56/~jnz1568/getInfo.php?workbook=18_08.xlsx&amp;sheet=A0&amp;row=451&amp;col=6&amp;number=19.25&amp;sourceID=14","19.25")</f>
        <v>19.25</v>
      </c>
      <c r="G451" s="4" t="str">
        <f>HYPERLINK("http://141.218.60.56/~jnz1568/getInfo.php?workbook=18_08.xlsx&amp;sheet=A0&amp;row=451&amp;col=7&amp;number=0&amp;sourceID=14","0")</f>
        <v>0</v>
      </c>
    </row>
    <row r="452" spans="1:7">
      <c r="A452" s="3">
        <v>18</v>
      </c>
      <c r="B452" s="3">
        <v>8</v>
      </c>
      <c r="C452" s="3">
        <v>39</v>
      </c>
      <c r="D452" s="3">
        <v>7</v>
      </c>
      <c r="E452" s="3">
        <v>-44.75</v>
      </c>
      <c r="F452" s="4" t="str">
        <f>HYPERLINK("http://141.218.60.56/~jnz1568/getInfo.php?workbook=18_08.xlsx&amp;sheet=A0&amp;row=452&amp;col=6&amp;number=2893&amp;sourceID=14","2893")</f>
        <v>2893</v>
      </c>
      <c r="G452" s="4" t="str">
        <f>HYPERLINK("http://141.218.60.56/~jnz1568/getInfo.php?workbook=18_08.xlsx&amp;sheet=A0&amp;row=452&amp;col=7&amp;number=0&amp;sourceID=14","0")</f>
        <v>0</v>
      </c>
    </row>
    <row r="453" spans="1:7">
      <c r="A453" s="3">
        <v>18</v>
      </c>
      <c r="B453" s="3">
        <v>8</v>
      </c>
      <c r="C453" s="3">
        <v>40</v>
      </c>
      <c r="D453" s="3">
        <v>7</v>
      </c>
      <c r="E453" s="3">
        <v>44.664</v>
      </c>
      <c r="F453" s="4" t="str">
        <f>HYPERLINK("http://141.218.60.56/~jnz1568/getInfo.php?workbook=18_08.xlsx&amp;sheet=A0&amp;row=453&amp;col=6&amp;number=1567&amp;sourceID=14","1567")</f>
        <v>1567</v>
      </c>
      <c r="G453" s="4" t="str">
        <f>HYPERLINK("http://141.218.60.56/~jnz1568/getInfo.php?workbook=18_08.xlsx&amp;sheet=A0&amp;row=453&amp;col=7&amp;number=0&amp;sourceID=14","0")</f>
        <v>0</v>
      </c>
    </row>
    <row r="454" spans="1:7">
      <c r="A454" s="3">
        <v>18</v>
      </c>
      <c r="B454" s="3">
        <v>8</v>
      </c>
      <c r="C454" s="3">
        <v>41</v>
      </c>
      <c r="D454" s="3">
        <v>7</v>
      </c>
      <c r="E454" s="3">
        <v>-44.742</v>
      </c>
      <c r="F454" s="4" t="str">
        <f>HYPERLINK("http://141.218.60.56/~jnz1568/getInfo.php?workbook=18_08.xlsx&amp;sheet=A0&amp;row=454&amp;col=6&amp;number=1104&amp;sourceID=14","1104")</f>
        <v>1104</v>
      </c>
      <c r="G454" s="4" t="str">
        <f>HYPERLINK("http://141.218.60.56/~jnz1568/getInfo.php?workbook=18_08.xlsx&amp;sheet=A0&amp;row=454&amp;col=7&amp;number=0&amp;sourceID=14","0")</f>
        <v>0</v>
      </c>
    </row>
    <row r="455" spans="1:7">
      <c r="A455" s="3">
        <v>18</v>
      </c>
      <c r="B455" s="3">
        <v>8</v>
      </c>
      <c r="C455" s="3">
        <v>43</v>
      </c>
      <c r="D455" s="3">
        <v>7</v>
      </c>
      <c r="E455" s="3">
        <v>-44.997</v>
      </c>
      <c r="F455" s="4" t="str">
        <f>HYPERLINK("http://141.218.60.56/~jnz1568/getInfo.php?workbook=18_08.xlsx&amp;sheet=A0&amp;row=455&amp;col=6&amp;number=7971000000&amp;sourceID=14","7971000000")</f>
        <v>7971000000</v>
      </c>
      <c r="G455" s="4" t="str">
        <f>HYPERLINK("http://141.218.60.56/~jnz1568/getInfo.php?workbook=18_08.xlsx&amp;sheet=A0&amp;row=455&amp;col=7&amp;number=0&amp;sourceID=14","0")</f>
        <v>0</v>
      </c>
    </row>
    <row r="456" spans="1:7">
      <c r="A456" s="3">
        <v>18</v>
      </c>
      <c r="B456" s="3">
        <v>8</v>
      </c>
      <c r="C456" s="3">
        <v>44</v>
      </c>
      <c r="D456" s="3">
        <v>7</v>
      </c>
      <c r="E456" s="3">
        <v>-45.347</v>
      </c>
      <c r="F456" s="4" t="str">
        <f>HYPERLINK("http://141.218.60.56/~jnz1568/getInfo.php?workbook=18_08.xlsx&amp;sheet=A0&amp;row=456&amp;col=6&amp;number=918000000&amp;sourceID=14","918000000")</f>
        <v>918000000</v>
      </c>
      <c r="G456" s="4" t="str">
        <f>HYPERLINK("http://141.218.60.56/~jnz1568/getInfo.php?workbook=18_08.xlsx&amp;sheet=A0&amp;row=456&amp;col=7&amp;number=0&amp;sourceID=14","0")</f>
        <v>0</v>
      </c>
    </row>
    <row r="457" spans="1:7">
      <c r="A457" s="3">
        <v>18</v>
      </c>
      <c r="B457" s="3">
        <v>8</v>
      </c>
      <c r="C457" s="3">
        <v>45</v>
      </c>
      <c r="D457" s="3">
        <v>7</v>
      </c>
      <c r="E457" s="3">
        <v>-45.037</v>
      </c>
      <c r="F457" s="4" t="str">
        <f>HYPERLINK("http://141.218.60.56/~jnz1568/getInfo.php?workbook=18_08.xlsx&amp;sheet=A0&amp;row=457&amp;col=6&amp;number=3830000000&amp;sourceID=14","3830000000")</f>
        <v>3830000000</v>
      </c>
      <c r="G457" s="4" t="str">
        <f>HYPERLINK("http://141.218.60.56/~jnz1568/getInfo.php?workbook=18_08.xlsx&amp;sheet=A0&amp;row=457&amp;col=7&amp;number=0&amp;sourceID=14","0")</f>
        <v>0</v>
      </c>
    </row>
    <row r="458" spans="1:7">
      <c r="A458" s="3">
        <v>18</v>
      </c>
      <c r="B458" s="3">
        <v>8</v>
      </c>
      <c r="C458" s="3">
        <v>46</v>
      </c>
      <c r="D458" s="3">
        <v>7</v>
      </c>
      <c r="E458" s="3">
        <v>-44.818</v>
      </c>
      <c r="F458" s="4" t="str">
        <f>HYPERLINK("http://141.218.60.56/~jnz1568/getInfo.php?workbook=18_08.xlsx&amp;sheet=A0&amp;row=458&amp;col=6&amp;number=89880000&amp;sourceID=14","89880000")</f>
        <v>89880000</v>
      </c>
      <c r="G458" s="4" t="str">
        <f>HYPERLINK("http://141.218.60.56/~jnz1568/getInfo.php?workbook=18_08.xlsx&amp;sheet=A0&amp;row=458&amp;col=7&amp;number=0&amp;sourceID=14","0")</f>
        <v>0</v>
      </c>
    </row>
    <row r="459" spans="1:7">
      <c r="A459" s="3">
        <v>18</v>
      </c>
      <c r="B459" s="3">
        <v>8</v>
      </c>
      <c r="C459" s="3">
        <v>47</v>
      </c>
      <c r="D459" s="3">
        <v>7</v>
      </c>
      <c r="E459" s="3">
        <v>-44.925</v>
      </c>
      <c r="F459" s="4" t="str">
        <f>HYPERLINK("http://141.218.60.56/~jnz1568/getInfo.php?workbook=18_08.xlsx&amp;sheet=A0&amp;row=459&amp;col=6&amp;number=98.22&amp;sourceID=14","98.22")</f>
        <v>98.22</v>
      </c>
      <c r="G459" s="4" t="str">
        <f>HYPERLINK("http://141.218.60.56/~jnz1568/getInfo.php?workbook=18_08.xlsx&amp;sheet=A0&amp;row=459&amp;col=7&amp;number=0&amp;sourceID=14","0")</f>
        <v>0</v>
      </c>
    </row>
    <row r="460" spans="1:7">
      <c r="A460" s="3">
        <v>18</v>
      </c>
      <c r="B460" s="3">
        <v>8</v>
      </c>
      <c r="C460" s="3">
        <v>48</v>
      </c>
      <c r="D460" s="3">
        <v>7</v>
      </c>
      <c r="E460" s="3">
        <v>-44.733</v>
      </c>
      <c r="F460" s="4" t="str">
        <f>HYPERLINK("http://141.218.60.56/~jnz1568/getInfo.php?workbook=18_08.xlsx&amp;sheet=A0&amp;row=460&amp;col=6&amp;number=2724000000&amp;sourceID=14","2724000000")</f>
        <v>2724000000</v>
      </c>
      <c r="G460" s="4" t="str">
        <f>HYPERLINK("http://141.218.60.56/~jnz1568/getInfo.php?workbook=18_08.xlsx&amp;sheet=A0&amp;row=460&amp;col=7&amp;number=0&amp;sourceID=14","0")</f>
        <v>0</v>
      </c>
    </row>
    <row r="461" spans="1:7">
      <c r="A461" s="3">
        <v>18</v>
      </c>
      <c r="B461" s="3">
        <v>8</v>
      </c>
      <c r="C461" s="3">
        <v>49</v>
      </c>
      <c r="D461" s="3">
        <v>7</v>
      </c>
      <c r="E461" s="3">
        <v>-44.524</v>
      </c>
      <c r="F461" s="4" t="str">
        <f>HYPERLINK("http://141.218.60.56/~jnz1568/getInfo.php?workbook=18_08.xlsx&amp;sheet=A0&amp;row=461&amp;col=6&amp;number=557500000&amp;sourceID=14","557500000")</f>
        <v>557500000</v>
      </c>
      <c r="G461" s="4" t="str">
        <f>HYPERLINK("http://141.218.60.56/~jnz1568/getInfo.php?workbook=18_08.xlsx&amp;sheet=A0&amp;row=461&amp;col=7&amp;number=0&amp;sourceID=14","0")</f>
        <v>0</v>
      </c>
    </row>
    <row r="462" spans="1:7">
      <c r="A462" s="3">
        <v>18</v>
      </c>
      <c r="B462" s="3">
        <v>8</v>
      </c>
      <c r="C462" s="3">
        <v>50</v>
      </c>
      <c r="D462" s="3">
        <v>7</v>
      </c>
      <c r="E462" s="3">
        <v>-44.466</v>
      </c>
      <c r="F462" s="4" t="str">
        <f>HYPERLINK("http://141.218.60.56/~jnz1568/getInfo.php?workbook=18_08.xlsx&amp;sheet=A0&amp;row=462&amp;col=6&amp;number=1400000000&amp;sourceID=14","1400000000")</f>
        <v>1400000000</v>
      </c>
      <c r="G462" s="4" t="str">
        <f>HYPERLINK("http://141.218.60.56/~jnz1568/getInfo.php?workbook=18_08.xlsx&amp;sheet=A0&amp;row=462&amp;col=7&amp;number=0&amp;sourceID=14","0")</f>
        <v>0</v>
      </c>
    </row>
    <row r="463" spans="1:7">
      <c r="A463" s="3">
        <v>18</v>
      </c>
      <c r="B463" s="3">
        <v>8</v>
      </c>
      <c r="C463" s="3">
        <v>51</v>
      </c>
      <c r="D463" s="3">
        <v>7</v>
      </c>
      <c r="E463" s="3">
        <v>43.777</v>
      </c>
      <c r="F463" s="4" t="str">
        <f>HYPERLINK("http://141.218.60.56/~jnz1568/getInfo.php?workbook=18_08.xlsx&amp;sheet=A0&amp;row=463&amp;col=6&amp;number=1716&amp;sourceID=14","1716")</f>
        <v>1716</v>
      </c>
      <c r="G463" s="4" t="str">
        <f>HYPERLINK("http://141.218.60.56/~jnz1568/getInfo.php?workbook=18_08.xlsx&amp;sheet=A0&amp;row=463&amp;col=7&amp;number=0&amp;sourceID=14","0")</f>
        <v>0</v>
      </c>
    </row>
    <row r="464" spans="1:7">
      <c r="A464" s="3">
        <v>18</v>
      </c>
      <c r="B464" s="3">
        <v>8</v>
      </c>
      <c r="C464" s="3">
        <v>52</v>
      </c>
      <c r="D464" s="3">
        <v>7</v>
      </c>
      <c r="E464" s="3">
        <v>43.8</v>
      </c>
      <c r="F464" s="4" t="str">
        <f>HYPERLINK("http://141.218.60.56/~jnz1568/getInfo.php?workbook=18_08.xlsx&amp;sheet=A0&amp;row=464&amp;col=6&amp;number=150800&amp;sourceID=14","150800")</f>
        <v>150800</v>
      </c>
      <c r="G464" s="4" t="str">
        <f>HYPERLINK("http://141.218.60.56/~jnz1568/getInfo.php?workbook=18_08.xlsx&amp;sheet=A0&amp;row=464&amp;col=7&amp;number=0&amp;sourceID=14","0")</f>
        <v>0</v>
      </c>
    </row>
    <row r="465" spans="1:7">
      <c r="A465" s="3">
        <v>18</v>
      </c>
      <c r="B465" s="3">
        <v>8</v>
      </c>
      <c r="C465" s="3">
        <v>53</v>
      </c>
      <c r="D465" s="3">
        <v>7</v>
      </c>
      <c r="E465" s="3">
        <v>-44.439</v>
      </c>
      <c r="F465" s="4" t="str">
        <f>HYPERLINK("http://141.218.60.56/~jnz1568/getInfo.php?workbook=18_08.xlsx&amp;sheet=A0&amp;row=465&amp;col=6&amp;number=11520000000&amp;sourceID=14","11520000000")</f>
        <v>11520000000</v>
      </c>
      <c r="G465" s="4" t="str">
        <f>HYPERLINK("http://141.218.60.56/~jnz1568/getInfo.php?workbook=18_08.xlsx&amp;sheet=A0&amp;row=465&amp;col=7&amp;number=0&amp;sourceID=14","0")</f>
        <v>0</v>
      </c>
    </row>
    <row r="466" spans="1:7">
      <c r="A466" s="3">
        <v>18</v>
      </c>
      <c r="B466" s="3">
        <v>8</v>
      </c>
      <c r="C466" s="3">
        <v>54</v>
      </c>
      <c r="D466" s="3">
        <v>7</v>
      </c>
      <c r="E466" s="3">
        <v>43.777</v>
      </c>
      <c r="F466" s="4" t="str">
        <f>HYPERLINK("http://141.218.60.56/~jnz1568/getInfo.php?workbook=18_08.xlsx&amp;sheet=A0&amp;row=466&amp;col=6&amp;number=166300&amp;sourceID=14","166300")</f>
        <v>166300</v>
      </c>
      <c r="G466" s="4" t="str">
        <f>HYPERLINK("http://141.218.60.56/~jnz1568/getInfo.php?workbook=18_08.xlsx&amp;sheet=A0&amp;row=466&amp;col=7&amp;number=0&amp;sourceID=14","0")</f>
        <v>0</v>
      </c>
    </row>
    <row r="467" spans="1:7">
      <c r="A467" s="3">
        <v>18</v>
      </c>
      <c r="B467" s="3">
        <v>8</v>
      </c>
      <c r="C467" s="3">
        <v>55</v>
      </c>
      <c r="D467" s="3">
        <v>7</v>
      </c>
      <c r="E467" s="3">
        <v>-43.862</v>
      </c>
      <c r="F467" s="4" t="str">
        <f>HYPERLINK("http://141.218.60.56/~jnz1568/getInfo.php?workbook=18_08.xlsx&amp;sheet=A0&amp;row=467&amp;col=6&amp;number=143300000&amp;sourceID=14","143300000")</f>
        <v>143300000</v>
      </c>
      <c r="G467" s="4" t="str">
        <f>HYPERLINK("http://141.218.60.56/~jnz1568/getInfo.php?workbook=18_08.xlsx&amp;sheet=A0&amp;row=467&amp;col=7&amp;number=0&amp;sourceID=14","0")</f>
        <v>0</v>
      </c>
    </row>
    <row r="468" spans="1:7">
      <c r="A468" s="3">
        <v>18</v>
      </c>
      <c r="B468" s="3">
        <v>8</v>
      </c>
      <c r="C468" s="3">
        <v>56</v>
      </c>
      <c r="D468" s="3">
        <v>7</v>
      </c>
      <c r="E468" s="3">
        <v>42.624</v>
      </c>
      <c r="F468" s="4" t="str">
        <f>HYPERLINK("http://141.218.60.56/~jnz1568/getInfo.php?workbook=18_08.xlsx&amp;sheet=A0&amp;row=468&amp;col=6&amp;number=4753&amp;sourceID=14","4753")</f>
        <v>4753</v>
      </c>
      <c r="G468" s="4" t="str">
        <f>HYPERLINK("http://141.218.60.56/~jnz1568/getInfo.php?workbook=18_08.xlsx&amp;sheet=A0&amp;row=468&amp;col=7&amp;number=0&amp;sourceID=14","0")</f>
        <v>0</v>
      </c>
    </row>
    <row r="469" spans="1:7">
      <c r="A469" s="3">
        <v>18</v>
      </c>
      <c r="B469" s="3">
        <v>8</v>
      </c>
      <c r="C469" s="3">
        <v>57</v>
      </c>
      <c r="D469" s="3">
        <v>7</v>
      </c>
      <c r="E469" s="3">
        <v>-42.893</v>
      </c>
      <c r="F469" s="4" t="str">
        <f>HYPERLINK("http://141.218.60.56/~jnz1568/getInfo.php?workbook=18_08.xlsx&amp;sheet=A0&amp;row=469&amp;col=6&amp;number=51110&amp;sourceID=14","51110")</f>
        <v>51110</v>
      </c>
      <c r="G469" s="4" t="str">
        <f>HYPERLINK("http://141.218.60.56/~jnz1568/getInfo.php?workbook=18_08.xlsx&amp;sheet=A0&amp;row=469&amp;col=7&amp;number=0&amp;sourceID=14","0")</f>
        <v>0</v>
      </c>
    </row>
    <row r="470" spans="1:7">
      <c r="A470" s="3">
        <v>18</v>
      </c>
      <c r="B470" s="3">
        <v>8</v>
      </c>
      <c r="C470" s="3">
        <v>58</v>
      </c>
      <c r="D470" s="3">
        <v>7</v>
      </c>
      <c r="E470" s="3">
        <v>-42.843</v>
      </c>
      <c r="F470" s="4" t="str">
        <f>HYPERLINK("http://141.218.60.56/~jnz1568/getInfo.php?workbook=18_08.xlsx&amp;sheet=A0&amp;row=470&amp;col=6&amp;number=15.26&amp;sourceID=14","15.26")</f>
        <v>15.26</v>
      </c>
      <c r="G470" s="4" t="str">
        <f>HYPERLINK("http://141.218.60.56/~jnz1568/getInfo.php?workbook=18_08.xlsx&amp;sheet=A0&amp;row=470&amp;col=7&amp;number=0&amp;sourceID=14","0")</f>
        <v>0</v>
      </c>
    </row>
    <row r="471" spans="1:7">
      <c r="A471" s="3">
        <v>18</v>
      </c>
      <c r="B471" s="3">
        <v>8</v>
      </c>
      <c r="C471" s="3">
        <v>60</v>
      </c>
      <c r="D471" s="3">
        <v>7</v>
      </c>
      <c r="E471" s="3">
        <v>-42.69</v>
      </c>
      <c r="F471" s="4" t="str">
        <f>HYPERLINK("http://141.218.60.56/~jnz1568/getInfo.php?workbook=18_08.xlsx&amp;sheet=A0&amp;row=471&amp;col=6&amp;number=80410&amp;sourceID=14","80410")</f>
        <v>80410</v>
      </c>
      <c r="G471" s="4" t="str">
        <f>HYPERLINK("http://141.218.60.56/~jnz1568/getInfo.php?workbook=18_08.xlsx&amp;sheet=A0&amp;row=471&amp;col=7&amp;number=0&amp;sourceID=14","0")</f>
        <v>0</v>
      </c>
    </row>
    <row r="472" spans="1:7">
      <c r="A472" s="3">
        <v>18</v>
      </c>
      <c r="B472" s="3">
        <v>8</v>
      </c>
      <c r="C472" s="3">
        <v>64</v>
      </c>
      <c r="D472" s="3">
        <v>7</v>
      </c>
      <c r="E472" s="3">
        <v>42.198</v>
      </c>
      <c r="F472" s="4" t="str">
        <f>HYPERLINK("http://141.218.60.56/~jnz1568/getInfo.php?workbook=18_08.xlsx&amp;sheet=A0&amp;row=472&amp;col=6&amp;number=70850&amp;sourceID=14","70850")</f>
        <v>70850</v>
      </c>
      <c r="G472" s="4" t="str">
        <f>HYPERLINK("http://141.218.60.56/~jnz1568/getInfo.php?workbook=18_08.xlsx&amp;sheet=A0&amp;row=472&amp;col=7&amp;number=0&amp;sourceID=14","0")</f>
        <v>0</v>
      </c>
    </row>
    <row r="473" spans="1:7">
      <c r="A473" s="3">
        <v>18</v>
      </c>
      <c r="B473" s="3">
        <v>8</v>
      </c>
      <c r="C473" s="3">
        <v>65</v>
      </c>
      <c r="D473" s="3">
        <v>7</v>
      </c>
      <c r="E473" s="3">
        <v>-42.901</v>
      </c>
      <c r="F473" s="4" t="str">
        <f>HYPERLINK("http://141.218.60.56/~jnz1568/getInfo.php?workbook=18_08.xlsx&amp;sheet=A0&amp;row=473&amp;col=6&amp;number=890900000&amp;sourceID=14","890900000")</f>
        <v>890900000</v>
      </c>
      <c r="G473" s="4" t="str">
        <f>HYPERLINK("http://141.218.60.56/~jnz1568/getInfo.php?workbook=18_08.xlsx&amp;sheet=A0&amp;row=473&amp;col=7&amp;number=0&amp;sourceID=14","0")</f>
        <v>0</v>
      </c>
    </row>
    <row r="474" spans="1:7">
      <c r="A474" s="3">
        <v>18</v>
      </c>
      <c r="B474" s="3">
        <v>8</v>
      </c>
      <c r="C474" s="3">
        <v>66</v>
      </c>
      <c r="D474" s="3">
        <v>7</v>
      </c>
      <c r="E474" s="3">
        <v>42.205</v>
      </c>
      <c r="F474" s="4" t="str">
        <f>HYPERLINK("http://141.218.60.56/~jnz1568/getInfo.php?workbook=18_08.xlsx&amp;sheet=A0&amp;row=474&amp;col=6&amp;number=38880&amp;sourceID=14","38880")</f>
        <v>38880</v>
      </c>
      <c r="G474" s="4" t="str">
        <f>HYPERLINK("http://141.218.60.56/~jnz1568/getInfo.php?workbook=18_08.xlsx&amp;sheet=A0&amp;row=474&amp;col=7&amp;number=0&amp;sourceID=14","0")</f>
        <v>0</v>
      </c>
    </row>
    <row r="475" spans="1:7">
      <c r="A475" s="3">
        <v>18</v>
      </c>
      <c r="B475" s="3">
        <v>8</v>
      </c>
      <c r="C475" s="3">
        <v>67</v>
      </c>
      <c r="D475" s="3">
        <v>7</v>
      </c>
      <c r="E475" s="3">
        <v>42.36</v>
      </c>
      <c r="F475" s="4" t="str">
        <f>HYPERLINK("http://141.218.60.56/~jnz1568/getInfo.php?workbook=18_08.xlsx&amp;sheet=A0&amp;row=475&amp;col=6&amp;number=1092&amp;sourceID=14","1092")</f>
        <v>1092</v>
      </c>
      <c r="G475" s="4" t="str">
        <f>HYPERLINK("http://141.218.60.56/~jnz1568/getInfo.php?workbook=18_08.xlsx&amp;sheet=A0&amp;row=475&amp;col=7&amp;number=0&amp;sourceID=14","0")</f>
        <v>0</v>
      </c>
    </row>
    <row r="476" spans="1:7">
      <c r="A476" s="3">
        <v>18</v>
      </c>
      <c r="B476" s="3">
        <v>8</v>
      </c>
      <c r="C476" s="3">
        <v>68</v>
      </c>
      <c r="D476" s="3">
        <v>7</v>
      </c>
      <c r="E476" s="3">
        <v>42.177</v>
      </c>
      <c r="F476" s="4" t="str">
        <f>HYPERLINK("http://141.218.60.56/~jnz1568/getInfo.php?workbook=18_08.xlsx&amp;sheet=A0&amp;row=476&amp;col=6&amp;number=5044&amp;sourceID=14","5044")</f>
        <v>5044</v>
      </c>
      <c r="G476" s="4" t="str">
        <f>HYPERLINK("http://141.218.60.56/~jnz1568/getInfo.php?workbook=18_08.xlsx&amp;sheet=A0&amp;row=476&amp;col=7&amp;number=0&amp;sourceID=14","0")</f>
        <v>0</v>
      </c>
    </row>
    <row r="477" spans="1:7">
      <c r="A477" s="3">
        <v>18</v>
      </c>
      <c r="B477" s="3">
        <v>8</v>
      </c>
      <c r="C477" s="3">
        <v>69</v>
      </c>
      <c r="D477" s="3">
        <v>7</v>
      </c>
      <c r="E477" s="3">
        <v>42.017</v>
      </c>
      <c r="F477" s="4" t="str">
        <f>HYPERLINK("http://141.218.60.56/~jnz1568/getInfo.php?workbook=18_08.xlsx&amp;sheet=A0&amp;row=477&amp;col=6&amp;number=63610&amp;sourceID=14","63610")</f>
        <v>63610</v>
      </c>
      <c r="G477" s="4" t="str">
        <f>HYPERLINK("http://141.218.60.56/~jnz1568/getInfo.php?workbook=18_08.xlsx&amp;sheet=A0&amp;row=477&amp;col=7&amp;number=0&amp;sourceID=14","0")</f>
        <v>0</v>
      </c>
    </row>
    <row r="478" spans="1:7">
      <c r="A478" s="3">
        <v>18</v>
      </c>
      <c r="B478" s="3">
        <v>8</v>
      </c>
      <c r="C478" s="3">
        <v>70</v>
      </c>
      <c r="D478" s="3">
        <v>7</v>
      </c>
      <c r="E478" s="3">
        <v>-42.139</v>
      </c>
      <c r="F478" s="4" t="str">
        <f>HYPERLINK("http://141.218.60.56/~jnz1568/getInfo.php?workbook=18_08.xlsx&amp;sheet=A0&amp;row=478&amp;col=6&amp;number=4.364&amp;sourceID=14","4.364")</f>
        <v>4.364</v>
      </c>
      <c r="G478" s="4" t="str">
        <f>HYPERLINK("http://141.218.60.56/~jnz1568/getInfo.php?workbook=18_08.xlsx&amp;sheet=A0&amp;row=478&amp;col=7&amp;number=0&amp;sourceID=14","0")</f>
        <v>0</v>
      </c>
    </row>
    <row r="479" spans="1:7">
      <c r="A479" s="3">
        <v>18</v>
      </c>
      <c r="B479" s="3">
        <v>8</v>
      </c>
      <c r="C479" s="3">
        <v>71</v>
      </c>
      <c r="D479" s="3">
        <v>7</v>
      </c>
      <c r="E479" s="3">
        <v>41.817</v>
      </c>
      <c r="F479" s="4" t="str">
        <f>HYPERLINK("http://141.218.60.56/~jnz1568/getInfo.php?workbook=18_08.xlsx&amp;sheet=A0&amp;row=479&amp;col=6&amp;number=73340&amp;sourceID=14","73340")</f>
        <v>73340</v>
      </c>
      <c r="G479" s="4" t="str">
        <f>HYPERLINK("http://141.218.60.56/~jnz1568/getInfo.php?workbook=18_08.xlsx&amp;sheet=A0&amp;row=479&amp;col=7&amp;number=0&amp;sourceID=14","0")</f>
        <v>0</v>
      </c>
    </row>
    <row r="480" spans="1:7">
      <c r="A480" s="3">
        <v>18</v>
      </c>
      <c r="B480" s="3">
        <v>8</v>
      </c>
      <c r="C480" s="3">
        <v>72</v>
      </c>
      <c r="D480" s="3">
        <v>7</v>
      </c>
      <c r="E480" s="3">
        <v>42.017</v>
      </c>
      <c r="F480" s="4" t="str">
        <f>HYPERLINK("http://141.218.60.56/~jnz1568/getInfo.php?workbook=18_08.xlsx&amp;sheet=A0&amp;row=480&amp;col=6&amp;number=118000&amp;sourceID=14","118000")</f>
        <v>118000</v>
      </c>
      <c r="G480" s="4" t="str">
        <f>HYPERLINK("http://141.218.60.56/~jnz1568/getInfo.php?workbook=18_08.xlsx&amp;sheet=A0&amp;row=480&amp;col=7&amp;number=0&amp;sourceID=14","0")</f>
        <v>0</v>
      </c>
    </row>
    <row r="481" spans="1:7">
      <c r="A481" s="3">
        <v>18</v>
      </c>
      <c r="B481" s="3">
        <v>8</v>
      </c>
      <c r="C481" s="3">
        <v>73</v>
      </c>
      <c r="D481" s="3">
        <v>7</v>
      </c>
      <c r="E481" s="3">
        <v>41.817</v>
      </c>
      <c r="F481" s="4" t="str">
        <f>HYPERLINK("http://141.218.60.56/~jnz1568/getInfo.php?workbook=18_08.xlsx&amp;sheet=A0&amp;row=481&amp;col=6&amp;number=208800&amp;sourceID=14","208800")</f>
        <v>208800</v>
      </c>
      <c r="G481" s="4" t="str">
        <f>HYPERLINK("http://141.218.60.56/~jnz1568/getInfo.php?workbook=18_08.xlsx&amp;sheet=A0&amp;row=481&amp;col=7&amp;number=0&amp;sourceID=14","0")</f>
        <v>0</v>
      </c>
    </row>
    <row r="482" spans="1:7">
      <c r="A482" s="3">
        <v>18</v>
      </c>
      <c r="B482" s="3">
        <v>8</v>
      </c>
      <c r="C482" s="3">
        <v>74</v>
      </c>
      <c r="D482" s="3">
        <v>7</v>
      </c>
      <c r="E482" s="3">
        <v>41.607</v>
      </c>
      <c r="F482" s="4" t="str">
        <f>HYPERLINK("http://141.218.60.56/~jnz1568/getInfo.php?workbook=18_08.xlsx&amp;sheet=A0&amp;row=482&amp;col=6&amp;number=848300&amp;sourceID=14","848300")</f>
        <v>848300</v>
      </c>
      <c r="G482" s="4" t="str">
        <f>HYPERLINK("http://141.218.60.56/~jnz1568/getInfo.php?workbook=18_08.xlsx&amp;sheet=A0&amp;row=482&amp;col=7&amp;number=0&amp;sourceID=14","0")</f>
        <v>0</v>
      </c>
    </row>
    <row r="483" spans="1:7">
      <c r="A483" s="3">
        <v>18</v>
      </c>
      <c r="B483" s="3">
        <v>8</v>
      </c>
      <c r="C483" s="3">
        <v>75</v>
      </c>
      <c r="D483" s="3">
        <v>7</v>
      </c>
      <c r="E483" s="3">
        <v>-41.733</v>
      </c>
      <c r="F483" s="4" t="str">
        <f>HYPERLINK("http://141.218.60.56/~jnz1568/getInfo.php?workbook=18_08.xlsx&amp;sheet=A0&amp;row=483&amp;col=6&amp;number=703100&amp;sourceID=14","703100")</f>
        <v>703100</v>
      </c>
      <c r="G483" s="4" t="str">
        <f>HYPERLINK("http://141.218.60.56/~jnz1568/getInfo.php?workbook=18_08.xlsx&amp;sheet=A0&amp;row=483&amp;col=7&amp;number=0&amp;sourceID=14","0")</f>
        <v>0</v>
      </c>
    </row>
    <row r="484" spans="1:7">
      <c r="A484" s="3">
        <v>18</v>
      </c>
      <c r="B484" s="3">
        <v>8</v>
      </c>
      <c r="C484" s="3">
        <v>77</v>
      </c>
      <c r="D484" s="3">
        <v>7</v>
      </c>
      <c r="E484" s="3">
        <v>41.606</v>
      </c>
      <c r="F484" s="4" t="str">
        <f>HYPERLINK("http://141.218.60.56/~jnz1568/getInfo.php?workbook=18_08.xlsx&amp;sheet=A0&amp;row=484&amp;col=6&amp;number=1476000&amp;sourceID=14","1476000")</f>
        <v>1476000</v>
      </c>
      <c r="G484" s="4" t="str">
        <f>HYPERLINK("http://141.218.60.56/~jnz1568/getInfo.php?workbook=18_08.xlsx&amp;sheet=A0&amp;row=484&amp;col=7&amp;number=0&amp;sourceID=14","0")</f>
        <v>0</v>
      </c>
    </row>
    <row r="485" spans="1:7">
      <c r="A485" s="3">
        <v>18</v>
      </c>
      <c r="B485" s="3">
        <v>8</v>
      </c>
      <c r="C485" s="3">
        <v>78</v>
      </c>
      <c r="D485" s="3">
        <v>7</v>
      </c>
      <c r="E485" s="3">
        <v>-41.719</v>
      </c>
      <c r="F485" s="4" t="str">
        <f>HYPERLINK("http://141.218.60.56/~jnz1568/getInfo.php?workbook=18_08.xlsx&amp;sheet=A0&amp;row=485&amp;col=6&amp;number=7.482&amp;sourceID=14","7.482")</f>
        <v>7.482</v>
      </c>
      <c r="G485" s="4" t="str">
        <f>HYPERLINK("http://141.218.60.56/~jnz1568/getInfo.php?workbook=18_08.xlsx&amp;sheet=A0&amp;row=485&amp;col=7&amp;number=0&amp;sourceID=14","0")</f>
        <v>0</v>
      </c>
    </row>
    <row r="486" spans="1:7">
      <c r="A486" s="3">
        <v>18</v>
      </c>
      <c r="B486" s="3">
        <v>8</v>
      </c>
      <c r="C486" s="3">
        <v>79</v>
      </c>
      <c r="D486" s="3">
        <v>7</v>
      </c>
      <c r="E486" s="3">
        <v>-41.667</v>
      </c>
      <c r="F486" s="4" t="str">
        <f>HYPERLINK("http://141.218.60.56/~jnz1568/getInfo.php?workbook=18_08.xlsx&amp;sheet=A0&amp;row=486&amp;col=6&amp;number=1362000&amp;sourceID=14","1362000")</f>
        <v>1362000</v>
      </c>
      <c r="G486" s="4" t="str">
        <f>HYPERLINK("http://141.218.60.56/~jnz1568/getInfo.php?workbook=18_08.xlsx&amp;sheet=A0&amp;row=486&amp;col=7&amp;number=0&amp;sourceID=14","0")</f>
        <v>0</v>
      </c>
    </row>
    <row r="487" spans="1:7">
      <c r="A487" s="3">
        <v>18</v>
      </c>
      <c r="B487" s="3">
        <v>8</v>
      </c>
      <c r="C487" s="3">
        <v>80</v>
      </c>
      <c r="D487" s="3">
        <v>7</v>
      </c>
      <c r="E487" s="3">
        <v>-41.633</v>
      </c>
      <c r="F487" s="4" t="str">
        <f>HYPERLINK("http://141.218.60.56/~jnz1568/getInfo.php?workbook=18_08.xlsx&amp;sheet=A0&amp;row=487&amp;col=6&amp;number=3094000&amp;sourceID=14","3094000")</f>
        <v>3094000</v>
      </c>
      <c r="G487" s="4" t="str">
        <f>HYPERLINK("http://141.218.60.56/~jnz1568/getInfo.php?workbook=18_08.xlsx&amp;sheet=A0&amp;row=487&amp;col=7&amp;number=0&amp;sourceID=14","0")</f>
        <v>0</v>
      </c>
    </row>
    <row r="488" spans="1:7">
      <c r="A488" s="3">
        <v>18</v>
      </c>
      <c r="B488" s="3">
        <v>8</v>
      </c>
      <c r="C488" s="3">
        <v>81</v>
      </c>
      <c r="D488" s="3">
        <v>7</v>
      </c>
      <c r="E488" s="3">
        <v>41.264</v>
      </c>
      <c r="F488" s="4" t="str">
        <f>HYPERLINK("http://141.218.60.56/~jnz1568/getInfo.php?workbook=18_08.xlsx&amp;sheet=A0&amp;row=488&amp;col=6&amp;number=85830&amp;sourceID=14","85830")</f>
        <v>85830</v>
      </c>
      <c r="G488" s="4" t="str">
        <f>HYPERLINK("http://141.218.60.56/~jnz1568/getInfo.php?workbook=18_08.xlsx&amp;sheet=A0&amp;row=488&amp;col=7&amp;number=0&amp;sourceID=14","0")</f>
        <v>0</v>
      </c>
    </row>
    <row r="489" spans="1:7">
      <c r="A489" s="3">
        <v>18</v>
      </c>
      <c r="B489" s="3">
        <v>8</v>
      </c>
      <c r="C489" s="3">
        <v>82</v>
      </c>
      <c r="D489" s="3">
        <v>7</v>
      </c>
      <c r="E489" s="3">
        <v>41.198</v>
      </c>
      <c r="F489" s="4" t="str">
        <f>HYPERLINK("http://141.218.60.56/~jnz1568/getInfo.php?workbook=18_08.xlsx&amp;sheet=A0&amp;row=489&amp;col=6&amp;number=120200&amp;sourceID=14","120200")</f>
        <v>120200</v>
      </c>
      <c r="G489" s="4" t="str">
        <f>HYPERLINK("http://141.218.60.56/~jnz1568/getInfo.php?workbook=18_08.xlsx&amp;sheet=A0&amp;row=489&amp;col=7&amp;number=0&amp;sourceID=14","0")</f>
        <v>0</v>
      </c>
    </row>
    <row r="490" spans="1:7">
      <c r="A490" s="3">
        <v>18</v>
      </c>
      <c r="B490" s="3">
        <v>8</v>
      </c>
      <c r="C490" s="3">
        <v>83</v>
      </c>
      <c r="D490" s="3">
        <v>7</v>
      </c>
      <c r="E490" s="3">
        <v>41.033</v>
      </c>
      <c r="F490" s="4" t="str">
        <f>HYPERLINK("http://141.218.60.56/~jnz1568/getInfo.php?workbook=18_08.xlsx&amp;sheet=A0&amp;row=490&amp;col=6&amp;number=1552000&amp;sourceID=14","1552000")</f>
        <v>1552000</v>
      </c>
      <c r="G490" s="4" t="str">
        <f>HYPERLINK("http://141.218.60.56/~jnz1568/getInfo.php?workbook=18_08.xlsx&amp;sheet=A0&amp;row=490&amp;col=7&amp;number=0&amp;sourceID=14","0")</f>
        <v>0</v>
      </c>
    </row>
    <row r="491" spans="1:7">
      <c r="A491" s="3">
        <v>18</v>
      </c>
      <c r="B491" s="3">
        <v>8</v>
      </c>
      <c r="C491" s="3">
        <v>84</v>
      </c>
      <c r="D491" s="3">
        <v>7</v>
      </c>
      <c r="E491" s="3">
        <v>41.194</v>
      </c>
      <c r="F491" s="4" t="str">
        <f>HYPERLINK("http://141.218.60.56/~jnz1568/getInfo.php?workbook=18_08.xlsx&amp;sheet=A0&amp;row=491&amp;col=6&amp;number=125600&amp;sourceID=14","125600")</f>
        <v>125600</v>
      </c>
      <c r="G491" s="4" t="str">
        <f>HYPERLINK("http://141.218.60.56/~jnz1568/getInfo.php?workbook=18_08.xlsx&amp;sheet=A0&amp;row=491&amp;col=7&amp;number=0&amp;sourceID=14","0")</f>
        <v>0</v>
      </c>
    </row>
    <row r="492" spans="1:7">
      <c r="A492" s="3">
        <v>18</v>
      </c>
      <c r="B492" s="3">
        <v>8</v>
      </c>
      <c r="C492" s="3">
        <v>85</v>
      </c>
      <c r="D492" s="3">
        <v>7</v>
      </c>
      <c r="E492" s="3">
        <v>40.937</v>
      </c>
      <c r="F492" s="4" t="str">
        <f>HYPERLINK("http://141.218.60.56/~jnz1568/getInfo.php?workbook=18_08.xlsx&amp;sheet=A0&amp;row=492&amp;col=6&amp;number=1315&amp;sourceID=14","1315")</f>
        <v>1315</v>
      </c>
      <c r="G492" s="4" t="str">
        <f>HYPERLINK("http://141.218.60.56/~jnz1568/getInfo.php?workbook=18_08.xlsx&amp;sheet=A0&amp;row=492&amp;col=7&amp;number=0&amp;sourceID=14","0")</f>
        <v>0</v>
      </c>
    </row>
    <row r="493" spans="1:7">
      <c r="A493" s="3">
        <v>18</v>
      </c>
      <c r="B493" s="3">
        <v>8</v>
      </c>
      <c r="C493" s="3">
        <v>86</v>
      </c>
      <c r="D493" s="3">
        <v>7</v>
      </c>
      <c r="E493" s="3">
        <v>40.429</v>
      </c>
      <c r="F493" s="4" t="str">
        <f>HYPERLINK("http://141.218.60.56/~jnz1568/getInfo.php?workbook=18_08.xlsx&amp;sheet=A0&amp;row=493&amp;col=6&amp;number=41120&amp;sourceID=14","41120")</f>
        <v>41120</v>
      </c>
      <c r="G493" s="4" t="str">
        <f>HYPERLINK("http://141.218.60.56/~jnz1568/getInfo.php?workbook=18_08.xlsx&amp;sheet=A0&amp;row=493&amp;col=7&amp;number=0&amp;sourceID=14","0")</f>
        <v>0</v>
      </c>
    </row>
    <row r="494" spans="1:7">
      <c r="A494" s="3">
        <v>18</v>
      </c>
      <c r="B494" s="3">
        <v>8</v>
      </c>
      <c r="C494" s="3">
        <v>9</v>
      </c>
      <c r="D494" s="3">
        <v>8</v>
      </c>
      <c r="E494" s="3">
        <v>551.256</v>
      </c>
      <c r="F494" s="4" t="str">
        <f>HYPERLINK("http://141.218.60.56/~jnz1568/getInfo.php?workbook=18_08.xlsx&amp;sheet=A0&amp;row=494&amp;col=6&amp;number=233&amp;sourceID=14","233")</f>
        <v>233</v>
      </c>
      <c r="G494" s="4" t="str">
        <f>HYPERLINK("http://141.218.60.56/~jnz1568/getInfo.php?workbook=18_08.xlsx&amp;sheet=A0&amp;row=494&amp;col=7&amp;number=0&amp;sourceID=14","0")</f>
        <v>0</v>
      </c>
    </row>
    <row r="495" spans="1:7">
      <c r="A495" s="3">
        <v>18</v>
      </c>
      <c r="B495" s="3">
        <v>8</v>
      </c>
      <c r="C495" s="3">
        <v>11</v>
      </c>
      <c r="D495" s="3">
        <v>8</v>
      </c>
      <c r="E495" s="3">
        <v>51.697</v>
      </c>
      <c r="F495" s="4" t="str">
        <f>HYPERLINK("http://141.218.60.56/~jnz1568/getInfo.php?workbook=18_08.xlsx&amp;sheet=A0&amp;row=495&amp;col=6&amp;number=446.7&amp;sourceID=14","446.7")</f>
        <v>446.7</v>
      </c>
      <c r="G495" s="4" t="str">
        <f>HYPERLINK("http://141.218.60.56/~jnz1568/getInfo.php?workbook=18_08.xlsx&amp;sheet=A0&amp;row=495&amp;col=7&amp;number=0&amp;sourceID=14","0")</f>
        <v>0</v>
      </c>
    </row>
    <row r="496" spans="1:7">
      <c r="A496" s="3">
        <v>18</v>
      </c>
      <c r="B496" s="3">
        <v>8</v>
      </c>
      <c r="C496" s="3">
        <v>12</v>
      </c>
      <c r="D496" s="3">
        <v>8</v>
      </c>
      <c r="E496" s="3">
        <v>50.708</v>
      </c>
      <c r="F496" s="4" t="str">
        <f>HYPERLINK("http://141.218.60.56/~jnz1568/getInfo.php?workbook=18_08.xlsx&amp;sheet=A0&amp;row=496&amp;col=6&amp;number=2.991&amp;sourceID=14","2.991")</f>
        <v>2.991</v>
      </c>
      <c r="G496" s="4" t="str">
        <f>HYPERLINK("http://141.218.60.56/~jnz1568/getInfo.php?workbook=18_08.xlsx&amp;sheet=A0&amp;row=496&amp;col=7&amp;number=0&amp;sourceID=14","0")</f>
        <v>0</v>
      </c>
    </row>
    <row r="497" spans="1:7">
      <c r="A497" s="3">
        <v>18</v>
      </c>
      <c r="B497" s="3">
        <v>8</v>
      </c>
      <c r="C497" s="3">
        <v>13</v>
      </c>
      <c r="D497" s="3">
        <v>8</v>
      </c>
      <c r="E497" s="3">
        <v>49.063</v>
      </c>
      <c r="F497" s="4" t="str">
        <f>HYPERLINK("http://141.218.60.56/~jnz1568/getInfo.php?workbook=18_08.xlsx&amp;sheet=A0&amp;row=497&amp;col=6&amp;number=0.5525&amp;sourceID=14","0.5525")</f>
        <v>0.5525</v>
      </c>
      <c r="G497" s="4" t="str">
        <f>HYPERLINK("http://141.218.60.56/~jnz1568/getInfo.php?workbook=18_08.xlsx&amp;sheet=A0&amp;row=497&amp;col=7&amp;number=0&amp;sourceID=14","0")</f>
        <v>0</v>
      </c>
    </row>
    <row r="498" spans="1:7">
      <c r="A498" s="3">
        <v>18</v>
      </c>
      <c r="B498" s="3">
        <v>8</v>
      </c>
      <c r="C498" s="3">
        <v>14</v>
      </c>
      <c r="D498" s="3">
        <v>8</v>
      </c>
      <c r="E498" s="3">
        <v>49.033</v>
      </c>
      <c r="F498" s="4" t="str">
        <f>HYPERLINK("http://141.218.60.56/~jnz1568/getInfo.php?workbook=18_08.xlsx&amp;sheet=A0&amp;row=498&amp;col=6&amp;number=161200&amp;sourceID=14","161200")</f>
        <v>161200</v>
      </c>
      <c r="G498" s="4" t="str">
        <f>HYPERLINK("http://141.218.60.56/~jnz1568/getInfo.php?workbook=18_08.xlsx&amp;sheet=A0&amp;row=498&amp;col=7&amp;number=0&amp;sourceID=14","0")</f>
        <v>0</v>
      </c>
    </row>
    <row r="499" spans="1:7">
      <c r="A499" s="3">
        <v>18</v>
      </c>
      <c r="B499" s="3">
        <v>8</v>
      </c>
      <c r="C499" s="3">
        <v>16</v>
      </c>
      <c r="D499" s="3">
        <v>8</v>
      </c>
      <c r="E499" s="3">
        <v>48.658</v>
      </c>
      <c r="F499" s="4" t="str">
        <f>HYPERLINK("http://141.218.60.56/~jnz1568/getInfo.php?workbook=18_08.xlsx&amp;sheet=A0&amp;row=499&amp;col=6&amp;number=25020&amp;sourceID=14","25020")</f>
        <v>25020</v>
      </c>
      <c r="G499" s="4" t="str">
        <f>HYPERLINK("http://141.218.60.56/~jnz1568/getInfo.php?workbook=18_08.xlsx&amp;sheet=A0&amp;row=499&amp;col=7&amp;number=0&amp;sourceID=14","0")</f>
        <v>0</v>
      </c>
    </row>
    <row r="500" spans="1:7">
      <c r="A500" s="3">
        <v>18</v>
      </c>
      <c r="B500" s="3">
        <v>8</v>
      </c>
      <c r="C500" s="3">
        <v>17</v>
      </c>
      <c r="D500" s="3">
        <v>8</v>
      </c>
      <c r="E500" s="3">
        <v>48.306</v>
      </c>
      <c r="F500" s="4" t="str">
        <f>HYPERLINK("http://141.218.60.56/~jnz1568/getInfo.php?workbook=18_08.xlsx&amp;sheet=A0&amp;row=500&amp;col=6&amp;number=19890000&amp;sourceID=14","19890000")</f>
        <v>19890000</v>
      </c>
      <c r="G500" s="4" t="str">
        <f>HYPERLINK("http://141.218.60.56/~jnz1568/getInfo.php?workbook=18_08.xlsx&amp;sheet=A0&amp;row=500&amp;col=7&amp;number=0&amp;sourceID=14","0")</f>
        <v>0</v>
      </c>
    </row>
    <row r="501" spans="1:7">
      <c r="A501" s="3">
        <v>18</v>
      </c>
      <c r="B501" s="3">
        <v>8</v>
      </c>
      <c r="C501" s="3">
        <v>18</v>
      </c>
      <c r="D501" s="3">
        <v>8</v>
      </c>
      <c r="E501" s="3">
        <v>48.28</v>
      </c>
      <c r="F501" s="4" t="str">
        <f>HYPERLINK("http://141.218.60.56/~jnz1568/getInfo.php?workbook=18_08.xlsx&amp;sheet=A0&amp;row=501&amp;col=6&amp;number=0.741&amp;sourceID=14","0.741")</f>
        <v>0.741</v>
      </c>
      <c r="G501" s="4" t="str">
        <f>HYPERLINK("http://141.218.60.56/~jnz1568/getInfo.php?workbook=18_08.xlsx&amp;sheet=A0&amp;row=501&amp;col=7&amp;number=0&amp;sourceID=14","0")</f>
        <v>0</v>
      </c>
    </row>
    <row r="502" spans="1:7">
      <c r="A502" s="3">
        <v>18</v>
      </c>
      <c r="B502" s="3">
        <v>8</v>
      </c>
      <c r="C502" s="3">
        <v>20</v>
      </c>
      <c r="D502" s="3">
        <v>8</v>
      </c>
      <c r="E502" s="3">
        <v>-47.898</v>
      </c>
      <c r="F502" s="4" t="str">
        <f>HYPERLINK("http://141.218.60.56/~jnz1568/getInfo.php?workbook=18_08.xlsx&amp;sheet=A0&amp;row=502&amp;col=6&amp;number=174800000&amp;sourceID=14","174800000")</f>
        <v>174800000</v>
      </c>
      <c r="G502" s="4" t="str">
        <f>HYPERLINK("http://141.218.60.56/~jnz1568/getInfo.php?workbook=18_08.xlsx&amp;sheet=A0&amp;row=502&amp;col=7&amp;number=0&amp;sourceID=14","0")</f>
        <v>0</v>
      </c>
    </row>
    <row r="503" spans="1:7">
      <c r="A503" s="3">
        <v>18</v>
      </c>
      <c r="B503" s="3">
        <v>8</v>
      </c>
      <c r="C503" s="3">
        <v>21</v>
      </c>
      <c r="D503" s="3">
        <v>8</v>
      </c>
      <c r="E503" s="3">
        <v>-47.869</v>
      </c>
      <c r="F503" s="4" t="str">
        <f>HYPERLINK("http://141.218.60.56/~jnz1568/getInfo.php?workbook=18_08.xlsx&amp;sheet=A0&amp;row=503&amp;col=6&amp;number=0.5252&amp;sourceID=14","0.5252")</f>
        <v>0.5252</v>
      </c>
      <c r="G503" s="4" t="str">
        <f>HYPERLINK("http://141.218.60.56/~jnz1568/getInfo.php?workbook=18_08.xlsx&amp;sheet=A0&amp;row=503&amp;col=7&amp;number=0&amp;sourceID=14","0")</f>
        <v>0</v>
      </c>
    </row>
    <row r="504" spans="1:7">
      <c r="A504" s="3">
        <v>18</v>
      </c>
      <c r="B504" s="3">
        <v>8</v>
      </c>
      <c r="C504" s="3">
        <v>24</v>
      </c>
      <c r="D504" s="3">
        <v>8</v>
      </c>
      <c r="E504" s="3">
        <v>-48.169</v>
      </c>
      <c r="F504" s="4" t="str">
        <f>HYPERLINK("http://141.218.60.56/~jnz1568/getInfo.php?workbook=18_08.xlsx&amp;sheet=A0&amp;row=504&amp;col=6&amp;number=0.4078&amp;sourceID=14","0.4078")</f>
        <v>0.4078</v>
      </c>
      <c r="G504" s="4" t="str">
        <f>HYPERLINK("http://141.218.60.56/~jnz1568/getInfo.php?workbook=18_08.xlsx&amp;sheet=A0&amp;row=504&amp;col=7&amp;number=0&amp;sourceID=14","0")</f>
        <v>0</v>
      </c>
    </row>
    <row r="505" spans="1:7">
      <c r="A505" s="3">
        <v>18</v>
      </c>
      <c r="B505" s="3">
        <v>8</v>
      </c>
      <c r="C505" s="3">
        <v>25</v>
      </c>
      <c r="D505" s="3">
        <v>8</v>
      </c>
      <c r="E505" s="3">
        <v>47.714</v>
      </c>
      <c r="F505" s="4" t="str">
        <f>HYPERLINK("http://141.218.60.56/~jnz1568/getInfo.php?workbook=18_08.xlsx&amp;sheet=A0&amp;row=505&amp;col=6&amp;number=177900&amp;sourceID=14","177900")</f>
        <v>177900</v>
      </c>
      <c r="G505" s="4" t="str">
        <f>HYPERLINK("http://141.218.60.56/~jnz1568/getInfo.php?workbook=18_08.xlsx&amp;sheet=A0&amp;row=505&amp;col=7&amp;number=0&amp;sourceID=14","0")</f>
        <v>0</v>
      </c>
    </row>
    <row r="506" spans="1:7">
      <c r="A506" s="3">
        <v>18</v>
      </c>
      <c r="B506" s="3">
        <v>8</v>
      </c>
      <c r="C506" s="3">
        <v>26</v>
      </c>
      <c r="D506" s="3">
        <v>8</v>
      </c>
      <c r="E506" s="3">
        <v>47.6</v>
      </c>
      <c r="F506" s="4" t="str">
        <f>HYPERLINK("http://141.218.60.56/~jnz1568/getInfo.php?workbook=18_08.xlsx&amp;sheet=A0&amp;row=506&amp;col=6&amp;number=1.587&amp;sourceID=14","1.587")</f>
        <v>1.587</v>
      </c>
      <c r="G506" s="4" t="str">
        <f>HYPERLINK("http://141.218.60.56/~jnz1568/getInfo.php?workbook=18_08.xlsx&amp;sheet=A0&amp;row=506&amp;col=7&amp;number=0&amp;sourceID=14","0")</f>
        <v>0</v>
      </c>
    </row>
    <row r="507" spans="1:7">
      <c r="A507" s="3">
        <v>18</v>
      </c>
      <c r="B507" s="3">
        <v>8</v>
      </c>
      <c r="C507" s="3">
        <v>27</v>
      </c>
      <c r="D507" s="3">
        <v>8</v>
      </c>
      <c r="E507" s="3">
        <v>-46.388</v>
      </c>
      <c r="F507" s="4" t="str">
        <f>HYPERLINK("http://141.218.60.56/~jnz1568/getInfo.php?workbook=18_08.xlsx&amp;sheet=A0&amp;row=507&amp;col=6&amp;number=369700000&amp;sourceID=14","369700000")</f>
        <v>369700000</v>
      </c>
      <c r="G507" s="4" t="str">
        <f>HYPERLINK("http://141.218.60.56/~jnz1568/getInfo.php?workbook=18_08.xlsx&amp;sheet=A0&amp;row=507&amp;col=7&amp;number=0&amp;sourceID=14","0")</f>
        <v>0</v>
      </c>
    </row>
    <row r="508" spans="1:7">
      <c r="A508" s="3">
        <v>18</v>
      </c>
      <c r="B508" s="3">
        <v>8</v>
      </c>
      <c r="C508" s="3">
        <v>28</v>
      </c>
      <c r="D508" s="3">
        <v>8</v>
      </c>
      <c r="E508" s="3">
        <v>-46.459</v>
      </c>
      <c r="F508" s="4" t="str">
        <f>HYPERLINK("http://141.218.60.56/~jnz1568/getInfo.php?workbook=18_08.xlsx&amp;sheet=A0&amp;row=508&amp;col=6&amp;number=41.16&amp;sourceID=14","41.16")</f>
        <v>41.16</v>
      </c>
      <c r="G508" s="4" t="str">
        <f>HYPERLINK("http://141.218.60.56/~jnz1568/getInfo.php?workbook=18_08.xlsx&amp;sheet=A0&amp;row=508&amp;col=7&amp;number=0&amp;sourceID=14","0")</f>
        <v>0</v>
      </c>
    </row>
    <row r="509" spans="1:7">
      <c r="A509" s="3">
        <v>18</v>
      </c>
      <c r="B509" s="3">
        <v>8</v>
      </c>
      <c r="C509" s="3">
        <v>30</v>
      </c>
      <c r="D509" s="3">
        <v>8</v>
      </c>
      <c r="E509" s="3">
        <v>-46.645</v>
      </c>
      <c r="F509" s="4" t="str">
        <f>HYPERLINK("http://141.218.60.56/~jnz1568/getInfo.php?workbook=18_08.xlsx&amp;sheet=A0&amp;row=509&amp;col=6&amp;number=153700000&amp;sourceID=14","153700000")</f>
        <v>153700000</v>
      </c>
      <c r="G509" s="4" t="str">
        <f>HYPERLINK("http://141.218.60.56/~jnz1568/getInfo.php?workbook=18_08.xlsx&amp;sheet=A0&amp;row=509&amp;col=7&amp;number=0&amp;sourceID=14","0")</f>
        <v>0</v>
      </c>
    </row>
    <row r="510" spans="1:7">
      <c r="A510" s="3">
        <v>18</v>
      </c>
      <c r="B510" s="3">
        <v>8</v>
      </c>
      <c r="C510" s="3">
        <v>31</v>
      </c>
      <c r="D510" s="3">
        <v>8</v>
      </c>
      <c r="E510" s="3">
        <v>-46.24</v>
      </c>
      <c r="F510" s="4" t="str">
        <f>HYPERLINK("http://141.218.60.56/~jnz1568/getInfo.php?workbook=18_08.xlsx&amp;sheet=A0&amp;row=510&amp;col=6&amp;number=5.419&amp;sourceID=14","5.419")</f>
        <v>5.419</v>
      </c>
      <c r="G510" s="4" t="str">
        <f>HYPERLINK("http://141.218.60.56/~jnz1568/getInfo.php?workbook=18_08.xlsx&amp;sheet=A0&amp;row=510&amp;col=7&amp;number=0&amp;sourceID=14","0")</f>
        <v>0</v>
      </c>
    </row>
    <row r="511" spans="1:7">
      <c r="A511" s="3">
        <v>18</v>
      </c>
      <c r="B511" s="3">
        <v>8</v>
      </c>
      <c r="C511" s="3">
        <v>36</v>
      </c>
      <c r="D511" s="3">
        <v>8</v>
      </c>
      <c r="E511" s="3">
        <v>-45.149</v>
      </c>
      <c r="F511" s="4" t="str">
        <f>HYPERLINK("http://141.218.60.56/~jnz1568/getInfo.php?workbook=18_08.xlsx&amp;sheet=A0&amp;row=511&amp;col=6&amp;number=9307000000&amp;sourceID=14","9307000000")</f>
        <v>9307000000</v>
      </c>
      <c r="G511" s="4" t="str">
        <f>HYPERLINK("http://141.218.60.56/~jnz1568/getInfo.php?workbook=18_08.xlsx&amp;sheet=A0&amp;row=511&amp;col=7&amp;number=0&amp;sourceID=14","0")</f>
        <v>0</v>
      </c>
    </row>
    <row r="512" spans="1:7">
      <c r="A512" s="3">
        <v>18</v>
      </c>
      <c r="B512" s="3">
        <v>8</v>
      </c>
      <c r="C512" s="3">
        <v>37</v>
      </c>
      <c r="D512" s="3">
        <v>8</v>
      </c>
      <c r="E512" s="3">
        <v>45.03</v>
      </c>
      <c r="F512" s="4" t="str">
        <f>HYPERLINK("http://141.218.60.56/~jnz1568/getInfo.php?workbook=18_08.xlsx&amp;sheet=A0&amp;row=512&amp;col=6&amp;number=0.781&amp;sourceID=14","0.781")</f>
        <v>0.781</v>
      </c>
      <c r="G512" s="4" t="str">
        <f>HYPERLINK("http://141.218.60.56/~jnz1568/getInfo.php?workbook=18_08.xlsx&amp;sheet=A0&amp;row=512&amp;col=7&amp;number=0&amp;sourceID=14","0")</f>
        <v>0</v>
      </c>
    </row>
    <row r="513" spans="1:7">
      <c r="A513" s="3">
        <v>18</v>
      </c>
      <c r="B513" s="3">
        <v>8</v>
      </c>
      <c r="C513" s="3">
        <v>39</v>
      </c>
      <c r="D513" s="3">
        <v>8</v>
      </c>
      <c r="E513" s="3">
        <v>-44.894</v>
      </c>
      <c r="F513" s="4" t="str">
        <f>HYPERLINK("http://141.218.60.56/~jnz1568/getInfo.php?workbook=18_08.xlsx&amp;sheet=A0&amp;row=513&amp;col=6&amp;number=15.78&amp;sourceID=14","15.78")</f>
        <v>15.78</v>
      </c>
      <c r="G513" s="4" t="str">
        <f>HYPERLINK("http://141.218.60.56/~jnz1568/getInfo.php?workbook=18_08.xlsx&amp;sheet=A0&amp;row=513&amp;col=7&amp;number=0&amp;sourceID=14","0")</f>
        <v>0</v>
      </c>
    </row>
    <row r="514" spans="1:7">
      <c r="A514" s="3">
        <v>18</v>
      </c>
      <c r="B514" s="3">
        <v>8</v>
      </c>
      <c r="C514" s="3">
        <v>40</v>
      </c>
      <c r="D514" s="3">
        <v>8</v>
      </c>
      <c r="E514" s="3">
        <v>44.805</v>
      </c>
      <c r="F514" s="4" t="str">
        <f>HYPERLINK("http://141.218.60.56/~jnz1568/getInfo.php?workbook=18_08.xlsx&amp;sheet=A0&amp;row=514&amp;col=6&amp;number=1794&amp;sourceID=14","1794")</f>
        <v>1794</v>
      </c>
      <c r="G514" s="4" t="str">
        <f>HYPERLINK("http://141.218.60.56/~jnz1568/getInfo.php?workbook=18_08.xlsx&amp;sheet=A0&amp;row=514&amp;col=7&amp;number=0&amp;sourceID=14","0")</f>
        <v>0</v>
      </c>
    </row>
    <row r="515" spans="1:7">
      <c r="A515" s="3">
        <v>18</v>
      </c>
      <c r="B515" s="3">
        <v>8</v>
      </c>
      <c r="C515" s="3">
        <v>43</v>
      </c>
      <c r="D515" s="3">
        <v>8</v>
      </c>
      <c r="E515" s="3">
        <v>-45.144</v>
      </c>
      <c r="F515" s="4" t="str">
        <f>HYPERLINK("http://141.218.60.56/~jnz1568/getInfo.php?workbook=18_08.xlsx&amp;sheet=A0&amp;row=515&amp;col=6&amp;number=99.9&amp;sourceID=14","99.9")</f>
        <v>99.9</v>
      </c>
      <c r="G515" s="4" t="str">
        <f>HYPERLINK("http://141.218.60.56/~jnz1568/getInfo.php?workbook=18_08.xlsx&amp;sheet=A0&amp;row=515&amp;col=7&amp;number=0&amp;sourceID=14","0")</f>
        <v>0</v>
      </c>
    </row>
    <row r="516" spans="1:7">
      <c r="A516" s="3">
        <v>18</v>
      </c>
      <c r="B516" s="3">
        <v>8</v>
      </c>
      <c r="C516" s="3">
        <v>44</v>
      </c>
      <c r="D516" s="3">
        <v>8</v>
      </c>
      <c r="E516" s="3">
        <v>-45.495</v>
      </c>
      <c r="F516" s="4" t="str">
        <f>HYPERLINK("http://141.218.60.56/~jnz1568/getInfo.php?workbook=18_08.xlsx&amp;sheet=A0&amp;row=516&amp;col=6&amp;number=66760&amp;sourceID=14","66760")</f>
        <v>66760</v>
      </c>
      <c r="G516" s="4" t="str">
        <f>HYPERLINK("http://141.218.60.56/~jnz1568/getInfo.php?workbook=18_08.xlsx&amp;sheet=A0&amp;row=516&amp;col=7&amp;number=0&amp;sourceID=14","0")</f>
        <v>0</v>
      </c>
    </row>
    <row r="517" spans="1:7">
      <c r="A517" s="3">
        <v>18</v>
      </c>
      <c r="B517" s="3">
        <v>8</v>
      </c>
      <c r="C517" s="3">
        <v>45</v>
      </c>
      <c r="D517" s="3">
        <v>8</v>
      </c>
      <c r="E517" s="3">
        <v>-45.183</v>
      </c>
      <c r="F517" s="4" t="str">
        <f>HYPERLINK("http://141.218.60.56/~jnz1568/getInfo.php?workbook=18_08.xlsx&amp;sheet=A0&amp;row=517&amp;col=6&amp;number=2028000000&amp;sourceID=14","2028000000")</f>
        <v>2028000000</v>
      </c>
      <c r="G517" s="4" t="str">
        <f>HYPERLINK("http://141.218.60.56/~jnz1568/getInfo.php?workbook=18_08.xlsx&amp;sheet=A0&amp;row=517&amp;col=7&amp;number=0&amp;sourceID=14","0")</f>
        <v>0</v>
      </c>
    </row>
    <row r="518" spans="1:7">
      <c r="A518" s="3">
        <v>18</v>
      </c>
      <c r="B518" s="3">
        <v>8</v>
      </c>
      <c r="C518" s="3">
        <v>46</v>
      </c>
      <c r="D518" s="3">
        <v>8</v>
      </c>
      <c r="E518" s="3">
        <v>-44.963</v>
      </c>
      <c r="F518" s="4" t="str">
        <f>HYPERLINK("http://141.218.60.56/~jnz1568/getInfo.php?workbook=18_08.xlsx&amp;sheet=A0&amp;row=518&amp;col=6&amp;number=44.72&amp;sourceID=14","44.72")</f>
        <v>44.72</v>
      </c>
      <c r="G518" s="4" t="str">
        <f>HYPERLINK("http://141.218.60.56/~jnz1568/getInfo.php?workbook=18_08.xlsx&amp;sheet=A0&amp;row=518&amp;col=7&amp;number=0&amp;sourceID=14","0")</f>
        <v>0</v>
      </c>
    </row>
    <row r="519" spans="1:7">
      <c r="A519" s="3">
        <v>18</v>
      </c>
      <c r="B519" s="3">
        <v>8</v>
      </c>
      <c r="C519" s="3">
        <v>48</v>
      </c>
      <c r="D519" s="3">
        <v>8</v>
      </c>
      <c r="E519" s="3">
        <v>-44.877</v>
      </c>
      <c r="F519" s="4" t="str">
        <f>HYPERLINK("http://141.218.60.56/~jnz1568/getInfo.php?workbook=18_08.xlsx&amp;sheet=A0&amp;row=519&amp;col=6&amp;number=207400000&amp;sourceID=14","207400000")</f>
        <v>207400000</v>
      </c>
      <c r="G519" s="4" t="str">
        <f>HYPERLINK("http://141.218.60.56/~jnz1568/getInfo.php?workbook=18_08.xlsx&amp;sheet=A0&amp;row=519&amp;col=7&amp;number=0&amp;sourceID=14","0")</f>
        <v>0</v>
      </c>
    </row>
    <row r="520" spans="1:7">
      <c r="A520" s="3">
        <v>18</v>
      </c>
      <c r="B520" s="3">
        <v>8</v>
      </c>
      <c r="C520" s="3">
        <v>49</v>
      </c>
      <c r="D520" s="3">
        <v>8</v>
      </c>
      <c r="E520" s="3">
        <v>-44.667</v>
      </c>
      <c r="F520" s="4" t="str">
        <f>HYPERLINK("http://141.218.60.56/~jnz1568/getInfo.php?workbook=18_08.xlsx&amp;sheet=A0&amp;row=520&amp;col=6&amp;number=23.97&amp;sourceID=14","23.97")</f>
        <v>23.97</v>
      </c>
      <c r="G520" s="4" t="str">
        <f>HYPERLINK("http://141.218.60.56/~jnz1568/getInfo.php?workbook=18_08.xlsx&amp;sheet=A0&amp;row=520&amp;col=7&amp;number=0&amp;sourceID=14","0")</f>
        <v>0</v>
      </c>
    </row>
    <row r="521" spans="1:7">
      <c r="A521" s="3">
        <v>18</v>
      </c>
      <c r="B521" s="3">
        <v>8</v>
      </c>
      <c r="C521" s="3">
        <v>50</v>
      </c>
      <c r="D521" s="3">
        <v>8</v>
      </c>
      <c r="E521" s="3">
        <v>-44.609</v>
      </c>
      <c r="F521" s="4" t="str">
        <f>HYPERLINK("http://141.218.60.56/~jnz1568/getInfo.php?workbook=18_08.xlsx&amp;sheet=A0&amp;row=521&amp;col=6&amp;number=3834000000&amp;sourceID=14","3834000000")</f>
        <v>3834000000</v>
      </c>
      <c r="G521" s="4" t="str">
        <f>HYPERLINK("http://141.218.60.56/~jnz1568/getInfo.php?workbook=18_08.xlsx&amp;sheet=A0&amp;row=521&amp;col=7&amp;number=0&amp;sourceID=14","0")</f>
        <v>0</v>
      </c>
    </row>
    <row r="522" spans="1:7">
      <c r="A522" s="3">
        <v>18</v>
      </c>
      <c r="B522" s="3">
        <v>8</v>
      </c>
      <c r="C522" s="3">
        <v>51</v>
      </c>
      <c r="D522" s="3">
        <v>8</v>
      </c>
      <c r="E522" s="3">
        <v>43.912</v>
      </c>
      <c r="F522" s="4" t="str">
        <f>HYPERLINK("http://141.218.60.56/~jnz1568/getInfo.php?workbook=18_08.xlsx&amp;sheet=A0&amp;row=522&amp;col=6&amp;number=82280&amp;sourceID=14","82280")</f>
        <v>82280</v>
      </c>
      <c r="G522" s="4" t="str">
        <f>HYPERLINK("http://141.218.60.56/~jnz1568/getInfo.php?workbook=18_08.xlsx&amp;sheet=A0&amp;row=522&amp;col=7&amp;number=0&amp;sourceID=14","0")</f>
        <v>0</v>
      </c>
    </row>
    <row r="523" spans="1:7">
      <c r="A523" s="3">
        <v>18</v>
      </c>
      <c r="B523" s="3">
        <v>8</v>
      </c>
      <c r="C523" s="3">
        <v>52</v>
      </c>
      <c r="D523" s="3">
        <v>8</v>
      </c>
      <c r="E523" s="3">
        <v>43.935</v>
      </c>
      <c r="F523" s="4" t="str">
        <f>HYPERLINK("http://141.218.60.56/~jnz1568/getInfo.php?workbook=18_08.xlsx&amp;sheet=A0&amp;row=523&amp;col=6&amp;number=0.007165&amp;sourceID=14","0.007165")</f>
        <v>0.007165</v>
      </c>
      <c r="G523" s="4" t="str">
        <f>HYPERLINK("http://141.218.60.56/~jnz1568/getInfo.php?workbook=18_08.xlsx&amp;sheet=A0&amp;row=523&amp;col=7&amp;number=0&amp;sourceID=14","0")</f>
        <v>0</v>
      </c>
    </row>
    <row r="524" spans="1:7">
      <c r="A524" s="3">
        <v>18</v>
      </c>
      <c r="B524" s="3">
        <v>8</v>
      </c>
      <c r="C524" s="3">
        <v>55</v>
      </c>
      <c r="D524" s="3">
        <v>8</v>
      </c>
      <c r="E524" s="3">
        <v>-44</v>
      </c>
      <c r="F524" s="4" t="str">
        <f>HYPERLINK("http://141.218.60.56/~jnz1568/getInfo.php?workbook=18_08.xlsx&amp;sheet=A0&amp;row=524&amp;col=6&amp;number=20.8&amp;sourceID=14","20.8")</f>
        <v>20.8</v>
      </c>
      <c r="G524" s="4" t="str">
        <f>HYPERLINK("http://141.218.60.56/~jnz1568/getInfo.php?workbook=18_08.xlsx&amp;sheet=A0&amp;row=524&amp;col=7&amp;number=0&amp;sourceID=14","0")</f>
        <v>0</v>
      </c>
    </row>
    <row r="525" spans="1:7">
      <c r="A525" s="3">
        <v>18</v>
      </c>
      <c r="B525" s="3">
        <v>8</v>
      </c>
      <c r="C525" s="3">
        <v>56</v>
      </c>
      <c r="D525" s="3">
        <v>8</v>
      </c>
      <c r="E525" s="3">
        <v>42.752</v>
      </c>
      <c r="F525" s="4" t="str">
        <f>HYPERLINK("http://141.218.60.56/~jnz1568/getInfo.php?workbook=18_08.xlsx&amp;sheet=A0&amp;row=525&amp;col=6&amp;number=27030&amp;sourceID=14","27030")</f>
        <v>27030</v>
      </c>
      <c r="G525" s="4" t="str">
        <f>HYPERLINK("http://141.218.60.56/~jnz1568/getInfo.php?workbook=18_08.xlsx&amp;sheet=A0&amp;row=525&amp;col=7&amp;number=0&amp;sourceID=14","0")</f>
        <v>0</v>
      </c>
    </row>
    <row r="526" spans="1:7">
      <c r="A526" s="3">
        <v>18</v>
      </c>
      <c r="B526" s="3">
        <v>8</v>
      </c>
      <c r="C526" s="3">
        <v>64</v>
      </c>
      <c r="D526" s="3">
        <v>8</v>
      </c>
      <c r="E526" s="3">
        <v>42.324</v>
      </c>
      <c r="F526" s="4" t="str">
        <f>HYPERLINK("http://141.218.60.56/~jnz1568/getInfo.php?workbook=18_08.xlsx&amp;sheet=A0&amp;row=526&amp;col=6&amp;number=5.823&amp;sourceID=14","5.823")</f>
        <v>5.823</v>
      </c>
      <c r="G526" s="4" t="str">
        <f>HYPERLINK("http://141.218.60.56/~jnz1568/getInfo.php?workbook=18_08.xlsx&amp;sheet=A0&amp;row=526&amp;col=7&amp;number=0&amp;sourceID=14","0")</f>
        <v>0</v>
      </c>
    </row>
    <row r="527" spans="1:7">
      <c r="A527" s="3">
        <v>18</v>
      </c>
      <c r="B527" s="3">
        <v>8</v>
      </c>
      <c r="C527" s="3">
        <v>66</v>
      </c>
      <c r="D527" s="3">
        <v>8</v>
      </c>
      <c r="E527" s="3">
        <v>42.33</v>
      </c>
      <c r="F527" s="4" t="str">
        <f>HYPERLINK("http://141.218.60.56/~jnz1568/getInfo.php?workbook=18_08.xlsx&amp;sheet=A0&amp;row=527&amp;col=6&amp;number=3208&amp;sourceID=14","3208")</f>
        <v>3208</v>
      </c>
      <c r="G527" s="4" t="str">
        <f>HYPERLINK("http://141.218.60.56/~jnz1568/getInfo.php?workbook=18_08.xlsx&amp;sheet=A0&amp;row=527&amp;col=7&amp;number=0&amp;sourceID=14","0")</f>
        <v>0</v>
      </c>
    </row>
    <row r="528" spans="1:7">
      <c r="A528" s="3">
        <v>18</v>
      </c>
      <c r="B528" s="3">
        <v>8</v>
      </c>
      <c r="C528" s="3">
        <v>67</v>
      </c>
      <c r="D528" s="3">
        <v>8</v>
      </c>
      <c r="E528" s="3">
        <v>42.487</v>
      </c>
      <c r="F528" s="4" t="str">
        <f>HYPERLINK("http://141.218.60.56/~jnz1568/getInfo.php?workbook=18_08.xlsx&amp;sheet=A0&amp;row=528&amp;col=6&amp;number=2.565&amp;sourceID=14","2.565")</f>
        <v>2.565</v>
      </c>
      <c r="G528" s="4" t="str">
        <f>HYPERLINK("http://141.218.60.56/~jnz1568/getInfo.php?workbook=18_08.xlsx&amp;sheet=A0&amp;row=528&amp;col=7&amp;number=0&amp;sourceID=14","0")</f>
        <v>0</v>
      </c>
    </row>
    <row r="529" spans="1:7">
      <c r="A529" s="3">
        <v>18</v>
      </c>
      <c r="B529" s="3">
        <v>8</v>
      </c>
      <c r="C529" s="3">
        <v>69</v>
      </c>
      <c r="D529" s="3">
        <v>8</v>
      </c>
      <c r="E529" s="3">
        <v>42.141</v>
      </c>
      <c r="F529" s="4" t="str">
        <f>HYPERLINK("http://141.218.60.56/~jnz1568/getInfo.php?workbook=18_08.xlsx&amp;sheet=A0&amp;row=529&amp;col=6&amp;number=34570&amp;sourceID=14","34570")</f>
        <v>34570</v>
      </c>
      <c r="G529" s="4" t="str">
        <f>HYPERLINK("http://141.218.60.56/~jnz1568/getInfo.php?workbook=18_08.xlsx&amp;sheet=A0&amp;row=529&amp;col=7&amp;number=0&amp;sourceID=14","0")</f>
        <v>0</v>
      </c>
    </row>
    <row r="530" spans="1:7">
      <c r="A530" s="3">
        <v>18</v>
      </c>
      <c r="B530" s="3">
        <v>8</v>
      </c>
      <c r="C530" s="3">
        <v>71</v>
      </c>
      <c r="D530" s="3">
        <v>8</v>
      </c>
      <c r="E530" s="3">
        <v>41.94</v>
      </c>
      <c r="F530" s="4" t="str">
        <f>HYPERLINK("http://141.218.60.56/~jnz1568/getInfo.php?workbook=18_08.xlsx&amp;sheet=A0&amp;row=530&amp;col=6&amp;number=0.6479&amp;sourceID=14","0.6479")</f>
        <v>0.6479</v>
      </c>
      <c r="G530" s="4" t="str">
        <f>HYPERLINK("http://141.218.60.56/~jnz1568/getInfo.php?workbook=18_08.xlsx&amp;sheet=A0&amp;row=530&amp;col=7&amp;number=0&amp;sourceID=14","0")</f>
        <v>0</v>
      </c>
    </row>
    <row r="531" spans="1:7">
      <c r="A531" s="3">
        <v>18</v>
      </c>
      <c r="B531" s="3">
        <v>8</v>
      </c>
      <c r="C531" s="3">
        <v>72</v>
      </c>
      <c r="D531" s="3">
        <v>8</v>
      </c>
      <c r="E531" s="3">
        <v>42.141</v>
      </c>
      <c r="F531" s="4" t="str">
        <f>HYPERLINK("http://141.218.60.56/~jnz1568/getInfo.php?workbook=18_08.xlsx&amp;sheet=A0&amp;row=531&amp;col=6&amp;number=11440&amp;sourceID=14","11440")</f>
        <v>11440</v>
      </c>
      <c r="G531" s="4" t="str">
        <f>HYPERLINK("http://141.218.60.56/~jnz1568/getInfo.php?workbook=18_08.xlsx&amp;sheet=A0&amp;row=531&amp;col=7&amp;number=0&amp;sourceID=14","0")</f>
        <v>0</v>
      </c>
    </row>
    <row r="532" spans="1:7">
      <c r="A532" s="3">
        <v>18</v>
      </c>
      <c r="B532" s="3">
        <v>8</v>
      </c>
      <c r="C532" s="3">
        <v>73</v>
      </c>
      <c r="D532" s="3">
        <v>8</v>
      </c>
      <c r="E532" s="3">
        <v>41.94</v>
      </c>
      <c r="F532" s="4" t="str">
        <f>HYPERLINK("http://141.218.60.56/~jnz1568/getInfo.php?workbook=18_08.xlsx&amp;sheet=A0&amp;row=532&amp;col=6&amp;number=1.126&amp;sourceID=14","1.126")</f>
        <v>1.126</v>
      </c>
      <c r="G532" s="4" t="str">
        <f>HYPERLINK("http://141.218.60.56/~jnz1568/getInfo.php?workbook=18_08.xlsx&amp;sheet=A0&amp;row=532&amp;col=7&amp;number=0&amp;sourceID=14","0")</f>
        <v>0</v>
      </c>
    </row>
    <row r="533" spans="1:7">
      <c r="A533" s="3">
        <v>18</v>
      </c>
      <c r="B533" s="3">
        <v>8</v>
      </c>
      <c r="C533" s="3">
        <v>75</v>
      </c>
      <c r="D533" s="3">
        <v>8</v>
      </c>
      <c r="E533" s="3">
        <v>-41.859</v>
      </c>
      <c r="F533" s="4" t="str">
        <f>HYPERLINK("http://141.218.60.56/~jnz1568/getInfo.php?workbook=18_08.xlsx&amp;sheet=A0&amp;row=533&amp;col=6&amp;number=1942000&amp;sourceID=14","1942000")</f>
        <v>1942000</v>
      </c>
      <c r="G533" s="4" t="str">
        <f>HYPERLINK("http://141.218.60.56/~jnz1568/getInfo.php?workbook=18_08.xlsx&amp;sheet=A0&amp;row=533&amp;col=7&amp;number=0&amp;sourceID=14","0")</f>
        <v>0</v>
      </c>
    </row>
    <row r="534" spans="1:7">
      <c r="A534" s="3">
        <v>18</v>
      </c>
      <c r="B534" s="3">
        <v>8</v>
      </c>
      <c r="C534" s="3">
        <v>79</v>
      </c>
      <c r="D534" s="3">
        <v>8</v>
      </c>
      <c r="E534" s="3">
        <v>-41.792</v>
      </c>
      <c r="F534" s="4" t="str">
        <f>HYPERLINK("http://141.218.60.56/~jnz1568/getInfo.php?workbook=18_08.xlsx&amp;sheet=A0&amp;row=534&amp;col=6&amp;number=2.359&amp;sourceID=14","2.359")</f>
        <v>2.359</v>
      </c>
      <c r="G534" s="4" t="str">
        <f>HYPERLINK("http://141.218.60.56/~jnz1568/getInfo.php?workbook=18_08.xlsx&amp;sheet=A0&amp;row=534&amp;col=7&amp;number=0&amp;sourceID=14","0")</f>
        <v>0</v>
      </c>
    </row>
    <row r="535" spans="1:7">
      <c r="A535" s="3">
        <v>18</v>
      </c>
      <c r="B535" s="3">
        <v>8</v>
      </c>
      <c r="C535" s="3">
        <v>80</v>
      </c>
      <c r="D535" s="3">
        <v>8</v>
      </c>
      <c r="E535" s="3">
        <v>-41.759</v>
      </c>
      <c r="F535" s="4" t="str">
        <f>HYPERLINK("http://141.218.60.56/~jnz1568/getInfo.php?workbook=18_08.xlsx&amp;sheet=A0&amp;row=535&amp;col=6&amp;number=857600&amp;sourceID=14","857600")</f>
        <v>857600</v>
      </c>
      <c r="G535" s="4" t="str">
        <f>HYPERLINK("http://141.218.60.56/~jnz1568/getInfo.php?workbook=18_08.xlsx&amp;sheet=A0&amp;row=535&amp;col=7&amp;number=0&amp;sourceID=14","0")</f>
        <v>0</v>
      </c>
    </row>
    <row r="536" spans="1:7">
      <c r="A536" s="3">
        <v>18</v>
      </c>
      <c r="B536" s="3">
        <v>8</v>
      </c>
      <c r="C536" s="3">
        <v>81</v>
      </c>
      <c r="D536" s="3">
        <v>8</v>
      </c>
      <c r="E536" s="3">
        <v>41.384</v>
      </c>
      <c r="F536" s="4" t="str">
        <f>HYPERLINK("http://141.218.60.56/~jnz1568/getInfo.php?workbook=18_08.xlsx&amp;sheet=A0&amp;row=536&amp;col=6&amp;number=308500&amp;sourceID=14","308500")</f>
        <v>308500</v>
      </c>
      <c r="G536" s="4" t="str">
        <f>HYPERLINK("http://141.218.60.56/~jnz1568/getInfo.php?workbook=18_08.xlsx&amp;sheet=A0&amp;row=536&amp;col=7&amp;number=0&amp;sourceID=14","0")</f>
        <v>0</v>
      </c>
    </row>
    <row r="537" spans="1:7">
      <c r="A537" s="3">
        <v>18</v>
      </c>
      <c r="B537" s="3">
        <v>8</v>
      </c>
      <c r="C537" s="3">
        <v>83</v>
      </c>
      <c r="D537" s="3">
        <v>8</v>
      </c>
      <c r="E537" s="3">
        <v>41.152</v>
      </c>
      <c r="F537" s="4" t="str">
        <f>HYPERLINK("http://141.218.60.56/~jnz1568/getInfo.php?workbook=18_08.xlsx&amp;sheet=A0&amp;row=537&amp;col=6&amp;number=0.3963&amp;sourceID=14","0.3963")</f>
        <v>0.3963</v>
      </c>
      <c r="G537" s="4" t="str">
        <f>HYPERLINK("http://141.218.60.56/~jnz1568/getInfo.php?workbook=18_08.xlsx&amp;sheet=A0&amp;row=537&amp;col=7&amp;number=0&amp;sourceID=14","0")</f>
        <v>0</v>
      </c>
    </row>
    <row r="538" spans="1:7">
      <c r="A538" s="3">
        <v>18</v>
      </c>
      <c r="B538" s="3">
        <v>8</v>
      </c>
      <c r="C538" s="3">
        <v>84</v>
      </c>
      <c r="D538" s="3">
        <v>8</v>
      </c>
      <c r="E538" s="3">
        <v>41.313</v>
      </c>
      <c r="F538" s="4" t="str">
        <f>HYPERLINK("http://141.218.60.56/~jnz1568/getInfo.php?workbook=18_08.xlsx&amp;sheet=A0&amp;row=538&amp;col=6&amp;number=5553&amp;sourceID=14","5553")</f>
        <v>5553</v>
      </c>
      <c r="G538" s="4" t="str">
        <f>HYPERLINK("http://141.218.60.56/~jnz1568/getInfo.php?workbook=18_08.xlsx&amp;sheet=A0&amp;row=538&amp;col=7&amp;number=0&amp;sourceID=14","0")</f>
        <v>0</v>
      </c>
    </row>
    <row r="539" spans="1:7">
      <c r="A539" s="3">
        <v>18</v>
      </c>
      <c r="B539" s="3">
        <v>8</v>
      </c>
      <c r="C539" s="3">
        <v>86</v>
      </c>
      <c r="D539" s="3">
        <v>8</v>
      </c>
      <c r="E539" s="3">
        <v>40.544</v>
      </c>
      <c r="F539" s="4" t="str">
        <f>HYPERLINK("http://141.218.60.56/~jnz1568/getInfo.php?workbook=18_08.xlsx&amp;sheet=A0&amp;row=539&amp;col=6&amp;number=0.172&amp;sourceID=14","0.172")</f>
        <v>0.172</v>
      </c>
      <c r="G539" s="4" t="str">
        <f>HYPERLINK("http://141.218.60.56/~jnz1568/getInfo.php?workbook=18_08.xlsx&amp;sheet=A0&amp;row=539&amp;col=7&amp;number=0&amp;sourceID=14","0")</f>
        <v>0</v>
      </c>
    </row>
    <row r="540" spans="1:7">
      <c r="A540" s="3">
        <v>18</v>
      </c>
      <c r="B540" s="3">
        <v>8</v>
      </c>
      <c r="C540" s="3">
        <v>10</v>
      </c>
      <c r="D540" s="3">
        <v>9</v>
      </c>
      <c r="E540" s="3">
        <v>197.957</v>
      </c>
      <c r="F540" s="4" t="str">
        <f>HYPERLINK("http://141.218.60.56/~jnz1568/getInfo.php?workbook=18_08.xlsx&amp;sheet=A0&amp;row=540&amp;col=6&amp;number=66620000000&amp;sourceID=14","66620000000")</f>
        <v>66620000000</v>
      </c>
      <c r="G540" s="4" t="str">
        <f>HYPERLINK("http://141.218.60.56/~jnz1568/getInfo.php?workbook=18_08.xlsx&amp;sheet=A0&amp;row=540&amp;col=7&amp;number=0&amp;sourceID=14","0")</f>
        <v>0</v>
      </c>
    </row>
    <row r="541" spans="1:7">
      <c r="A541" s="3">
        <v>18</v>
      </c>
      <c r="B541" s="3">
        <v>8</v>
      </c>
      <c r="C541" s="3">
        <v>11</v>
      </c>
      <c r="D541" s="3">
        <v>9</v>
      </c>
      <c r="E541" s="3">
        <v>57.047</v>
      </c>
      <c r="F541" s="4" t="str">
        <f>HYPERLINK("http://141.218.60.56/~jnz1568/getInfo.php?workbook=18_08.xlsx&amp;sheet=A0&amp;row=541&amp;col=6&amp;number=7.166&amp;sourceID=14","7.166")</f>
        <v>7.166</v>
      </c>
      <c r="G541" s="4" t="str">
        <f>HYPERLINK("http://141.218.60.56/~jnz1568/getInfo.php?workbook=18_08.xlsx&amp;sheet=A0&amp;row=541&amp;col=7&amp;number=0&amp;sourceID=14","0")</f>
        <v>0</v>
      </c>
    </row>
    <row r="542" spans="1:7">
      <c r="A542" s="3">
        <v>18</v>
      </c>
      <c r="B542" s="3">
        <v>8</v>
      </c>
      <c r="C542" s="3">
        <v>12</v>
      </c>
      <c r="D542" s="3">
        <v>9</v>
      </c>
      <c r="E542" s="3">
        <v>55.846</v>
      </c>
      <c r="F542" s="4" t="str">
        <f>HYPERLINK("http://141.218.60.56/~jnz1568/getInfo.php?workbook=18_08.xlsx&amp;sheet=A0&amp;row=542&amp;col=6&amp;number=1319&amp;sourceID=14","1319")</f>
        <v>1319</v>
      </c>
      <c r="G542" s="4" t="str">
        <f>HYPERLINK("http://141.218.60.56/~jnz1568/getInfo.php?workbook=18_08.xlsx&amp;sheet=A0&amp;row=542&amp;col=7&amp;number=0&amp;sourceID=14","0")</f>
        <v>0</v>
      </c>
    </row>
    <row r="543" spans="1:7">
      <c r="A543" s="3">
        <v>18</v>
      </c>
      <c r="B543" s="3">
        <v>8</v>
      </c>
      <c r="C543" s="3">
        <v>13</v>
      </c>
      <c r="D543" s="3">
        <v>9</v>
      </c>
      <c r="E543" s="3">
        <v>53.857</v>
      </c>
      <c r="F543" s="4" t="str">
        <f>HYPERLINK("http://141.218.60.56/~jnz1568/getInfo.php?workbook=18_08.xlsx&amp;sheet=A0&amp;row=543&amp;col=6&amp;number=3241&amp;sourceID=14","3241")</f>
        <v>3241</v>
      </c>
      <c r="G543" s="4" t="str">
        <f>HYPERLINK("http://141.218.60.56/~jnz1568/getInfo.php?workbook=18_08.xlsx&amp;sheet=A0&amp;row=543&amp;col=7&amp;number=0&amp;sourceID=14","0")</f>
        <v>0</v>
      </c>
    </row>
    <row r="544" spans="1:7">
      <c r="A544" s="3">
        <v>18</v>
      </c>
      <c r="B544" s="3">
        <v>8</v>
      </c>
      <c r="C544" s="3">
        <v>14</v>
      </c>
      <c r="D544" s="3">
        <v>9</v>
      </c>
      <c r="E544" s="3">
        <v>53.82</v>
      </c>
      <c r="F544" s="4" t="str">
        <f>HYPERLINK("http://141.218.60.56/~jnz1568/getInfo.php?workbook=18_08.xlsx&amp;sheet=A0&amp;row=544&amp;col=6&amp;number=6079&amp;sourceID=14","6079")</f>
        <v>6079</v>
      </c>
      <c r="G544" s="4" t="str">
        <f>HYPERLINK("http://141.218.60.56/~jnz1568/getInfo.php?workbook=18_08.xlsx&amp;sheet=A0&amp;row=544&amp;col=7&amp;number=0&amp;sourceID=14","0")</f>
        <v>0</v>
      </c>
    </row>
    <row r="545" spans="1:7">
      <c r="A545" s="3">
        <v>18</v>
      </c>
      <c r="B545" s="3">
        <v>8</v>
      </c>
      <c r="C545" s="3">
        <v>15</v>
      </c>
      <c r="D545" s="3">
        <v>9</v>
      </c>
      <c r="E545" s="3">
        <v>53.784</v>
      </c>
      <c r="F545" s="4" t="str">
        <f>HYPERLINK("http://141.218.60.56/~jnz1568/getInfo.php?workbook=18_08.xlsx&amp;sheet=A0&amp;row=545&amp;col=6&amp;number=502.1&amp;sourceID=14","502.1")</f>
        <v>502.1</v>
      </c>
      <c r="G545" s="4" t="str">
        <f>HYPERLINK("http://141.218.60.56/~jnz1568/getInfo.php?workbook=18_08.xlsx&amp;sheet=A0&amp;row=545&amp;col=7&amp;number=0&amp;sourceID=14","0")</f>
        <v>0</v>
      </c>
    </row>
    <row r="546" spans="1:7">
      <c r="A546" s="3">
        <v>18</v>
      </c>
      <c r="B546" s="3">
        <v>8</v>
      </c>
      <c r="C546" s="3">
        <v>16</v>
      </c>
      <c r="D546" s="3">
        <v>9</v>
      </c>
      <c r="E546" s="3">
        <v>53.369</v>
      </c>
      <c r="F546" s="4" t="str">
        <f>HYPERLINK("http://141.218.60.56/~jnz1568/getInfo.php?workbook=18_08.xlsx&amp;sheet=A0&amp;row=546&amp;col=6&amp;number=421400&amp;sourceID=14","421400")</f>
        <v>421400</v>
      </c>
      <c r="G546" s="4" t="str">
        <f>HYPERLINK("http://141.218.60.56/~jnz1568/getInfo.php?workbook=18_08.xlsx&amp;sheet=A0&amp;row=546&amp;col=7&amp;number=0&amp;sourceID=14","0")</f>
        <v>0</v>
      </c>
    </row>
    <row r="547" spans="1:7">
      <c r="A547" s="3">
        <v>18</v>
      </c>
      <c r="B547" s="3">
        <v>8</v>
      </c>
      <c r="C547" s="3">
        <v>17</v>
      </c>
      <c r="D547" s="3">
        <v>9</v>
      </c>
      <c r="E547" s="3">
        <v>52.946</v>
      </c>
      <c r="F547" s="4" t="str">
        <f>HYPERLINK("http://141.218.60.56/~jnz1568/getInfo.php?workbook=18_08.xlsx&amp;sheet=A0&amp;row=547&amp;col=6&amp;number=106700&amp;sourceID=14","106700")</f>
        <v>106700</v>
      </c>
      <c r="G547" s="4" t="str">
        <f>HYPERLINK("http://141.218.60.56/~jnz1568/getInfo.php?workbook=18_08.xlsx&amp;sheet=A0&amp;row=547&amp;col=7&amp;number=0&amp;sourceID=14","0")</f>
        <v>0</v>
      </c>
    </row>
    <row r="548" spans="1:7">
      <c r="A548" s="3">
        <v>18</v>
      </c>
      <c r="B548" s="3">
        <v>8</v>
      </c>
      <c r="C548" s="3">
        <v>18</v>
      </c>
      <c r="D548" s="3">
        <v>9</v>
      </c>
      <c r="E548" s="3">
        <v>52.914</v>
      </c>
      <c r="F548" s="4" t="str">
        <f>HYPERLINK("http://141.218.60.56/~jnz1568/getInfo.php?workbook=18_08.xlsx&amp;sheet=A0&amp;row=548&amp;col=6&amp;number=296300&amp;sourceID=14","296300")</f>
        <v>296300</v>
      </c>
      <c r="G548" s="4" t="str">
        <f>HYPERLINK("http://141.218.60.56/~jnz1568/getInfo.php?workbook=18_08.xlsx&amp;sheet=A0&amp;row=548&amp;col=7&amp;number=0&amp;sourceID=14","0")</f>
        <v>0</v>
      </c>
    </row>
    <row r="549" spans="1:7">
      <c r="A549" s="3">
        <v>18</v>
      </c>
      <c r="B549" s="3">
        <v>8</v>
      </c>
      <c r="C549" s="3">
        <v>19</v>
      </c>
      <c r="D549" s="3">
        <v>9</v>
      </c>
      <c r="E549" s="3">
        <v>52.847</v>
      </c>
      <c r="F549" s="4" t="str">
        <f>HYPERLINK("http://141.218.60.56/~jnz1568/getInfo.php?workbook=18_08.xlsx&amp;sheet=A0&amp;row=549&amp;col=6&amp;number=0.353&amp;sourceID=14","0.353")</f>
        <v>0.353</v>
      </c>
      <c r="G549" s="4" t="str">
        <f>HYPERLINK("http://141.218.60.56/~jnz1568/getInfo.php?workbook=18_08.xlsx&amp;sheet=A0&amp;row=549&amp;col=7&amp;number=0&amp;sourceID=14","0")</f>
        <v>0</v>
      </c>
    </row>
    <row r="550" spans="1:7">
      <c r="A550" s="3">
        <v>18</v>
      </c>
      <c r="B550" s="3">
        <v>8</v>
      </c>
      <c r="C550" s="3">
        <v>20</v>
      </c>
      <c r="D550" s="3">
        <v>9</v>
      </c>
      <c r="E550" s="3">
        <v>-52.703</v>
      </c>
      <c r="F550" s="4" t="str">
        <f>HYPERLINK("http://141.218.60.56/~jnz1568/getInfo.php?workbook=18_08.xlsx&amp;sheet=A0&amp;row=550&amp;col=6&amp;number=58810&amp;sourceID=14","58810")</f>
        <v>58810</v>
      </c>
      <c r="G550" s="4" t="str">
        <f>HYPERLINK("http://141.218.60.56/~jnz1568/getInfo.php?workbook=18_08.xlsx&amp;sheet=A0&amp;row=550&amp;col=7&amp;number=0&amp;sourceID=14","0")</f>
        <v>0</v>
      </c>
    </row>
    <row r="551" spans="1:7">
      <c r="A551" s="3">
        <v>18</v>
      </c>
      <c r="B551" s="3">
        <v>8</v>
      </c>
      <c r="C551" s="3">
        <v>21</v>
      </c>
      <c r="D551" s="3">
        <v>9</v>
      </c>
      <c r="E551" s="3">
        <v>-52.669</v>
      </c>
      <c r="F551" s="4" t="str">
        <f>HYPERLINK("http://141.218.60.56/~jnz1568/getInfo.php?workbook=18_08.xlsx&amp;sheet=A0&amp;row=551&amp;col=6&amp;number=14770000&amp;sourceID=14","14770000")</f>
        <v>14770000</v>
      </c>
      <c r="G551" s="4" t="str">
        <f>HYPERLINK("http://141.218.60.56/~jnz1568/getInfo.php?workbook=18_08.xlsx&amp;sheet=A0&amp;row=551&amp;col=7&amp;number=0&amp;sourceID=14","0")</f>
        <v>0</v>
      </c>
    </row>
    <row r="552" spans="1:7">
      <c r="A552" s="3">
        <v>18</v>
      </c>
      <c r="B552" s="3">
        <v>8</v>
      </c>
      <c r="C552" s="3">
        <v>22</v>
      </c>
      <c r="D552" s="3">
        <v>9</v>
      </c>
      <c r="E552" s="3">
        <v>-52.654</v>
      </c>
      <c r="F552" s="4" t="str">
        <f>HYPERLINK("http://141.218.60.56/~jnz1568/getInfo.php?workbook=18_08.xlsx&amp;sheet=A0&amp;row=552&amp;col=6&amp;number=23070000&amp;sourceID=14","23070000")</f>
        <v>23070000</v>
      </c>
      <c r="G552" s="4" t="str">
        <f>HYPERLINK("http://141.218.60.56/~jnz1568/getInfo.php?workbook=18_08.xlsx&amp;sheet=A0&amp;row=552&amp;col=7&amp;number=0&amp;sourceID=14","0")</f>
        <v>0</v>
      </c>
    </row>
    <row r="553" spans="1:7">
      <c r="A553" s="3">
        <v>18</v>
      </c>
      <c r="B553" s="3">
        <v>8</v>
      </c>
      <c r="C553" s="3">
        <v>23</v>
      </c>
      <c r="D553" s="3">
        <v>9</v>
      </c>
      <c r="E553" s="3">
        <v>-53.076</v>
      </c>
      <c r="F553" s="4" t="str">
        <f>HYPERLINK("http://141.218.60.56/~jnz1568/getInfo.php?workbook=18_08.xlsx&amp;sheet=A0&amp;row=553&amp;col=6&amp;number=9.714&amp;sourceID=14","9.714")</f>
        <v>9.714</v>
      </c>
      <c r="G553" s="4" t="str">
        <f>HYPERLINK("http://141.218.60.56/~jnz1568/getInfo.php?workbook=18_08.xlsx&amp;sheet=A0&amp;row=553&amp;col=7&amp;number=0&amp;sourceID=14","0")</f>
        <v>0</v>
      </c>
    </row>
    <row r="554" spans="1:7">
      <c r="A554" s="3">
        <v>18</v>
      </c>
      <c r="B554" s="3">
        <v>8</v>
      </c>
      <c r="C554" s="3">
        <v>24</v>
      </c>
      <c r="D554" s="3">
        <v>9</v>
      </c>
      <c r="E554" s="3">
        <v>-53.032</v>
      </c>
      <c r="F554" s="4" t="str">
        <f>HYPERLINK("http://141.218.60.56/~jnz1568/getInfo.php?workbook=18_08.xlsx&amp;sheet=A0&amp;row=554&amp;col=6&amp;number=2282&amp;sourceID=14","2282")</f>
        <v>2282</v>
      </c>
      <c r="G554" s="4" t="str">
        <f>HYPERLINK("http://141.218.60.56/~jnz1568/getInfo.php?workbook=18_08.xlsx&amp;sheet=A0&amp;row=554&amp;col=7&amp;number=0&amp;sourceID=14","0")</f>
        <v>0</v>
      </c>
    </row>
    <row r="555" spans="1:7">
      <c r="A555" s="3">
        <v>18</v>
      </c>
      <c r="B555" s="3">
        <v>8</v>
      </c>
      <c r="C555" s="3">
        <v>25</v>
      </c>
      <c r="D555" s="3">
        <v>9</v>
      </c>
      <c r="E555" s="3">
        <v>52.235</v>
      </c>
      <c r="F555" s="4" t="str">
        <f>HYPERLINK("http://141.218.60.56/~jnz1568/getInfo.php?workbook=18_08.xlsx&amp;sheet=A0&amp;row=555&amp;col=6&amp;number=41060&amp;sourceID=14","41060")</f>
        <v>41060</v>
      </c>
      <c r="G555" s="4" t="str">
        <f>HYPERLINK("http://141.218.60.56/~jnz1568/getInfo.php?workbook=18_08.xlsx&amp;sheet=A0&amp;row=555&amp;col=7&amp;number=0&amp;sourceID=14","0")</f>
        <v>0</v>
      </c>
    </row>
    <row r="556" spans="1:7">
      <c r="A556" s="3">
        <v>18</v>
      </c>
      <c r="B556" s="3">
        <v>8</v>
      </c>
      <c r="C556" s="3">
        <v>26</v>
      </c>
      <c r="D556" s="3">
        <v>9</v>
      </c>
      <c r="E556" s="3">
        <v>52.099</v>
      </c>
      <c r="F556" s="4" t="str">
        <f>HYPERLINK("http://141.218.60.56/~jnz1568/getInfo.php?workbook=18_08.xlsx&amp;sheet=A0&amp;row=556&amp;col=6&amp;number=286300&amp;sourceID=14","286300")</f>
        <v>286300</v>
      </c>
      <c r="G556" s="4" t="str">
        <f>HYPERLINK("http://141.218.60.56/~jnz1568/getInfo.php?workbook=18_08.xlsx&amp;sheet=A0&amp;row=556&amp;col=7&amp;number=0&amp;sourceID=14","0")</f>
        <v>0</v>
      </c>
    </row>
    <row r="557" spans="1:7">
      <c r="A557" s="3">
        <v>18</v>
      </c>
      <c r="B557" s="3">
        <v>8</v>
      </c>
      <c r="C557" s="3">
        <v>27</v>
      </c>
      <c r="D557" s="3">
        <v>9</v>
      </c>
      <c r="E557" s="3">
        <v>-50.881</v>
      </c>
      <c r="F557" s="4" t="str">
        <f>HYPERLINK("http://141.218.60.56/~jnz1568/getInfo.php?workbook=18_08.xlsx&amp;sheet=A0&amp;row=557&amp;col=6&amp;number=2038000000&amp;sourceID=14","2038000000")</f>
        <v>2038000000</v>
      </c>
      <c r="G557" s="4" t="str">
        <f>HYPERLINK("http://141.218.60.56/~jnz1568/getInfo.php?workbook=18_08.xlsx&amp;sheet=A0&amp;row=557&amp;col=7&amp;number=0&amp;sourceID=14","0")</f>
        <v>0</v>
      </c>
    </row>
    <row r="558" spans="1:7">
      <c r="A558" s="3">
        <v>18</v>
      </c>
      <c r="B558" s="3">
        <v>8</v>
      </c>
      <c r="C558" s="3">
        <v>28</v>
      </c>
      <c r="D558" s="3">
        <v>9</v>
      </c>
      <c r="E558" s="3">
        <v>-50.967</v>
      </c>
      <c r="F558" s="4" t="str">
        <f>HYPERLINK("http://141.218.60.56/~jnz1568/getInfo.php?workbook=18_08.xlsx&amp;sheet=A0&amp;row=558&amp;col=6&amp;number=4719000&amp;sourceID=14","4719000")</f>
        <v>4719000</v>
      </c>
      <c r="G558" s="4" t="str">
        <f>HYPERLINK("http://141.218.60.56/~jnz1568/getInfo.php?workbook=18_08.xlsx&amp;sheet=A0&amp;row=558&amp;col=7&amp;number=0&amp;sourceID=14","0")</f>
        <v>0</v>
      </c>
    </row>
    <row r="559" spans="1:7">
      <c r="A559" s="3">
        <v>18</v>
      </c>
      <c r="B559" s="3">
        <v>8</v>
      </c>
      <c r="C559" s="3">
        <v>29</v>
      </c>
      <c r="D559" s="3">
        <v>9</v>
      </c>
      <c r="E559" s="3">
        <v>-50.862</v>
      </c>
      <c r="F559" s="4" t="str">
        <f>HYPERLINK("http://141.218.60.56/~jnz1568/getInfo.php?workbook=18_08.xlsx&amp;sheet=A0&amp;row=559&amp;col=6&amp;number=8.032&amp;sourceID=14","8.032")</f>
        <v>8.032</v>
      </c>
      <c r="G559" s="4" t="str">
        <f>HYPERLINK("http://141.218.60.56/~jnz1568/getInfo.php?workbook=18_08.xlsx&amp;sheet=A0&amp;row=559&amp;col=7&amp;number=0&amp;sourceID=14","0")</f>
        <v>0</v>
      </c>
    </row>
    <row r="560" spans="1:7">
      <c r="A560" s="3">
        <v>18</v>
      </c>
      <c r="B560" s="3">
        <v>8</v>
      </c>
      <c r="C560" s="3">
        <v>30</v>
      </c>
      <c r="D560" s="3">
        <v>9</v>
      </c>
      <c r="E560" s="3">
        <v>-51.191</v>
      </c>
      <c r="F560" s="4" t="str">
        <f>HYPERLINK("http://141.218.60.56/~jnz1568/getInfo.php?workbook=18_08.xlsx&amp;sheet=A0&amp;row=560&amp;col=6&amp;number=1708000000&amp;sourceID=14","1708000000")</f>
        <v>1708000000</v>
      </c>
      <c r="G560" s="4" t="str">
        <f>HYPERLINK("http://141.218.60.56/~jnz1568/getInfo.php?workbook=18_08.xlsx&amp;sheet=A0&amp;row=560&amp;col=7&amp;number=0&amp;sourceID=14","0")</f>
        <v>0</v>
      </c>
    </row>
    <row r="561" spans="1:7">
      <c r="A561" s="3">
        <v>18</v>
      </c>
      <c r="B561" s="3">
        <v>8</v>
      </c>
      <c r="C561" s="3">
        <v>31</v>
      </c>
      <c r="D561" s="3">
        <v>9</v>
      </c>
      <c r="E561" s="3">
        <v>-50.703</v>
      </c>
      <c r="F561" s="4" t="str">
        <f>HYPERLINK("http://141.218.60.56/~jnz1568/getInfo.php?workbook=18_08.xlsx&amp;sheet=A0&amp;row=561&amp;col=6&amp;number=123800000&amp;sourceID=14","123800000")</f>
        <v>123800000</v>
      </c>
      <c r="G561" s="4" t="str">
        <f>HYPERLINK("http://141.218.60.56/~jnz1568/getInfo.php?workbook=18_08.xlsx&amp;sheet=A0&amp;row=561&amp;col=7&amp;number=0&amp;sourceID=14","0")</f>
        <v>0</v>
      </c>
    </row>
    <row r="562" spans="1:7">
      <c r="A562" s="3">
        <v>18</v>
      </c>
      <c r="B562" s="3">
        <v>8</v>
      </c>
      <c r="C562" s="3">
        <v>32</v>
      </c>
      <c r="D562" s="3">
        <v>9</v>
      </c>
      <c r="E562" s="3">
        <v>-50.629</v>
      </c>
      <c r="F562" s="4" t="str">
        <f>HYPERLINK("http://141.218.60.56/~jnz1568/getInfo.php?workbook=18_08.xlsx&amp;sheet=A0&amp;row=562&amp;col=6&amp;number=10.63&amp;sourceID=14","10.63")</f>
        <v>10.63</v>
      </c>
      <c r="G562" s="4" t="str">
        <f>HYPERLINK("http://141.218.60.56/~jnz1568/getInfo.php?workbook=18_08.xlsx&amp;sheet=A0&amp;row=562&amp;col=7&amp;number=0&amp;sourceID=14","0")</f>
        <v>0</v>
      </c>
    </row>
    <row r="563" spans="1:7">
      <c r="A563" s="3">
        <v>18</v>
      </c>
      <c r="B563" s="3">
        <v>8</v>
      </c>
      <c r="C563" s="3">
        <v>34</v>
      </c>
      <c r="D563" s="3">
        <v>9</v>
      </c>
      <c r="E563" s="3">
        <v>-50.468</v>
      </c>
      <c r="F563" s="4" t="str">
        <f>HYPERLINK("http://141.218.60.56/~jnz1568/getInfo.php?workbook=18_08.xlsx&amp;sheet=A0&amp;row=563&amp;col=6&amp;number=75.95&amp;sourceID=14","75.95")</f>
        <v>75.95</v>
      </c>
      <c r="G563" s="4" t="str">
        <f>HYPERLINK("http://141.218.60.56/~jnz1568/getInfo.php?workbook=18_08.xlsx&amp;sheet=A0&amp;row=563&amp;col=7&amp;number=0&amp;sourceID=14","0")</f>
        <v>0</v>
      </c>
    </row>
    <row r="564" spans="1:7">
      <c r="A564" s="3">
        <v>18</v>
      </c>
      <c r="B564" s="3">
        <v>8</v>
      </c>
      <c r="C564" s="3">
        <v>35</v>
      </c>
      <c r="D564" s="3">
        <v>9</v>
      </c>
      <c r="E564" s="3">
        <v>-49.634</v>
      </c>
      <c r="F564" s="4" t="str">
        <f>HYPERLINK("http://141.218.60.56/~jnz1568/getInfo.php?workbook=18_08.xlsx&amp;sheet=A0&amp;row=564&amp;col=6&amp;number=77200000&amp;sourceID=14","77200000")</f>
        <v>77200000</v>
      </c>
      <c r="G564" s="4" t="str">
        <f>HYPERLINK("http://141.218.60.56/~jnz1568/getInfo.php?workbook=18_08.xlsx&amp;sheet=A0&amp;row=564&amp;col=7&amp;number=0&amp;sourceID=14","0")</f>
        <v>0</v>
      </c>
    </row>
    <row r="565" spans="1:7">
      <c r="A565" s="3">
        <v>18</v>
      </c>
      <c r="B565" s="3">
        <v>8</v>
      </c>
      <c r="C565" s="3">
        <v>36</v>
      </c>
      <c r="D565" s="3">
        <v>9</v>
      </c>
      <c r="E565" s="3">
        <v>-49.394</v>
      </c>
      <c r="F565" s="4" t="str">
        <f>HYPERLINK("http://141.218.60.56/~jnz1568/getInfo.php?workbook=18_08.xlsx&amp;sheet=A0&amp;row=565&amp;col=6&amp;number=223300000&amp;sourceID=14","223300000")</f>
        <v>223300000</v>
      </c>
      <c r="G565" s="4" t="str">
        <f>HYPERLINK("http://141.218.60.56/~jnz1568/getInfo.php?workbook=18_08.xlsx&amp;sheet=A0&amp;row=565&amp;col=7&amp;number=0&amp;sourceID=14","0")</f>
        <v>0</v>
      </c>
    </row>
    <row r="566" spans="1:7">
      <c r="A566" s="3">
        <v>18</v>
      </c>
      <c r="B566" s="3">
        <v>8</v>
      </c>
      <c r="C566" s="3">
        <v>37</v>
      </c>
      <c r="D566" s="3">
        <v>9</v>
      </c>
      <c r="E566" s="3">
        <v>49.036</v>
      </c>
      <c r="F566" s="4" t="str">
        <f>HYPERLINK("http://141.218.60.56/~jnz1568/getInfo.php?workbook=18_08.xlsx&amp;sheet=A0&amp;row=566&amp;col=6&amp;number=539600000&amp;sourceID=14","539600000")</f>
        <v>539600000</v>
      </c>
      <c r="G566" s="4" t="str">
        <f>HYPERLINK("http://141.218.60.56/~jnz1568/getInfo.php?workbook=18_08.xlsx&amp;sheet=A0&amp;row=566&amp;col=7&amp;number=0&amp;sourceID=14","0")</f>
        <v>0</v>
      </c>
    </row>
    <row r="567" spans="1:7">
      <c r="A567" s="3">
        <v>18</v>
      </c>
      <c r="B567" s="3">
        <v>8</v>
      </c>
      <c r="C567" s="3">
        <v>38</v>
      </c>
      <c r="D567" s="3">
        <v>9</v>
      </c>
      <c r="E567" s="3">
        <v>-49.092</v>
      </c>
      <c r="F567" s="4" t="str">
        <f>HYPERLINK("http://141.218.60.56/~jnz1568/getInfo.php?workbook=18_08.xlsx&amp;sheet=A0&amp;row=567&amp;col=6&amp;number=0.003925&amp;sourceID=14","0.003925")</f>
        <v>0.003925</v>
      </c>
      <c r="G567" s="4" t="str">
        <f>HYPERLINK("http://141.218.60.56/~jnz1568/getInfo.php?workbook=18_08.xlsx&amp;sheet=A0&amp;row=567&amp;col=7&amp;number=0&amp;sourceID=14","0")</f>
        <v>0</v>
      </c>
    </row>
    <row r="568" spans="1:7">
      <c r="A568" s="3">
        <v>18</v>
      </c>
      <c r="B568" s="3">
        <v>8</v>
      </c>
      <c r="C568" s="3">
        <v>39</v>
      </c>
      <c r="D568" s="3">
        <v>9</v>
      </c>
      <c r="E568" s="3">
        <v>-49.09</v>
      </c>
      <c r="F568" s="4" t="str">
        <f>HYPERLINK("http://141.218.60.56/~jnz1568/getInfo.php?workbook=18_08.xlsx&amp;sheet=A0&amp;row=568&amp;col=6&amp;number=0.06297&amp;sourceID=14","0.06297")</f>
        <v>0.06297</v>
      </c>
      <c r="G568" s="4" t="str">
        <f>HYPERLINK("http://141.218.60.56/~jnz1568/getInfo.php?workbook=18_08.xlsx&amp;sheet=A0&amp;row=568&amp;col=7&amp;number=0&amp;sourceID=14","0")</f>
        <v>0</v>
      </c>
    </row>
    <row r="569" spans="1:7">
      <c r="A569" s="3">
        <v>18</v>
      </c>
      <c r="B569" s="3">
        <v>8</v>
      </c>
      <c r="C569" s="3">
        <v>40</v>
      </c>
      <c r="D569" s="3">
        <v>9</v>
      </c>
      <c r="E569" s="3">
        <v>48.768</v>
      </c>
      <c r="F569" s="4" t="str">
        <f>HYPERLINK("http://141.218.60.56/~jnz1568/getInfo.php?workbook=18_08.xlsx&amp;sheet=A0&amp;row=569&amp;col=6&amp;number=1.715&amp;sourceID=14","1.715")</f>
        <v>1.715</v>
      </c>
      <c r="G569" s="4" t="str">
        <f>HYPERLINK("http://141.218.60.56/~jnz1568/getInfo.php?workbook=18_08.xlsx&amp;sheet=A0&amp;row=569&amp;col=7&amp;number=0&amp;sourceID=14","0")</f>
        <v>0</v>
      </c>
    </row>
    <row r="570" spans="1:7">
      <c r="A570" s="3">
        <v>18</v>
      </c>
      <c r="B570" s="3">
        <v>8</v>
      </c>
      <c r="C570" s="3">
        <v>41</v>
      </c>
      <c r="D570" s="3">
        <v>9</v>
      </c>
      <c r="E570" s="3">
        <v>-49.08</v>
      </c>
      <c r="F570" s="4" t="str">
        <f>HYPERLINK("http://141.218.60.56/~jnz1568/getInfo.php?workbook=18_08.xlsx&amp;sheet=A0&amp;row=570&amp;col=6&amp;number=12.69&amp;sourceID=14","12.69")</f>
        <v>12.69</v>
      </c>
      <c r="G570" s="4" t="str">
        <f>HYPERLINK("http://141.218.60.56/~jnz1568/getInfo.php?workbook=18_08.xlsx&amp;sheet=A0&amp;row=570&amp;col=7&amp;number=0&amp;sourceID=14","0")</f>
        <v>0</v>
      </c>
    </row>
    <row r="571" spans="1:7">
      <c r="A571" s="3">
        <v>18</v>
      </c>
      <c r="B571" s="3">
        <v>8</v>
      </c>
      <c r="C571" s="3">
        <v>43</v>
      </c>
      <c r="D571" s="3">
        <v>9</v>
      </c>
      <c r="E571" s="3">
        <v>-49.388</v>
      </c>
      <c r="F571" s="4" t="str">
        <f>HYPERLINK("http://141.218.60.56/~jnz1568/getInfo.php?workbook=18_08.xlsx&amp;sheet=A0&amp;row=571&amp;col=6&amp;number=131600000&amp;sourceID=14","131600000")</f>
        <v>131600000</v>
      </c>
      <c r="G571" s="4" t="str">
        <f>HYPERLINK("http://141.218.60.56/~jnz1568/getInfo.php?workbook=18_08.xlsx&amp;sheet=A0&amp;row=571&amp;col=7&amp;number=0&amp;sourceID=14","0")</f>
        <v>0</v>
      </c>
    </row>
    <row r="572" spans="1:7">
      <c r="A572" s="3">
        <v>18</v>
      </c>
      <c r="B572" s="3">
        <v>8</v>
      </c>
      <c r="C572" s="3">
        <v>44</v>
      </c>
      <c r="D572" s="3">
        <v>9</v>
      </c>
      <c r="E572" s="3">
        <v>-49.809</v>
      </c>
      <c r="F572" s="4" t="str">
        <f>HYPERLINK("http://141.218.60.56/~jnz1568/getInfo.php?workbook=18_08.xlsx&amp;sheet=A0&amp;row=572&amp;col=6&amp;number=15840000&amp;sourceID=14","15840000")</f>
        <v>15840000</v>
      </c>
      <c r="G572" s="4" t="str">
        <f>HYPERLINK("http://141.218.60.56/~jnz1568/getInfo.php?workbook=18_08.xlsx&amp;sheet=A0&amp;row=572&amp;col=7&amp;number=0&amp;sourceID=14","0")</f>
        <v>0</v>
      </c>
    </row>
    <row r="573" spans="1:7">
      <c r="A573" s="3">
        <v>18</v>
      </c>
      <c r="B573" s="3">
        <v>8</v>
      </c>
      <c r="C573" s="3">
        <v>45</v>
      </c>
      <c r="D573" s="3">
        <v>9</v>
      </c>
      <c r="E573" s="3">
        <v>-49.436</v>
      </c>
      <c r="F573" s="4" t="str">
        <f>HYPERLINK("http://141.218.60.56/~jnz1568/getInfo.php?workbook=18_08.xlsx&amp;sheet=A0&amp;row=573&amp;col=6&amp;number=690300000&amp;sourceID=14","690300000")</f>
        <v>690300000</v>
      </c>
      <c r="G573" s="4" t="str">
        <f>HYPERLINK("http://141.218.60.56/~jnz1568/getInfo.php?workbook=18_08.xlsx&amp;sheet=A0&amp;row=573&amp;col=7&amp;number=0&amp;sourceID=14","0")</f>
        <v>0</v>
      </c>
    </row>
    <row r="574" spans="1:7">
      <c r="A574" s="3">
        <v>18</v>
      </c>
      <c r="B574" s="3">
        <v>8</v>
      </c>
      <c r="C574" s="3">
        <v>46</v>
      </c>
      <c r="D574" s="3">
        <v>9</v>
      </c>
      <c r="E574" s="3">
        <v>-49.172</v>
      </c>
      <c r="F574" s="4" t="str">
        <f>HYPERLINK("http://141.218.60.56/~jnz1568/getInfo.php?workbook=18_08.xlsx&amp;sheet=A0&amp;row=574&amp;col=6&amp;number=4764000000&amp;sourceID=14","4764000000")</f>
        <v>4764000000</v>
      </c>
      <c r="G574" s="4" t="str">
        <f>HYPERLINK("http://141.218.60.56/~jnz1568/getInfo.php?workbook=18_08.xlsx&amp;sheet=A0&amp;row=574&amp;col=7&amp;number=0&amp;sourceID=14","0")</f>
        <v>0</v>
      </c>
    </row>
    <row r="575" spans="1:7">
      <c r="A575" s="3">
        <v>18</v>
      </c>
      <c r="B575" s="3">
        <v>8</v>
      </c>
      <c r="C575" s="3">
        <v>47</v>
      </c>
      <c r="D575" s="3">
        <v>9</v>
      </c>
      <c r="E575" s="3">
        <v>-49.301</v>
      </c>
      <c r="F575" s="4" t="str">
        <f>HYPERLINK("http://141.218.60.56/~jnz1568/getInfo.php?workbook=18_08.xlsx&amp;sheet=A0&amp;row=575&amp;col=6&amp;number=48.63&amp;sourceID=14","48.63")</f>
        <v>48.63</v>
      </c>
      <c r="G575" s="4" t="str">
        <f>HYPERLINK("http://141.218.60.56/~jnz1568/getInfo.php?workbook=18_08.xlsx&amp;sheet=A0&amp;row=575&amp;col=7&amp;number=0&amp;sourceID=14","0")</f>
        <v>0</v>
      </c>
    </row>
    <row r="576" spans="1:7">
      <c r="A576" s="3">
        <v>18</v>
      </c>
      <c r="B576" s="3">
        <v>8</v>
      </c>
      <c r="C576" s="3">
        <v>48</v>
      </c>
      <c r="D576" s="3">
        <v>9</v>
      </c>
      <c r="E576" s="3">
        <v>-49.07</v>
      </c>
      <c r="F576" s="4" t="str">
        <f>HYPERLINK("http://141.218.60.56/~jnz1568/getInfo.php?workbook=18_08.xlsx&amp;sheet=A0&amp;row=576&amp;col=6&amp;number=3497000000&amp;sourceID=14","3497000000")</f>
        <v>3497000000</v>
      </c>
      <c r="G576" s="4" t="str">
        <f>HYPERLINK("http://141.218.60.56/~jnz1568/getInfo.php?workbook=18_08.xlsx&amp;sheet=A0&amp;row=576&amp;col=7&amp;number=0&amp;sourceID=14","0")</f>
        <v>0</v>
      </c>
    </row>
    <row r="577" spans="1:7">
      <c r="A577" s="3">
        <v>18</v>
      </c>
      <c r="B577" s="3">
        <v>8</v>
      </c>
      <c r="C577" s="3">
        <v>49</v>
      </c>
      <c r="D577" s="3">
        <v>9</v>
      </c>
      <c r="E577" s="3">
        <v>-48.818</v>
      </c>
      <c r="F577" s="4" t="str">
        <f>HYPERLINK("http://141.218.60.56/~jnz1568/getInfo.php?workbook=18_08.xlsx&amp;sheet=A0&amp;row=577&amp;col=6&amp;number=1093000000&amp;sourceID=14","1093000000")</f>
        <v>1093000000</v>
      </c>
      <c r="G577" s="4" t="str">
        <f>HYPERLINK("http://141.218.60.56/~jnz1568/getInfo.php?workbook=18_08.xlsx&amp;sheet=A0&amp;row=577&amp;col=7&amp;number=0&amp;sourceID=14","0")</f>
        <v>0</v>
      </c>
    </row>
    <row r="578" spans="1:7">
      <c r="A578" s="3">
        <v>18</v>
      </c>
      <c r="B578" s="3">
        <v>8</v>
      </c>
      <c r="C578" s="3">
        <v>50</v>
      </c>
      <c r="D578" s="3">
        <v>9</v>
      </c>
      <c r="E578" s="3">
        <v>-48.749</v>
      </c>
      <c r="F578" s="4" t="str">
        <f>HYPERLINK("http://141.218.60.56/~jnz1568/getInfo.php?workbook=18_08.xlsx&amp;sheet=A0&amp;row=578&amp;col=6&amp;number=419600000&amp;sourceID=14","419600000")</f>
        <v>419600000</v>
      </c>
      <c r="G578" s="4" t="str">
        <f>HYPERLINK("http://141.218.60.56/~jnz1568/getInfo.php?workbook=18_08.xlsx&amp;sheet=A0&amp;row=578&amp;col=7&amp;number=0&amp;sourceID=14","0")</f>
        <v>0</v>
      </c>
    </row>
    <row r="579" spans="1:7">
      <c r="A579" s="3">
        <v>18</v>
      </c>
      <c r="B579" s="3">
        <v>8</v>
      </c>
      <c r="C579" s="3">
        <v>51</v>
      </c>
      <c r="D579" s="3">
        <v>9</v>
      </c>
      <c r="E579" s="3">
        <v>47.713</v>
      </c>
      <c r="F579" s="4" t="str">
        <f>HYPERLINK("http://141.218.60.56/~jnz1568/getInfo.php?workbook=18_08.xlsx&amp;sheet=A0&amp;row=579&amp;col=6&amp;number=6612&amp;sourceID=14","6612")</f>
        <v>6612</v>
      </c>
      <c r="G579" s="4" t="str">
        <f>HYPERLINK("http://141.218.60.56/~jnz1568/getInfo.php?workbook=18_08.xlsx&amp;sheet=A0&amp;row=579&amp;col=7&amp;number=0&amp;sourceID=14","0")</f>
        <v>0</v>
      </c>
    </row>
    <row r="580" spans="1:7">
      <c r="A580" s="3">
        <v>18</v>
      </c>
      <c r="B580" s="3">
        <v>8</v>
      </c>
      <c r="C580" s="3">
        <v>52</v>
      </c>
      <c r="D580" s="3">
        <v>9</v>
      </c>
      <c r="E580" s="3">
        <v>47.74</v>
      </c>
      <c r="F580" s="4" t="str">
        <f>HYPERLINK("http://141.218.60.56/~jnz1568/getInfo.php?workbook=18_08.xlsx&amp;sheet=A0&amp;row=580&amp;col=6&amp;number=2763&amp;sourceID=14","2763")</f>
        <v>2763</v>
      </c>
      <c r="G580" s="4" t="str">
        <f>HYPERLINK("http://141.218.60.56/~jnz1568/getInfo.php?workbook=18_08.xlsx&amp;sheet=A0&amp;row=580&amp;col=7&amp;number=0&amp;sourceID=14","0")</f>
        <v>0</v>
      </c>
    </row>
    <row r="581" spans="1:7">
      <c r="A581" s="3">
        <v>18</v>
      </c>
      <c r="B581" s="3">
        <v>8</v>
      </c>
      <c r="C581" s="3">
        <v>53</v>
      </c>
      <c r="D581" s="3">
        <v>9</v>
      </c>
      <c r="E581" s="3">
        <v>-48.716</v>
      </c>
      <c r="F581" s="4" t="str">
        <f>HYPERLINK("http://141.218.60.56/~jnz1568/getInfo.php?workbook=18_08.xlsx&amp;sheet=A0&amp;row=581&amp;col=6&amp;number=174400000&amp;sourceID=14","174400000")</f>
        <v>174400000</v>
      </c>
      <c r="G581" s="4" t="str">
        <f>HYPERLINK("http://141.218.60.56/~jnz1568/getInfo.php?workbook=18_08.xlsx&amp;sheet=A0&amp;row=581&amp;col=7&amp;number=0&amp;sourceID=14","0")</f>
        <v>0</v>
      </c>
    </row>
    <row r="582" spans="1:7">
      <c r="A582" s="3">
        <v>18</v>
      </c>
      <c r="B582" s="3">
        <v>8</v>
      </c>
      <c r="C582" s="3">
        <v>54</v>
      </c>
      <c r="D582" s="3">
        <v>9</v>
      </c>
      <c r="E582" s="3">
        <v>47.713</v>
      </c>
      <c r="F582" s="4" t="str">
        <f>HYPERLINK("http://141.218.60.56/~jnz1568/getInfo.php?workbook=18_08.xlsx&amp;sheet=A0&amp;row=582&amp;col=6&amp;number=7326&amp;sourceID=14","7326")</f>
        <v>7326</v>
      </c>
      <c r="G582" s="4" t="str">
        <f>HYPERLINK("http://141.218.60.56/~jnz1568/getInfo.php?workbook=18_08.xlsx&amp;sheet=A0&amp;row=582&amp;col=7&amp;number=0&amp;sourceID=14","0")</f>
        <v>0</v>
      </c>
    </row>
    <row r="583" spans="1:7">
      <c r="A583" s="3">
        <v>18</v>
      </c>
      <c r="B583" s="3">
        <v>8</v>
      </c>
      <c r="C583" s="3">
        <v>55</v>
      </c>
      <c r="D583" s="3">
        <v>9</v>
      </c>
      <c r="E583" s="3">
        <v>-48.023</v>
      </c>
      <c r="F583" s="4" t="str">
        <f>HYPERLINK("http://141.218.60.56/~jnz1568/getInfo.php?workbook=18_08.xlsx&amp;sheet=A0&amp;row=583&amp;col=6&amp;number=134000000&amp;sourceID=14","134000000")</f>
        <v>134000000</v>
      </c>
      <c r="G583" s="4" t="str">
        <f>HYPERLINK("http://141.218.60.56/~jnz1568/getInfo.php?workbook=18_08.xlsx&amp;sheet=A0&amp;row=583&amp;col=7&amp;number=0&amp;sourceID=14","0")</f>
        <v>0</v>
      </c>
    </row>
    <row r="584" spans="1:7">
      <c r="A584" s="3">
        <v>18</v>
      </c>
      <c r="B584" s="3">
        <v>8</v>
      </c>
      <c r="C584" s="3">
        <v>56</v>
      </c>
      <c r="D584" s="3">
        <v>9</v>
      </c>
      <c r="E584" s="3">
        <v>46.347</v>
      </c>
      <c r="F584" s="4" t="str">
        <f>HYPERLINK("http://141.218.60.56/~jnz1568/getInfo.php?workbook=18_08.xlsx&amp;sheet=A0&amp;row=584&amp;col=6&amp;number=5869&amp;sourceID=14","5869")</f>
        <v>5869</v>
      </c>
      <c r="G584" s="4" t="str">
        <f>HYPERLINK("http://141.218.60.56/~jnz1568/getInfo.php?workbook=18_08.xlsx&amp;sheet=A0&amp;row=584&amp;col=7&amp;number=0&amp;sourceID=14","0")</f>
        <v>0</v>
      </c>
    </row>
    <row r="585" spans="1:7">
      <c r="A585" s="3">
        <v>18</v>
      </c>
      <c r="B585" s="3">
        <v>8</v>
      </c>
      <c r="C585" s="3">
        <v>57</v>
      </c>
      <c r="D585" s="3">
        <v>9</v>
      </c>
      <c r="E585" s="3">
        <v>-46.864</v>
      </c>
      <c r="F585" s="4" t="str">
        <f>HYPERLINK("http://141.218.60.56/~jnz1568/getInfo.php?workbook=18_08.xlsx&amp;sheet=A0&amp;row=585&amp;col=6&amp;number=1037&amp;sourceID=14","1037")</f>
        <v>1037</v>
      </c>
      <c r="G585" s="4" t="str">
        <f>HYPERLINK("http://141.218.60.56/~jnz1568/getInfo.php?workbook=18_08.xlsx&amp;sheet=A0&amp;row=585&amp;col=7&amp;number=0&amp;sourceID=14","0")</f>
        <v>0</v>
      </c>
    </row>
    <row r="586" spans="1:7">
      <c r="A586" s="3">
        <v>18</v>
      </c>
      <c r="B586" s="3">
        <v>8</v>
      </c>
      <c r="C586" s="3">
        <v>58</v>
      </c>
      <c r="D586" s="3">
        <v>9</v>
      </c>
      <c r="E586" s="3">
        <v>-46.805</v>
      </c>
      <c r="F586" s="4" t="str">
        <f>HYPERLINK("http://141.218.60.56/~jnz1568/getInfo.php?workbook=18_08.xlsx&amp;sheet=A0&amp;row=586&amp;col=6&amp;number=0.5572&amp;sourceID=14","0.5572")</f>
        <v>0.5572</v>
      </c>
      <c r="G586" s="4" t="str">
        <f>HYPERLINK("http://141.218.60.56/~jnz1568/getInfo.php?workbook=18_08.xlsx&amp;sheet=A0&amp;row=586&amp;col=7&amp;number=0&amp;sourceID=14","0")</f>
        <v>0</v>
      </c>
    </row>
    <row r="587" spans="1:7">
      <c r="A587" s="3">
        <v>18</v>
      </c>
      <c r="B587" s="3">
        <v>8</v>
      </c>
      <c r="C587" s="3">
        <v>60</v>
      </c>
      <c r="D587" s="3">
        <v>9</v>
      </c>
      <c r="E587" s="3">
        <v>-46.622</v>
      </c>
      <c r="F587" s="4" t="str">
        <f>HYPERLINK("http://141.218.60.56/~jnz1568/getInfo.php?workbook=18_08.xlsx&amp;sheet=A0&amp;row=587&amp;col=6&amp;number=52360&amp;sourceID=14","52360")</f>
        <v>52360</v>
      </c>
      <c r="G587" s="4" t="str">
        <f>HYPERLINK("http://141.218.60.56/~jnz1568/getInfo.php?workbook=18_08.xlsx&amp;sheet=A0&amp;row=587&amp;col=7&amp;number=0&amp;sourceID=14","0")</f>
        <v>0</v>
      </c>
    </row>
    <row r="588" spans="1:7">
      <c r="A588" s="3">
        <v>18</v>
      </c>
      <c r="B588" s="3">
        <v>8</v>
      </c>
      <c r="C588" s="3">
        <v>64</v>
      </c>
      <c r="D588" s="3">
        <v>9</v>
      </c>
      <c r="E588" s="3">
        <v>45.843</v>
      </c>
      <c r="F588" s="4" t="str">
        <f>HYPERLINK("http://141.218.60.56/~jnz1568/getInfo.php?workbook=18_08.xlsx&amp;sheet=A0&amp;row=588&amp;col=6&amp;number=102900&amp;sourceID=14","102900")</f>
        <v>102900</v>
      </c>
      <c r="G588" s="4" t="str">
        <f>HYPERLINK("http://141.218.60.56/~jnz1568/getInfo.php?workbook=18_08.xlsx&amp;sheet=A0&amp;row=588&amp;col=7&amp;number=0&amp;sourceID=14","0")</f>
        <v>0</v>
      </c>
    </row>
    <row r="589" spans="1:7">
      <c r="A589" s="3">
        <v>18</v>
      </c>
      <c r="B589" s="3">
        <v>8</v>
      </c>
      <c r="C589" s="3">
        <v>65</v>
      </c>
      <c r="D589" s="3">
        <v>9</v>
      </c>
      <c r="E589" s="3">
        <v>-46.874</v>
      </c>
      <c r="F589" s="4" t="str">
        <f>HYPERLINK("http://141.218.60.56/~jnz1568/getInfo.php?workbook=18_08.xlsx&amp;sheet=A0&amp;row=589&amp;col=6&amp;number=22300000000&amp;sourceID=14","22300000000")</f>
        <v>22300000000</v>
      </c>
      <c r="G589" s="4" t="str">
        <f>HYPERLINK("http://141.218.60.56/~jnz1568/getInfo.php?workbook=18_08.xlsx&amp;sheet=A0&amp;row=589&amp;col=7&amp;number=0&amp;sourceID=14","0")</f>
        <v>0</v>
      </c>
    </row>
    <row r="590" spans="1:7">
      <c r="A590" s="3">
        <v>18</v>
      </c>
      <c r="B590" s="3">
        <v>8</v>
      </c>
      <c r="C590" s="3">
        <v>66</v>
      </c>
      <c r="D590" s="3">
        <v>9</v>
      </c>
      <c r="E590" s="3">
        <v>45.851</v>
      </c>
      <c r="F590" s="4" t="str">
        <f>HYPERLINK("http://141.218.60.56/~jnz1568/getInfo.php?workbook=18_08.xlsx&amp;sheet=A0&amp;row=590&amp;col=6&amp;number=8280&amp;sourceID=14","8280")</f>
        <v>8280</v>
      </c>
      <c r="G590" s="4" t="str">
        <f>HYPERLINK("http://141.218.60.56/~jnz1568/getInfo.php?workbook=18_08.xlsx&amp;sheet=A0&amp;row=590&amp;col=7&amp;number=0&amp;sourceID=14","0")</f>
        <v>0</v>
      </c>
    </row>
    <row r="591" spans="1:7">
      <c r="A591" s="3">
        <v>18</v>
      </c>
      <c r="B591" s="3">
        <v>8</v>
      </c>
      <c r="C591" s="3">
        <v>67</v>
      </c>
      <c r="D591" s="3">
        <v>9</v>
      </c>
      <c r="E591" s="3">
        <v>46.035</v>
      </c>
      <c r="F591" s="4" t="str">
        <f>HYPERLINK("http://141.218.60.56/~jnz1568/getInfo.php?workbook=18_08.xlsx&amp;sheet=A0&amp;row=591&amp;col=6&amp;number=37740&amp;sourceID=14","37740")</f>
        <v>37740</v>
      </c>
      <c r="G591" s="4" t="str">
        <f>HYPERLINK("http://141.218.60.56/~jnz1568/getInfo.php?workbook=18_08.xlsx&amp;sheet=A0&amp;row=591&amp;col=7&amp;number=0&amp;sourceID=14","0")</f>
        <v>0</v>
      </c>
    </row>
    <row r="592" spans="1:7">
      <c r="A592" s="3">
        <v>18</v>
      </c>
      <c r="B592" s="3">
        <v>8</v>
      </c>
      <c r="C592" s="3">
        <v>68</v>
      </c>
      <c r="D592" s="3">
        <v>9</v>
      </c>
      <c r="E592" s="3">
        <v>45.818</v>
      </c>
      <c r="F592" s="4" t="str">
        <f>HYPERLINK("http://141.218.60.56/~jnz1568/getInfo.php?workbook=18_08.xlsx&amp;sheet=A0&amp;row=592&amp;col=6&amp;number=20820&amp;sourceID=14","20820")</f>
        <v>20820</v>
      </c>
      <c r="G592" s="4" t="str">
        <f>HYPERLINK("http://141.218.60.56/~jnz1568/getInfo.php?workbook=18_08.xlsx&amp;sheet=A0&amp;row=592&amp;col=7&amp;number=0&amp;sourceID=14","0")</f>
        <v>0</v>
      </c>
    </row>
    <row r="593" spans="1:7">
      <c r="A593" s="3">
        <v>18</v>
      </c>
      <c r="B593" s="3">
        <v>8</v>
      </c>
      <c r="C593" s="3">
        <v>69</v>
      </c>
      <c r="D593" s="3">
        <v>9</v>
      </c>
      <c r="E593" s="3">
        <v>45.63</v>
      </c>
      <c r="F593" s="4" t="str">
        <f>HYPERLINK("http://141.218.60.56/~jnz1568/getInfo.php?workbook=18_08.xlsx&amp;sheet=A0&amp;row=593&amp;col=6&amp;number=14890&amp;sourceID=14","14890")</f>
        <v>14890</v>
      </c>
      <c r="G593" s="4" t="str">
        <f>HYPERLINK("http://141.218.60.56/~jnz1568/getInfo.php?workbook=18_08.xlsx&amp;sheet=A0&amp;row=593&amp;col=7&amp;number=0&amp;sourceID=14","0")</f>
        <v>0</v>
      </c>
    </row>
    <row r="594" spans="1:7">
      <c r="A594" s="3">
        <v>18</v>
      </c>
      <c r="B594" s="3">
        <v>8</v>
      </c>
      <c r="C594" s="3">
        <v>70</v>
      </c>
      <c r="D594" s="3">
        <v>9</v>
      </c>
      <c r="E594" s="3">
        <v>-45.966</v>
      </c>
      <c r="F594" s="4" t="str">
        <f>HYPERLINK("http://141.218.60.56/~jnz1568/getInfo.php?workbook=18_08.xlsx&amp;sheet=A0&amp;row=594&amp;col=6&amp;number=32.13&amp;sourceID=14","32.13")</f>
        <v>32.13</v>
      </c>
      <c r="G594" s="4" t="str">
        <f>HYPERLINK("http://141.218.60.56/~jnz1568/getInfo.php?workbook=18_08.xlsx&amp;sheet=A0&amp;row=594&amp;col=7&amp;number=0&amp;sourceID=14","0")</f>
        <v>0</v>
      </c>
    </row>
    <row r="595" spans="1:7">
      <c r="A595" s="3">
        <v>18</v>
      </c>
      <c r="B595" s="3">
        <v>8</v>
      </c>
      <c r="C595" s="3">
        <v>71</v>
      </c>
      <c r="D595" s="3">
        <v>9</v>
      </c>
      <c r="E595" s="3">
        <v>45.393</v>
      </c>
      <c r="F595" s="4" t="str">
        <f>HYPERLINK("http://141.218.60.56/~jnz1568/getInfo.php?workbook=18_08.xlsx&amp;sheet=A0&amp;row=595&amp;col=6&amp;number=15000&amp;sourceID=14","15000")</f>
        <v>15000</v>
      </c>
      <c r="G595" s="4" t="str">
        <f>HYPERLINK("http://141.218.60.56/~jnz1568/getInfo.php?workbook=18_08.xlsx&amp;sheet=A0&amp;row=595&amp;col=7&amp;number=0&amp;sourceID=14","0")</f>
        <v>0</v>
      </c>
    </row>
    <row r="596" spans="1:7">
      <c r="A596" s="3">
        <v>18</v>
      </c>
      <c r="B596" s="3">
        <v>8</v>
      </c>
      <c r="C596" s="3">
        <v>72</v>
      </c>
      <c r="D596" s="3">
        <v>9</v>
      </c>
      <c r="E596" s="3">
        <v>45.63</v>
      </c>
      <c r="F596" s="4" t="str">
        <f>HYPERLINK("http://141.218.60.56/~jnz1568/getInfo.php?workbook=18_08.xlsx&amp;sheet=A0&amp;row=596&amp;col=6&amp;number=8852&amp;sourceID=14","8852")</f>
        <v>8852</v>
      </c>
      <c r="G596" s="4" t="str">
        <f>HYPERLINK("http://141.218.60.56/~jnz1568/getInfo.php?workbook=18_08.xlsx&amp;sheet=A0&amp;row=596&amp;col=7&amp;number=0&amp;sourceID=14","0")</f>
        <v>0</v>
      </c>
    </row>
    <row r="597" spans="1:7">
      <c r="A597" s="3">
        <v>18</v>
      </c>
      <c r="B597" s="3">
        <v>8</v>
      </c>
      <c r="C597" s="3">
        <v>73</v>
      </c>
      <c r="D597" s="3">
        <v>9</v>
      </c>
      <c r="E597" s="3">
        <v>45.393</v>
      </c>
      <c r="F597" s="4" t="str">
        <f>HYPERLINK("http://141.218.60.56/~jnz1568/getInfo.php?workbook=18_08.xlsx&amp;sheet=A0&amp;row=597&amp;col=6&amp;number=657.8&amp;sourceID=14","657.8")</f>
        <v>657.8</v>
      </c>
      <c r="G597" s="4" t="str">
        <f>HYPERLINK("http://141.218.60.56/~jnz1568/getInfo.php?workbook=18_08.xlsx&amp;sheet=A0&amp;row=597&amp;col=7&amp;number=0&amp;sourceID=14","0")</f>
        <v>0</v>
      </c>
    </row>
    <row r="598" spans="1:7">
      <c r="A598" s="3">
        <v>18</v>
      </c>
      <c r="B598" s="3">
        <v>8</v>
      </c>
      <c r="C598" s="3">
        <v>74</v>
      </c>
      <c r="D598" s="3">
        <v>9</v>
      </c>
      <c r="E598" s="3">
        <v>45.146</v>
      </c>
      <c r="F598" s="4" t="str">
        <f>HYPERLINK("http://141.218.60.56/~jnz1568/getInfo.php?workbook=18_08.xlsx&amp;sheet=A0&amp;row=598&amp;col=6&amp;number=83960&amp;sourceID=14","83960")</f>
        <v>83960</v>
      </c>
      <c r="G598" s="4" t="str">
        <f>HYPERLINK("http://141.218.60.56/~jnz1568/getInfo.php?workbook=18_08.xlsx&amp;sheet=A0&amp;row=598&amp;col=7&amp;number=0&amp;sourceID=14","0")</f>
        <v>0</v>
      </c>
    </row>
    <row r="599" spans="1:7">
      <c r="A599" s="3">
        <v>18</v>
      </c>
      <c r="B599" s="3">
        <v>8</v>
      </c>
      <c r="C599" s="3">
        <v>75</v>
      </c>
      <c r="D599" s="3">
        <v>9</v>
      </c>
      <c r="E599" s="3">
        <v>-45.484</v>
      </c>
      <c r="F599" s="4" t="str">
        <f>HYPERLINK("http://141.218.60.56/~jnz1568/getInfo.php?workbook=18_08.xlsx&amp;sheet=A0&amp;row=599&amp;col=6&amp;number=36490&amp;sourceID=14","36490")</f>
        <v>36490</v>
      </c>
      <c r="G599" s="4" t="str">
        <f>HYPERLINK("http://141.218.60.56/~jnz1568/getInfo.php?workbook=18_08.xlsx&amp;sheet=A0&amp;row=599&amp;col=7&amp;number=0&amp;sourceID=14","0")</f>
        <v>0</v>
      </c>
    </row>
    <row r="600" spans="1:7">
      <c r="A600" s="3">
        <v>18</v>
      </c>
      <c r="B600" s="3">
        <v>8</v>
      </c>
      <c r="C600" s="3">
        <v>77</v>
      </c>
      <c r="D600" s="3">
        <v>9</v>
      </c>
      <c r="E600" s="3">
        <v>45.145</v>
      </c>
      <c r="F600" s="4" t="str">
        <f>HYPERLINK("http://141.218.60.56/~jnz1568/getInfo.php?workbook=18_08.xlsx&amp;sheet=A0&amp;row=600&amp;col=6&amp;number=180900&amp;sourceID=14","180900")</f>
        <v>180900</v>
      </c>
      <c r="G600" s="4" t="str">
        <f>HYPERLINK("http://141.218.60.56/~jnz1568/getInfo.php?workbook=18_08.xlsx&amp;sheet=A0&amp;row=600&amp;col=7&amp;number=0&amp;sourceID=14","0")</f>
        <v>0</v>
      </c>
    </row>
    <row r="601" spans="1:7">
      <c r="A601" s="3">
        <v>18</v>
      </c>
      <c r="B601" s="3">
        <v>8</v>
      </c>
      <c r="C601" s="3">
        <v>78</v>
      </c>
      <c r="D601" s="3">
        <v>9</v>
      </c>
      <c r="E601" s="3">
        <v>-45.467</v>
      </c>
      <c r="F601" s="4" t="str">
        <f>HYPERLINK("http://141.218.60.56/~jnz1568/getInfo.php?workbook=18_08.xlsx&amp;sheet=A0&amp;row=601&amp;col=6&amp;number=1.39&amp;sourceID=14","1.39")</f>
        <v>1.39</v>
      </c>
      <c r="G601" s="4" t="str">
        <f>HYPERLINK("http://141.218.60.56/~jnz1568/getInfo.php?workbook=18_08.xlsx&amp;sheet=A0&amp;row=601&amp;col=7&amp;number=0&amp;sourceID=14","0")</f>
        <v>0</v>
      </c>
    </row>
    <row r="602" spans="1:7">
      <c r="A602" s="3">
        <v>18</v>
      </c>
      <c r="B602" s="3">
        <v>8</v>
      </c>
      <c r="C602" s="3">
        <v>79</v>
      </c>
      <c r="D602" s="3">
        <v>9</v>
      </c>
      <c r="E602" s="3">
        <v>-45.405</v>
      </c>
      <c r="F602" s="4" t="str">
        <f>HYPERLINK("http://141.218.60.56/~jnz1568/getInfo.php?workbook=18_08.xlsx&amp;sheet=A0&amp;row=602&amp;col=6&amp;number=12860&amp;sourceID=14","12860")</f>
        <v>12860</v>
      </c>
      <c r="G602" s="4" t="str">
        <f>HYPERLINK("http://141.218.60.56/~jnz1568/getInfo.php?workbook=18_08.xlsx&amp;sheet=A0&amp;row=602&amp;col=7&amp;number=0&amp;sourceID=14","0")</f>
        <v>0</v>
      </c>
    </row>
    <row r="603" spans="1:7">
      <c r="A603" s="3">
        <v>18</v>
      </c>
      <c r="B603" s="3">
        <v>8</v>
      </c>
      <c r="C603" s="3">
        <v>80</v>
      </c>
      <c r="D603" s="3">
        <v>9</v>
      </c>
      <c r="E603" s="3">
        <v>-45.365</v>
      </c>
      <c r="F603" s="4" t="str">
        <f>HYPERLINK("http://141.218.60.56/~jnz1568/getInfo.php?workbook=18_08.xlsx&amp;sheet=A0&amp;row=603&amp;col=6&amp;number=1790&amp;sourceID=14","1790")</f>
        <v>1790</v>
      </c>
      <c r="G603" s="4" t="str">
        <f>HYPERLINK("http://141.218.60.56/~jnz1568/getInfo.php?workbook=18_08.xlsx&amp;sheet=A0&amp;row=603&amp;col=7&amp;number=0&amp;sourceID=14","0")</f>
        <v>0</v>
      </c>
    </row>
    <row r="604" spans="1:7">
      <c r="A604" s="3">
        <v>18</v>
      </c>
      <c r="B604" s="3">
        <v>8</v>
      </c>
      <c r="C604" s="3">
        <v>81</v>
      </c>
      <c r="D604" s="3">
        <v>9</v>
      </c>
      <c r="E604" s="3">
        <v>44.743</v>
      </c>
      <c r="F604" s="4" t="str">
        <f>HYPERLINK("http://141.218.60.56/~jnz1568/getInfo.php?workbook=18_08.xlsx&amp;sheet=A0&amp;row=604&amp;col=6&amp;number=368400&amp;sourceID=14","368400")</f>
        <v>368400</v>
      </c>
      <c r="G604" s="4" t="str">
        <f>HYPERLINK("http://141.218.60.56/~jnz1568/getInfo.php?workbook=18_08.xlsx&amp;sheet=A0&amp;row=604&amp;col=7&amp;number=0&amp;sourceID=14","0")</f>
        <v>0</v>
      </c>
    </row>
    <row r="605" spans="1:7">
      <c r="A605" s="3">
        <v>18</v>
      </c>
      <c r="B605" s="3">
        <v>8</v>
      </c>
      <c r="C605" s="3">
        <v>82</v>
      </c>
      <c r="D605" s="3">
        <v>9</v>
      </c>
      <c r="E605" s="3">
        <v>44.666</v>
      </c>
      <c r="F605" s="4" t="str">
        <f>HYPERLINK("http://141.218.60.56/~jnz1568/getInfo.php?workbook=18_08.xlsx&amp;sheet=A0&amp;row=605&amp;col=6&amp;number=393100&amp;sourceID=14","393100")</f>
        <v>393100</v>
      </c>
      <c r="G605" s="4" t="str">
        <f>HYPERLINK("http://141.218.60.56/~jnz1568/getInfo.php?workbook=18_08.xlsx&amp;sheet=A0&amp;row=605&amp;col=7&amp;number=0&amp;sourceID=14","0")</f>
        <v>0</v>
      </c>
    </row>
    <row r="606" spans="1:7">
      <c r="A606" s="3">
        <v>18</v>
      </c>
      <c r="B606" s="3">
        <v>8</v>
      </c>
      <c r="C606" s="3">
        <v>83</v>
      </c>
      <c r="D606" s="3">
        <v>9</v>
      </c>
      <c r="E606" s="3">
        <v>44.471</v>
      </c>
      <c r="F606" s="4" t="str">
        <f>HYPERLINK("http://141.218.60.56/~jnz1568/getInfo.php?workbook=18_08.xlsx&amp;sheet=A0&amp;row=606&amp;col=6&amp;number=26150&amp;sourceID=14","26150")</f>
        <v>26150</v>
      </c>
      <c r="G606" s="4" t="str">
        <f>HYPERLINK("http://141.218.60.56/~jnz1568/getInfo.php?workbook=18_08.xlsx&amp;sheet=A0&amp;row=606&amp;col=7&amp;number=0&amp;sourceID=14","0")</f>
        <v>0</v>
      </c>
    </row>
    <row r="607" spans="1:7">
      <c r="A607" s="3">
        <v>18</v>
      </c>
      <c r="B607" s="3">
        <v>8</v>
      </c>
      <c r="C607" s="3">
        <v>84</v>
      </c>
      <c r="D607" s="3">
        <v>9</v>
      </c>
      <c r="E607" s="3">
        <v>44.66</v>
      </c>
      <c r="F607" s="4" t="str">
        <f>HYPERLINK("http://141.218.60.56/~jnz1568/getInfo.php?workbook=18_08.xlsx&amp;sheet=A0&amp;row=607&amp;col=6&amp;number=1637000&amp;sourceID=14","1637000")</f>
        <v>1637000</v>
      </c>
      <c r="G607" s="4" t="str">
        <f>HYPERLINK("http://141.218.60.56/~jnz1568/getInfo.php?workbook=18_08.xlsx&amp;sheet=A0&amp;row=607&amp;col=7&amp;number=0&amp;sourceID=14","0")</f>
        <v>0</v>
      </c>
    </row>
    <row r="608" spans="1:7">
      <c r="A608" s="3">
        <v>18</v>
      </c>
      <c r="B608" s="3">
        <v>8</v>
      </c>
      <c r="C608" s="3">
        <v>85</v>
      </c>
      <c r="D608" s="3">
        <v>9</v>
      </c>
      <c r="E608" s="3">
        <v>44.358</v>
      </c>
      <c r="F608" s="4" t="str">
        <f>HYPERLINK("http://141.218.60.56/~jnz1568/getInfo.php?workbook=18_08.xlsx&amp;sheet=A0&amp;row=608&amp;col=6&amp;number=2935000&amp;sourceID=14","2935000")</f>
        <v>2935000</v>
      </c>
      <c r="G608" s="4" t="str">
        <f>HYPERLINK("http://141.218.60.56/~jnz1568/getInfo.php?workbook=18_08.xlsx&amp;sheet=A0&amp;row=608&amp;col=7&amp;number=0&amp;sourceID=14","0")</f>
        <v>0</v>
      </c>
    </row>
    <row r="609" spans="1:7">
      <c r="A609" s="3">
        <v>18</v>
      </c>
      <c r="B609" s="3">
        <v>8</v>
      </c>
      <c r="C609" s="3">
        <v>86</v>
      </c>
      <c r="D609" s="3">
        <v>9</v>
      </c>
      <c r="E609" s="3">
        <v>43.762</v>
      </c>
      <c r="F609" s="4" t="str">
        <f>HYPERLINK("http://141.218.60.56/~jnz1568/getInfo.php?workbook=18_08.xlsx&amp;sheet=A0&amp;row=609&amp;col=6&amp;number=1807000&amp;sourceID=14","1807000")</f>
        <v>1807000</v>
      </c>
      <c r="G609" s="4" t="str">
        <f>HYPERLINK("http://141.218.60.56/~jnz1568/getInfo.php?workbook=18_08.xlsx&amp;sheet=A0&amp;row=609&amp;col=7&amp;number=0&amp;sourceID=14","0")</f>
        <v>0</v>
      </c>
    </row>
    <row r="610" spans="1:7">
      <c r="A610" s="3">
        <v>18</v>
      </c>
      <c r="B610" s="3">
        <v>8</v>
      </c>
      <c r="C610" s="3">
        <v>11</v>
      </c>
      <c r="D610" s="3">
        <v>10</v>
      </c>
      <c r="E610" s="3">
        <v>80.143</v>
      </c>
      <c r="F610" s="4" t="str">
        <f>HYPERLINK("http://141.218.60.56/~jnz1568/getInfo.php?workbook=18_08.xlsx&amp;sheet=A0&amp;row=610&amp;col=6&amp;number=8.872e-05&amp;sourceID=14","8.872e-05")</f>
        <v>8.872e-05</v>
      </c>
      <c r="G610" s="4" t="str">
        <f>HYPERLINK("http://141.218.60.56/~jnz1568/getInfo.php?workbook=18_08.xlsx&amp;sheet=A0&amp;row=610&amp;col=7&amp;number=0&amp;sourceID=14","0")</f>
        <v>0</v>
      </c>
    </row>
    <row r="611" spans="1:7">
      <c r="A611" s="3">
        <v>18</v>
      </c>
      <c r="B611" s="3">
        <v>8</v>
      </c>
      <c r="C611" s="3">
        <v>12</v>
      </c>
      <c r="D611" s="3">
        <v>10</v>
      </c>
      <c r="E611" s="3">
        <v>77.791</v>
      </c>
      <c r="F611" s="4" t="str">
        <f>HYPERLINK("http://141.218.60.56/~jnz1568/getInfo.php?workbook=18_08.xlsx&amp;sheet=A0&amp;row=611&amp;col=6&amp;number=499.1&amp;sourceID=14","499.1")</f>
        <v>499.1</v>
      </c>
      <c r="G611" s="4" t="str">
        <f>HYPERLINK("http://141.218.60.56/~jnz1568/getInfo.php?workbook=18_08.xlsx&amp;sheet=A0&amp;row=611&amp;col=7&amp;number=0&amp;sourceID=14","0")</f>
        <v>0</v>
      </c>
    </row>
    <row r="612" spans="1:7">
      <c r="A612" s="3">
        <v>18</v>
      </c>
      <c r="B612" s="3">
        <v>8</v>
      </c>
      <c r="C612" s="3">
        <v>13</v>
      </c>
      <c r="D612" s="3">
        <v>10</v>
      </c>
      <c r="E612" s="3">
        <v>73.986</v>
      </c>
      <c r="F612" s="4" t="str">
        <f>HYPERLINK("http://141.218.60.56/~jnz1568/getInfo.php?workbook=18_08.xlsx&amp;sheet=A0&amp;row=612&amp;col=6&amp;number=15040&amp;sourceID=14","15040")</f>
        <v>15040</v>
      </c>
      <c r="G612" s="4" t="str">
        <f>HYPERLINK("http://141.218.60.56/~jnz1568/getInfo.php?workbook=18_08.xlsx&amp;sheet=A0&amp;row=612&amp;col=7&amp;number=0&amp;sourceID=14","0")</f>
        <v>0</v>
      </c>
    </row>
    <row r="613" spans="1:7">
      <c r="A613" s="3">
        <v>18</v>
      </c>
      <c r="B613" s="3">
        <v>8</v>
      </c>
      <c r="C613" s="3">
        <v>14</v>
      </c>
      <c r="D613" s="3">
        <v>10</v>
      </c>
      <c r="E613" s="3">
        <v>73.917</v>
      </c>
      <c r="F613" s="4" t="str">
        <f>HYPERLINK("http://141.218.60.56/~jnz1568/getInfo.php?workbook=18_08.xlsx&amp;sheet=A0&amp;row=613&amp;col=6&amp;number=0.001769&amp;sourceID=14","0.001769")</f>
        <v>0.001769</v>
      </c>
      <c r="G613" s="4" t="str">
        <f>HYPERLINK("http://141.218.60.56/~jnz1568/getInfo.php?workbook=18_08.xlsx&amp;sheet=A0&amp;row=613&amp;col=7&amp;number=0&amp;sourceID=14","0")</f>
        <v>0</v>
      </c>
    </row>
    <row r="614" spans="1:7">
      <c r="A614" s="3">
        <v>18</v>
      </c>
      <c r="B614" s="3">
        <v>8</v>
      </c>
      <c r="C614" s="3">
        <v>16</v>
      </c>
      <c r="D614" s="3">
        <v>10</v>
      </c>
      <c r="E614" s="3">
        <v>73.067</v>
      </c>
      <c r="F614" s="4" t="str">
        <f>HYPERLINK("http://141.218.60.56/~jnz1568/getInfo.php?workbook=18_08.xlsx&amp;sheet=A0&amp;row=614&amp;col=6&amp;number=0.06138&amp;sourceID=14","0.06138")</f>
        <v>0.06138</v>
      </c>
      <c r="G614" s="4" t="str">
        <f>HYPERLINK("http://141.218.60.56/~jnz1568/getInfo.php?workbook=18_08.xlsx&amp;sheet=A0&amp;row=614&amp;col=7&amp;number=0&amp;sourceID=14","0")</f>
        <v>0</v>
      </c>
    </row>
    <row r="615" spans="1:7">
      <c r="A615" s="3">
        <v>18</v>
      </c>
      <c r="B615" s="3">
        <v>8</v>
      </c>
      <c r="C615" s="3">
        <v>17</v>
      </c>
      <c r="D615" s="3">
        <v>10</v>
      </c>
      <c r="E615" s="3">
        <v>72.277</v>
      </c>
      <c r="F615" s="4" t="str">
        <f>HYPERLINK("http://141.218.60.56/~jnz1568/getInfo.php?workbook=18_08.xlsx&amp;sheet=A0&amp;row=615&amp;col=6&amp;number=1.719e-06&amp;sourceID=14","1.719e-06")</f>
        <v>1.719e-06</v>
      </c>
      <c r="G615" s="4" t="str">
        <f>HYPERLINK("http://141.218.60.56/~jnz1568/getInfo.php?workbook=18_08.xlsx&amp;sheet=A0&amp;row=615&amp;col=7&amp;number=0&amp;sourceID=14","0")</f>
        <v>0</v>
      </c>
    </row>
    <row r="616" spans="1:7">
      <c r="A616" s="3">
        <v>18</v>
      </c>
      <c r="B616" s="3">
        <v>8</v>
      </c>
      <c r="C616" s="3">
        <v>18</v>
      </c>
      <c r="D616" s="3">
        <v>10</v>
      </c>
      <c r="E616" s="3">
        <v>72.219</v>
      </c>
      <c r="F616" s="4" t="str">
        <f>HYPERLINK("http://141.218.60.56/~jnz1568/getInfo.php?workbook=18_08.xlsx&amp;sheet=A0&amp;row=616&amp;col=6&amp;number=0.002926&amp;sourceID=14","0.002926")</f>
        <v>0.002926</v>
      </c>
      <c r="G616" s="4" t="str">
        <f>HYPERLINK("http://141.218.60.56/~jnz1568/getInfo.php?workbook=18_08.xlsx&amp;sheet=A0&amp;row=616&amp;col=7&amp;number=0&amp;sourceID=14","0")</f>
        <v>0</v>
      </c>
    </row>
    <row r="617" spans="1:7">
      <c r="A617" s="3">
        <v>18</v>
      </c>
      <c r="B617" s="3">
        <v>8</v>
      </c>
      <c r="C617" s="3">
        <v>20</v>
      </c>
      <c r="D617" s="3">
        <v>10</v>
      </c>
      <c r="E617" s="3">
        <v>-72.63</v>
      </c>
      <c r="F617" s="4" t="str">
        <f>HYPERLINK("http://141.218.60.56/~jnz1568/getInfo.php?workbook=18_08.xlsx&amp;sheet=A0&amp;row=617&amp;col=6&amp;number=0.06007&amp;sourceID=14","0.06007")</f>
        <v>0.06007</v>
      </c>
      <c r="G617" s="4" t="str">
        <f>HYPERLINK("http://141.218.60.56/~jnz1568/getInfo.php?workbook=18_08.xlsx&amp;sheet=A0&amp;row=617&amp;col=7&amp;number=0&amp;sourceID=14","0")</f>
        <v>0</v>
      </c>
    </row>
    <row r="618" spans="1:7">
      <c r="A618" s="3">
        <v>18</v>
      </c>
      <c r="B618" s="3">
        <v>8</v>
      </c>
      <c r="C618" s="3">
        <v>21</v>
      </c>
      <c r="D618" s="3">
        <v>10</v>
      </c>
      <c r="E618" s="3">
        <v>-72.565</v>
      </c>
      <c r="F618" s="4" t="str">
        <f>HYPERLINK("http://141.218.60.56/~jnz1568/getInfo.php?workbook=18_08.xlsx&amp;sheet=A0&amp;row=618&amp;col=6&amp;number=0.5032&amp;sourceID=14","0.5032")</f>
        <v>0.5032</v>
      </c>
      <c r="G618" s="4" t="str">
        <f>HYPERLINK("http://141.218.60.56/~jnz1568/getInfo.php?workbook=18_08.xlsx&amp;sheet=A0&amp;row=618&amp;col=7&amp;number=0&amp;sourceID=14","0")</f>
        <v>0</v>
      </c>
    </row>
    <row r="619" spans="1:7">
      <c r="A619" s="3">
        <v>18</v>
      </c>
      <c r="B619" s="3">
        <v>8</v>
      </c>
      <c r="C619" s="3">
        <v>24</v>
      </c>
      <c r="D619" s="3">
        <v>10</v>
      </c>
      <c r="E619" s="3">
        <v>-73.256</v>
      </c>
      <c r="F619" s="4" t="str">
        <f>HYPERLINK("http://141.218.60.56/~jnz1568/getInfo.php?workbook=18_08.xlsx&amp;sheet=A0&amp;row=619&amp;col=6&amp;number=455.3&amp;sourceID=14","455.3")</f>
        <v>455.3</v>
      </c>
      <c r="G619" s="4" t="str">
        <f>HYPERLINK("http://141.218.60.56/~jnz1568/getInfo.php?workbook=18_08.xlsx&amp;sheet=A0&amp;row=619&amp;col=7&amp;number=0&amp;sourceID=14","0")</f>
        <v>0</v>
      </c>
    </row>
    <row r="620" spans="1:7">
      <c r="A620" s="3">
        <v>18</v>
      </c>
      <c r="B620" s="3">
        <v>8</v>
      </c>
      <c r="C620" s="3">
        <v>25</v>
      </c>
      <c r="D620" s="3">
        <v>10</v>
      </c>
      <c r="E620" s="3">
        <v>70.958</v>
      </c>
      <c r="F620" s="4" t="str">
        <f>HYPERLINK("http://141.218.60.56/~jnz1568/getInfo.php?workbook=18_08.xlsx&amp;sheet=A0&amp;row=620&amp;col=6&amp;number=6.757e-05&amp;sourceID=14","6.757e-05")</f>
        <v>6.757e-05</v>
      </c>
      <c r="G620" s="4" t="str">
        <f>HYPERLINK("http://141.218.60.56/~jnz1568/getInfo.php?workbook=18_08.xlsx&amp;sheet=A0&amp;row=620&amp;col=7&amp;number=0&amp;sourceID=14","0")</f>
        <v>0</v>
      </c>
    </row>
    <row r="621" spans="1:7">
      <c r="A621" s="3">
        <v>18</v>
      </c>
      <c r="B621" s="3">
        <v>8</v>
      </c>
      <c r="C621" s="3">
        <v>26</v>
      </c>
      <c r="D621" s="3">
        <v>10</v>
      </c>
      <c r="E621" s="3">
        <v>70.708</v>
      </c>
      <c r="F621" s="4" t="str">
        <f>HYPERLINK("http://141.218.60.56/~jnz1568/getInfo.php?workbook=18_08.xlsx&amp;sheet=A0&amp;row=621&amp;col=6&amp;number=1367000&amp;sourceID=14","1367000")</f>
        <v>1367000</v>
      </c>
      <c r="G621" s="4" t="str">
        <f>HYPERLINK("http://141.218.60.56/~jnz1568/getInfo.php?workbook=18_08.xlsx&amp;sheet=A0&amp;row=621&amp;col=7&amp;number=0&amp;sourceID=14","0")</f>
        <v>0</v>
      </c>
    </row>
    <row r="622" spans="1:7">
      <c r="A622" s="3">
        <v>18</v>
      </c>
      <c r="B622" s="3">
        <v>8</v>
      </c>
      <c r="C622" s="3">
        <v>27</v>
      </c>
      <c r="D622" s="3">
        <v>10</v>
      </c>
      <c r="E622" s="3">
        <v>-69.215</v>
      </c>
      <c r="F622" s="4" t="str">
        <f>HYPERLINK("http://141.218.60.56/~jnz1568/getInfo.php?workbook=18_08.xlsx&amp;sheet=A0&amp;row=622&amp;col=6&amp;number=5.52e-05&amp;sourceID=14","5.52e-05")</f>
        <v>5.52e-05</v>
      </c>
      <c r="G622" s="4" t="str">
        <f>HYPERLINK("http://141.218.60.56/~jnz1568/getInfo.php?workbook=18_08.xlsx&amp;sheet=A0&amp;row=622&amp;col=7&amp;number=0&amp;sourceID=14","0")</f>
        <v>0</v>
      </c>
    </row>
    <row r="623" spans="1:7">
      <c r="A623" s="3">
        <v>18</v>
      </c>
      <c r="B623" s="3">
        <v>8</v>
      </c>
      <c r="C623" s="3">
        <v>28</v>
      </c>
      <c r="D623" s="3">
        <v>10</v>
      </c>
      <c r="E623" s="3">
        <v>-69.374</v>
      </c>
      <c r="F623" s="4" t="str">
        <f>HYPERLINK("http://141.218.60.56/~jnz1568/getInfo.php?workbook=18_08.xlsx&amp;sheet=A0&amp;row=623&amp;col=6&amp;number=1.049&amp;sourceID=14","1.049")</f>
        <v>1.049</v>
      </c>
      <c r="G623" s="4" t="str">
        <f>HYPERLINK("http://141.218.60.56/~jnz1568/getInfo.php?workbook=18_08.xlsx&amp;sheet=A0&amp;row=623&amp;col=7&amp;number=0&amp;sourceID=14","0")</f>
        <v>0</v>
      </c>
    </row>
    <row r="624" spans="1:7">
      <c r="A624" s="3">
        <v>18</v>
      </c>
      <c r="B624" s="3">
        <v>8</v>
      </c>
      <c r="C624" s="3">
        <v>30</v>
      </c>
      <c r="D624" s="3">
        <v>10</v>
      </c>
      <c r="E624" s="3">
        <v>-69.788</v>
      </c>
      <c r="F624" s="4" t="str">
        <f>HYPERLINK("http://141.218.60.56/~jnz1568/getInfo.php?workbook=18_08.xlsx&amp;sheet=A0&amp;row=624&amp;col=6&amp;number=0.004677&amp;sourceID=14","0.004677")</f>
        <v>0.004677</v>
      </c>
      <c r="G624" s="4" t="str">
        <f>HYPERLINK("http://141.218.60.56/~jnz1568/getInfo.php?workbook=18_08.xlsx&amp;sheet=A0&amp;row=624&amp;col=7&amp;number=0&amp;sourceID=14","0")</f>
        <v>0</v>
      </c>
    </row>
    <row r="625" spans="1:7">
      <c r="A625" s="3">
        <v>18</v>
      </c>
      <c r="B625" s="3">
        <v>8</v>
      </c>
      <c r="C625" s="3">
        <v>31</v>
      </c>
      <c r="D625" s="3">
        <v>10</v>
      </c>
      <c r="E625" s="3">
        <v>-68.885</v>
      </c>
      <c r="F625" s="4" t="str">
        <f>HYPERLINK("http://141.218.60.56/~jnz1568/getInfo.php?workbook=18_08.xlsx&amp;sheet=A0&amp;row=625&amp;col=6&amp;number=7.016&amp;sourceID=14","7.016")</f>
        <v>7.016</v>
      </c>
      <c r="G625" s="4" t="str">
        <f>HYPERLINK("http://141.218.60.56/~jnz1568/getInfo.php?workbook=18_08.xlsx&amp;sheet=A0&amp;row=625&amp;col=7&amp;number=0&amp;sourceID=14","0")</f>
        <v>0</v>
      </c>
    </row>
    <row r="626" spans="1:7">
      <c r="A626" s="3">
        <v>18</v>
      </c>
      <c r="B626" s="3">
        <v>8</v>
      </c>
      <c r="C626" s="3">
        <v>36</v>
      </c>
      <c r="D626" s="3">
        <v>10</v>
      </c>
      <c r="E626" s="3">
        <v>-66.492</v>
      </c>
      <c r="F626" s="4" t="str">
        <f>HYPERLINK("http://141.218.60.56/~jnz1568/getInfo.php?workbook=18_08.xlsx&amp;sheet=A0&amp;row=626&amp;col=6&amp;number=0.03625&amp;sourceID=14","0.03625")</f>
        <v>0.03625</v>
      </c>
      <c r="G626" s="4" t="str">
        <f>HYPERLINK("http://141.218.60.56/~jnz1568/getInfo.php?workbook=18_08.xlsx&amp;sheet=A0&amp;row=626&amp;col=7&amp;number=0&amp;sourceID=14","0")</f>
        <v>0</v>
      </c>
    </row>
    <row r="627" spans="1:7">
      <c r="A627" s="3">
        <v>18</v>
      </c>
      <c r="B627" s="3">
        <v>8</v>
      </c>
      <c r="C627" s="3">
        <v>37</v>
      </c>
      <c r="D627" s="3">
        <v>10</v>
      </c>
      <c r="E627" s="3">
        <v>65.182</v>
      </c>
      <c r="F627" s="4" t="str">
        <f>HYPERLINK("http://141.218.60.56/~jnz1568/getInfo.php?workbook=18_08.xlsx&amp;sheet=A0&amp;row=627&amp;col=6&amp;number=7.906&amp;sourceID=14","7.906")</f>
        <v>7.906</v>
      </c>
      <c r="G627" s="4" t="str">
        <f>HYPERLINK("http://141.218.60.56/~jnz1568/getInfo.php?workbook=18_08.xlsx&amp;sheet=A0&amp;row=627&amp;col=7&amp;number=0&amp;sourceID=14","0")</f>
        <v>0</v>
      </c>
    </row>
    <row r="628" spans="1:7">
      <c r="A628" s="3">
        <v>18</v>
      </c>
      <c r="B628" s="3">
        <v>8</v>
      </c>
      <c r="C628" s="3">
        <v>39</v>
      </c>
      <c r="D628" s="3">
        <v>10</v>
      </c>
      <c r="E628" s="3">
        <v>-65.942</v>
      </c>
      <c r="F628" s="4" t="str">
        <f>HYPERLINK("http://141.218.60.56/~jnz1568/getInfo.php?workbook=18_08.xlsx&amp;sheet=A0&amp;row=628&amp;col=6&amp;number=142.9&amp;sourceID=14","142.9")</f>
        <v>142.9</v>
      </c>
      <c r="G628" s="4" t="str">
        <f>HYPERLINK("http://141.218.60.56/~jnz1568/getInfo.php?workbook=18_08.xlsx&amp;sheet=A0&amp;row=628&amp;col=7&amp;number=0&amp;sourceID=14","0")</f>
        <v>0</v>
      </c>
    </row>
    <row r="629" spans="1:7">
      <c r="A629" s="3">
        <v>18</v>
      </c>
      <c r="B629" s="3">
        <v>8</v>
      </c>
      <c r="C629" s="3">
        <v>40</v>
      </c>
      <c r="D629" s="3">
        <v>10</v>
      </c>
      <c r="E629" s="3">
        <v>64.71</v>
      </c>
      <c r="F629" s="4" t="str">
        <f>HYPERLINK("http://141.218.60.56/~jnz1568/getInfo.php?workbook=18_08.xlsx&amp;sheet=A0&amp;row=629&amp;col=6&amp;number=0.002266&amp;sourceID=14","0.002266")</f>
        <v>0.002266</v>
      </c>
      <c r="G629" s="4" t="str">
        <f>HYPERLINK("http://141.218.60.56/~jnz1568/getInfo.php?workbook=18_08.xlsx&amp;sheet=A0&amp;row=629&amp;col=7&amp;number=0&amp;sourceID=14","0")</f>
        <v>0</v>
      </c>
    </row>
    <row r="630" spans="1:7">
      <c r="A630" s="3">
        <v>18</v>
      </c>
      <c r="B630" s="3">
        <v>8</v>
      </c>
      <c r="C630" s="3">
        <v>43</v>
      </c>
      <c r="D630" s="3">
        <v>10</v>
      </c>
      <c r="E630" s="3">
        <v>-66.481</v>
      </c>
      <c r="F630" s="4" t="str">
        <f>HYPERLINK("http://141.218.60.56/~jnz1568/getInfo.php?workbook=18_08.xlsx&amp;sheet=A0&amp;row=630&amp;col=6&amp;number=8.256&amp;sourceID=14","8.256")</f>
        <v>8.256</v>
      </c>
      <c r="G630" s="4" t="str">
        <f>HYPERLINK("http://141.218.60.56/~jnz1568/getInfo.php?workbook=18_08.xlsx&amp;sheet=A0&amp;row=630&amp;col=7&amp;number=0&amp;sourceID=14","0")</f>
        <v>0</v>
      </c>
    </row>
    <row r="631" spans="1:7">
      <c r="A631" s="3">
        <v>18</v>
      </c>
      <c r="B631" s="3">
        <v>8</v>
      </c>
      <c r="C631" s="3">
        <v>44</v>
      </c>
      <c r="D631" s="3">
        <v>10</v>
      </c>
      <c r="E631" s="3">
        <v>-67.245</v>
      </c>
      <c r="F631" s="4" t="str">
        <f>HYPERLINK("http://141.218.60.56/~jnz1568/getInfo.php?workbook=18_08.xlsx&amp;sheet=A0&amp;row=631&amp;col=6&amp;number=0.008064&amp;sourceID=14","0.008064")</f>
        <v>0.008064</v>
      </c>
      <c r="G631" s="4" t="str">
        <f>HYPERLINK("http://141.218.60.56/~jnz1568/getInfo.php?workbook=18_08.xlsx&amp;sheet=A0&amp;row=631&amp;col=7&amp;number=0&amp;sourceID=14","0")</f>
        <v>0</v>
      </c>
    </row>
    <row r="632" spans="1:7">
      <c r="A632" s="3">
        <v>18</v>
      </c>
      <c r="B632" s="3">
        <v>8</v>
      </c>
      <c r="C632" s="3">
        <v>45</v>
      </c>
      <c r="D632" s="3">
        <v>10</v>
      </c>
      <c r="E632" s="3">
        <v>-66.567</v>
      </c>
      <c r="F632" s="4" t="str">
        <f>HYPERLINK("http://141.218.60.56/~jnz1568/getInfo.php?workbook=18_08.xlsx&amp;sheet=A0&amp;row=632&amp;col=6&amp;number=2.485e-06&amp;sourceID=14","2.485e-06")</f>
        <v>2.485e-06</v>
      </c>
      <c r="G632" s="4" t="str">
        <f>HYPERLINK("http://141.218.60.56/~jnz1568/getInfo.php?workbook=18_08.xlsx&amp;sheet=A0&amp;row=632&amp;col=7&amp;number=0&amp;sourceID=14","0")</f>
        <v>0</v>
      </c>
    </row>
    <row r="633" spans="1:7">
      <c r="A633" s="3">
        <v>18</v>
      </c>
      <c r="B633" s="3">
        <v>8</v>
      </c>
      <c r="C633" s="3">
        <v>46</v>
      </c>
      <c r="D633" s="3">
        <v>10</v>
      </c>
      <c r="E633" s="3">
        <v>-66.09</v>
      </c>
      <c r="F633" s="4" t="str">
        <f>HYPERLINK("http://141.218.60.56/~jnz1568/getInfo.php?workbook=18_08.xlsx&amp;sheet=A0&amp;row=633&amp;col=6&amp;number=39.1&amp;sourceID=14","39.1")</f>
        <v>39.1</v>
      </c>
      <c r="G633" s="4" t="str">
        <f>HYPERLINK("http://141.218.60.56/~jnz1568/getInfo.php?workbook=18_08.xlsx&amp;sheet=A0&amp;row=633&amp;col=7&amp;number=0&amp;sourceID=14","0")</f>
        <v>0</v>
      </c>
    </row>
    <row r="634" spans="1:7">
      <c r="A634" s="3">
        <v>18</v>
      </c>
      <c r="B634" s="3">
        <v>8</v>
      </c>
      <c r="C634" s="3">
        <v>48</v>
      </c>
      <c r="D634" s="3">
        <v>10</v>
      </c>
      <c r="E634" s="3">
        <v>-65.905</v>
      </c>
      <c r="F634" s="4" t="str">
        <f>HYPERLINK("http://141.218.60.56/~jnz1568/getInfo.php?workbook=18_08.xlsx&amp;sheet=A0&amp;row=634&amp;col=6&amp;number=0.001521&amp;sourceID=14","0.001521")</f>
        <v>0.001521</v>
      </c>
      <c r="G634" s="4" t="str">
        <f>HYPERLINK("http://141.218.60.56/~jnz1568/getInfo.php?workbook=18_08.xlsx&amp;sheet=A0&amp;row=634&amp;col=7&amp;number=0&amp;sourceID=14","0")</f>
        <v>0</v>
      </c>
    </row>
    <row r="635" spans="1:7">
      <c r="A635" s="3">
        <v>18</v>
      </c>
      <c r="B635" s="3">
        <v>8</v>
      </c>
      <c r="C635" s="3">
        <v>49</v>
      </c>
      <c r="D635" s="3">
        <v>10</v>
      </c>
      <c r="E635" s="3">
        <v>-65.452</v>
      </c>
      <c r="F635" s="4" t="str">
        <f>HYPERLINK("http://141.218.60.56/~jnz1568/getInfo.php?workbook=18_08.xlsx&amp;sheet=A0&amp;row=635&amp;col=6&amp;number=99.04&amp;sourceID=14","99.04")</f>
        <v>99.04</v>
      </c>
      <c r="G635" s="4" t="str">
        <f>HYPERLINK("http://141.218.60.56/~jnz1568/getInfo.php?workbook=18_08.xlsx&amp;sheet=A0&amp;row=635&amp;col=7&amp;number=0&amp;sourceID=14","0")</f>
        <v>0</v>
      </c>
    </row>
    <row r="636" spans="1:7">
      <c r="A636" s="3">
        <v>18</v>
      </c>
      <c r="B636" s="3">
        <v>8</v>
      </c>
      <c r="C636" s="3">
        <v>50</v>
      </c>
      <c r="D636" s="3">
        <v>10</v>
      </c>
      <c r="E636" s="3">
        <v>-65.328</v>
      </c>
      <c r="F636" s="4" t="str">
        <f>HYPERLINK("http://141.218.60.56/~jnz1568/getInfo.php?workbook=18_08.xlsx&amp;sheet=A0&amp;row=636&amp;col=6&amp;number=0.2267&amp;sourceID=14","0.2267")</f>
        <v>0.2267</v>
      </c>
      <c r="G636" s="4" t="str">
        <f>HYPERLINK("http://141.218.60.56/~jnz1568/getInfo.php?workbook=18_08.xlsx&amp;sheet=A0&amp;row=636&amp;col=7&amp;number=0&amp;sourceID=14","0")</f>
        <v>0</v>
      </c>
    </row>
    <row r="637" spans="1:7">
      <c r="A637" s="3">
        <v>18</v>
      </c>
      <c r="B637" s="3">
        <v>8</v>
      </c>
      <c r="C637" s="3">
        <v>51</v>
      </c>
      <c r="D637" s="3">
        <v>10</v>
      </c>
      <c r="E637" s="3">
        <v>62.866</v>
      </c>
      <c r="F637" s="4" t="str">
        <f>HYPERLINK("http://141.218.60.56/~jnz1568/getInfo.php?workbook=18_08.xlsx&amp;sheet=A0&amp;row=637&amp;col=6&amp;number=0.0009203&amp;sourceID=14","0.0009203")</f>
        <v>0.0009203</v>
      </c>
      <c r="G637" s="4" t="str">
        <f>HYPERLINK("http://141.218.60.56/~jnz1568/getInfo.php?workbook=18_08.xlsx&amp;sheet=A0&amp;row=637&amp;col=7&amp;number=0&amp;sourceID=14","0")</f>
        <v>0</v>
      </c>
    </row>
    <row r="638" spans="1:7">
      <c r="A638" s="3">
        <v>18</v>
      </c>
      <c r="B638" s="3">
        <v>8</v>
      </c>
      <c r="C638" s="3">
        <v>52</v>
      </c>
      <c r="D638" s="3">
        <v>10</v>
      </c>
      <c r="E638" s="3">
        <v>62.913</v>
      </c>
      <c r="F638" s="4" t="str">
        <f>HYPERLINK("http://141.218.60.56/~jnz1568/getInfo.php?workbook=18_08.xlsx&amp;sheet=A0&amp;row=638&amp;col=6&amp;number=67690&amp;sourceID=14","67690")</f>
        <v>67690</v>
      </c>
      <c r="G638" s="4" t="str">
        <f>HYPERLINK("http://141.218.60.56/~jnz1568/getInfo.php?workbook=18_08.xlsx&amp;sheet=A0&amp;row=638&amp;col=7&amp;number=0&amp;sourceID=14","0")</f>
        <v>0</v>
      </c>
    </row>
    <row r="639" spans="1:7">
      <c r="A639" s="3">
        <v>18</v>
      </c>
      <c r="B639" s="3">
        <v>8</v>
      </c>
      <c r="C639" s="3">
        <v>55</v>
      </c>
      <c r="D639" s="3">
        <v>10</v>
      </c>
      <c r="E639" s="3">
        <v>-64.031</v>
      </c>
      <c r="F639" s="4" t="str">
        <f>HYPERLINK("http://141.218.60.56/~jnz1568/getInfo.php?workbook=18_08.xlsx&amp;sheet=A0&amp;row=639&amp;col=6&amp;number=4118&amp;sourceID=14","4118")</f>
        <v>4118</v>
      </c>
      <c r="G639" s="4" t="str">
        <f>HYPERLINK("http://141.218.60.56/~jnz1568/getInfo.php?workbook=18_08.xlsx&amp;sheet=A0&amp;row=639&amp;col=7&amp;number=0&amp;sourceID=14","0")</f>
        <v>0</v>
      </c>
    </row>
    <row r="640" spans="1:7">
      <c r="A640" s="3">
        <v>18</v>
      </c>
      <c r="B640" s="3">
        <v>8</v>
      </c>
      <c r="C640" s="3">
        <v>56</v>
      </c>
      <c r="D640" s="3">
        <v>10</v>
      </c>
      <c r="E640" s="3">
        <v>60.515</v>
      </c>
      <c r="F640" s="4" t="str">
        <f>HYPERLINK("http://141.218.60.56/~jnz1568/getInfo.php?workbook=18_08.xlsx&amp;sheet=A0&amp;row=640&amp;col=6&amp;number=0.005298&amp;sourceID=14","0.005298")</f>
        <v>0.005298</v>
      </c>
      <c r="G640" s="4" t="str">
        <f>HYPERLINK("http://141.218.60.56/~jnz1568/getInfo.php?workbook=18_08.xlsx&amp;sheet=A0&amp;row=640&amp;col=7&amp;number=0&amp;sourceID=14","0")</f>
        <v>0</v>
      </c>
    </row>
    <row r="641" spans="1:7">
      <c r="A641" s="3">
        <v>18</v>
      </c>
      <c r="B641" s="3">
        <v>8</v>
      </c>
      <c r="C641" s="3">
        <v>64</v>
      </c>
      <c r="D641" s="3">
        <v>10</v>
      </c>
      <c r="E641" s="3">
        <v>59.66</v>
      </c>
      <c r="F641" s="4" t="str">
        <f>HYPERLINK("http://141.218.60.56/~jnz1568/getInfo.php?workbook=18_08.xlsx&amp;sheet=A0&amp;row=641&amp;col=6&amp;number=5884000&amp;sourceID=14","5884000")</f>
        <v>5884000</v>
      </c>
      <c r="G641" s="4" t="str">
        <f>HYPERLINK("http://141.218.60.56/~jnz1568/getInfo.php?workbook=18_08.xlsx&amp;sheet=A0&amp;row=641&amp;col=7&amp;number=0&amp;sourceID=14","0")</f>
        <v>0</v>
      </c>
    </row>
    <row r="642" spans="1:7">
      <c r="A642" s="3">
        <v>18</v>
      </c>
      <c r="B642" s="3">
        <v>8</v>
      </c>
      <c r="C642" s="3">
        <v>66</v>
      </c>
      <c r="D642" s="3">
        <v>10</v>
      </c>
      <c r="E642" s="3">
        <v>59.673</v>
      </c>
      <c r="F642" s="4" t="str">
        <f>HYPERLINK("http://141.218.60.56/~jnz1568/getInfo.php?workbook=18_08.xlsx&amp;sheet=A0&amp;row=642&amp;col=6&amp;number=0.108&amp;sourceID=14","0.108")</f>
        <v>0.108</v>
      </c>
      <c r="G642" s="4" t="str">
        <f>HYPERLINK("http://141.218.60.56/~jnz1568/getInfo.php?workbook=18_08.xlsx&amp;sheet=A0&amp;row=642&amp;col=7&amp;number=0&amp;sourceID=14","0")</f>
        <v>0</v>
      </c>
    </row>
    <row r="643" spans="1:7">
      <c r="A643" s="3">
        <v>18</v>
      </c>
      <c r="B643" s="3">
        <v>8</v>
      </c>
      <c r="C643" s="3">
        <v>67</v>
      </c>
      <c r="D643" s="3">
        <v>10</v>
      </c>
      <c r="E643" s="3">
        <v>59.984</v>
      </c>
      <c r="F643" s="4" t="str">
        <f>HYPERLINK("http://141.218.60.56/~jnz1568/getInfo.php?workbook=18_08.xlsx&amp;sheet=A0&amp;row=643&amp;col=6&amp;number=9039000&amp;sourceID=14","9039000")</f>
        <v>9039000</v>
      </c>
      <c r="G643" s="4" t="str">
        <f>HYPERLINK("http://141.218.60.56/~jnz1568/getInfo.php?workbook=18_08.xlsx&amp;sheet=A0&amp;row=643&amp;col=7&amp;number=0&amp;sourceID=14","0")</f>
        <v>0</v>
      </c>
    </row>
    <row r="644" spans="1:7">
      <c r="A644" s="3">
        <v>18</v>
      </c>
      <c r="B644" s="3">
        <v>8</v>
      </c>
      <c r="C644" s="3">
        <v>69</v>
      </c>
      <c r="D644" s="3">
        <v>10</v>
      </c>
      <c r="E644" s="3">
        <v>59.298</v>
      </c>
      <c r="F644" s="4" t="str">
        <f>HYPERLINK("http://141.218.60.56/~jnz1568/getInfo.php?workbook=18_08.xlsx&amp;sheet=A0&amp;row=644&amp;col=6&amp;number=0.7784&amp;sourceID=14","0.7784")</f>
        <v>0.7784</v>
      </c>
      <c r="G644" s="4" t="str">
        <f>HYPERLINK("http://141.218.60.56/~jnz1568/getInfo.php?workbook=18_08.xlsx&amp;sheet=A0&amp;row=644&amp;col=7&amp;number=0&amp;sourceID=14","0")</f>
        <v>0</v>
      </c>
    </row>
    <row r="645" spans="1:7">
      <c r="A645" s="3">
        <v>18</v>
      </c>
      <c r="B645" s="3">
        <v>8</v>
      </c>
      <c r="C645" s="3">
        <v>71</v>
      </c>
      <c r="D645" s="3">
        <v>10</v>
      </c>
      <c r="E645" s="3">
        <v>58.9</v>
      </c>
      <c r="F645" s="4" t="str">
        <f>HYPERLINK("http://141.218.60.56/~jnz1568/getInfo.php?workbook=18_08.xlsx&amp;sheet=A0&amp;row=645&amp;col=6&amp;number=5273&amp;sourceID=14","5273")</f>
        <v>5273</v>
      </c>
      <c r="G645" s="4" t="str">
        <f>HYPERLINK("http://141.218.60.56/~jnz1568/getInfo.php?workbook=18_08.xlsx&amp;sheet=A0&amp;row=645&amp;col=7&amp;number=0&amp;sourceID=14","0")</f>
        <v>0</v>
      </c>
    </row>
    <row r="646" spans="1:7">
      <c r="A646" s="3">
        <v>18</v>
      </c>
      <c r="B646" s="3">
        <v>8</v>
      </c>
      <c r="C646" s="3">
        <v>72</v>
      </c>
      <c r="D646" s="3">
        <v>10</v>
      </c>
      <c r="E646" s="3">
        <v>59.298</v>
      </c>
      <c r="F646" s="4" t="str">
        <f>HYPERLINK("http://141.218.60.56/~jnz1568/getInfo.php?workbook=18_08.xlsx&amp;sheet=A0&amp;row=646&amp;col=6&amp;number=0.6186&amp;sourceID=14","0.6186")</f>
        <v>0.6186</v>
      </c>
      <c r="G646" s="4" t="str">
        <f>HYPERLINK("http://141.218.60.56/~jnz1568/getInfo.php?workbook=18_08.xlsx&amp;sheet=A0&amp;row=646&amp;col=7&amp;number=0&amp;sourceID=14","0")</f>
        <v>0</v>
      </c>
    </row>
    <row r="647" spans="1:7">
      <c r="A647" s="3">
        <v>18</v>
      </c>
      <c r="B647" s="3">
        <v>8</v>
      </c>
      <c r="C647" s="3">
        <v>73</v>
      </c>
      <c r="D647" s="3">
        <v>10</v>
      </c>
      <c r="E647" s="3">
        <v>58.9</v>
      </c>
      <c r="F647" s="4" t="str">
        <f>HYPERLINK("http://141.218.60.56/~jnz1568/getInfo.php?workbook=18_08.xlsx&amp;sheet=A0&amp;row=647&amp;col=6&amp;number=833600&amp;sourceID=14","833600")</f>
        <v>833600</v>
      </c>
      <c r="G647" s="4" t="str">
        <f>HYPERLINK("http://141.218.60.56/~jnz1568/getInfo.php?workbook=18_08.xlsx&amp;sheet=A0&amp;row=647&amp;col=7&amp;number=0&amp;sourceID=14","0")</f>
        <v>0</v>
      </c>
    </row>
    <row r="648" spans="1:7">
      <c r="A648" s="3">
        <v>18</v>
      </c>
      <c r="B648" s="3">
        <v>8</v>
      </c>
      <c r="C648" s="3">
        <v>75</v>
      </c>
      <c r="D648" s="3">
        <v>10</v>
      </c>
      <c r="E648" s="3">
        <v>-59.594</v>
      </c>
      <c r="F648" s="4" t="str">
        <f>HYPERLINK("http://141.218.60.56/~jnz1568/getInfo.php?workbook=18_08.xlsx&amp;sheet=A0&amp;row=648&amp;col=6&amp;number=0.0202&amp;sourceID=14","0.0202")</f>
        <v>0.0202</v>
      </c>
      <c r="G648" s="4" t="str">
        <f>HYPERLINK("http://141.218.60.56/~jnz1568/getInfo.php?workbook=18_08.xlsx&amp;sheet=A0&amp;row=648&amp;col=7&amp;number=0&amp;sourceID=14","0")</f>
        <v>0</v>
      </c>
    </row>
    <row r="649" spans="1:7">
      <c r="A649" s="3">
        <v>18</v>
      </c>
      <c r="B649" s="3">
        <v>8</v>
      </c>
      <c r="C649" s="3">
        <v>79</v>
      </c>
      <c r="D649" s="3">
        <v>10</v>
      </c>
      <c r="E649" s="3">
        <v>-59.459</v>
      </c>
      <c r="F649" s="4" t="str">
        <f>HYPERLINK("http://141.218.60.56/~jnz1568/getInfo.php?workbook=18_08.xlsx&amp;sheet=A0&amp;row=649&amp;col=6&amp;number=1111000&amp;sourceID=14","1111000")</f>
        <v>1111000</v>
      </c>
      <c r="G649" s="4" t="str">
        <f>HYPERLINK("http://141.218.60.56/~jnz1568/getInfo.php?workbook=18_08.xlsx&amp;sheet=A0&amp;row=649&amp;col=7&amp;number=0&amp;sourceID=14","0")</f>
        <v>0</v>
      </c>
    </row>
    <row r="650" spans="1:7">
      <c r="A650" s="3">
        <v>18</v>
      </c>
      <c r="B650" s="3">
        <v>8</v>
      </c>
      <c r="C650" s="3">
        <v>80</v>
      </c>
      <c r="D650" s="3">
        <v>10</v>
      </c>
      <c r="E650" s="3">
        <v>-59.391</v>
      </c>
      <c r="F650" s="4" t="str">
        <f>HYPERLINK("http://141.218.60.56/~jnz1568/getInfo.php?workbook=18_08.xlsx&amp;sheet=A0&amp;row=650&amp;col=6&amp;number=1.246&amp;sourceID=14","1.246")</f>
        <v>1.246</v>
      </c>
      <c r="G650" s="4" t="str">
        <f>HYPERLINK("http://141.218.60.56/~jnz1568/getInfo.php?workbook=18_08.xlsx&amp;sheet=A0&amp;row=650&amp;col=7&amp;number=0&amp;sourceID=14","0")</f>
        <v>0</v>
      </c>
    </row>
    <row r="651" spans="1:7">
      <c r="A651" s="3">
        <v>18</v>
      </c>
      <c r="B651" s="3">
        <v>8</v>
      </c>
      <c r="C651" s="3">
        <v>81</v>
      </c>
      <c r="D651" s="3">
        <v>10</v>
      </c>
      <c r="E651" s="3">
        <v>57.81</v>
      </c>
      <c r="F651" s="4" t="str">
        <f>HYPERLINK("http://141.218.60.56/~jnz1568/getInfo.php?workbook=18_08.xlsx&amp;sheet=A0&amp;row=651&amp;col=6&amp;number=0.03431&amp;sourceID=14","0.03431")</f>
        <v>0.03431</v>
      </c>
      <c r="G651" s="4" t="str">
        <f>HYPERLINK("http://141.218.60.56/~jnz1568/getInfo.php?workbook=18_08.xlsx&amp;sheet=A0&amp;row=651&amp;col=7&amp;number=0&amp;sourceID=14","0")</f>
        <v>0</v>
      </c>
    </row>
    <row r="652" spans="1:7">
      <c r="A652" s="3">
        <v>18</v>
      </c>
      <c r="B652" s="3">
        <v>8</v>
      </c>
      <c r="C652" s="3">
        <v>83</v>
      </c>
      <c r="D652" s="3">
        <v>10</v>
      </c>
      <c r="E652" s="3">
        <v>57.357</v>
      </c>
      <c r="F652" s="4" t="str">
        <f>HYPERLINK("http://141.218.60.56/~jnz1568/getInfo.php?workbook=18_08.xlsx&amp;sheet=A0&amp;row=652&amp;col=6&amp;number=419600&amp;sourceID=14","419600")</f>
        <v>419600</v>
      </c>
      <c r="G652" s="4" t="str">
        <f>HYPERLINK("http://141.218.60.56/~jnz1568/getInfo.php?workbook=18_08.xlsx&amp;sheet=A0&amp;row=652&amp;col=7&amp;number=0&amp;sourceID=14","0")</f>
        <v>0</v>
      </c>
    </row>
    <row r="653" spans="1:7">
      <c r="A653" s="3">
        <v>18</v>
      </c>
      <c r="B653" s="3">
        <v>8</v>
      </c>
      <c r="C653" s="3">
        <v>84</v>
      </c>
      <c r="D653" s="3">
        <v>10</v>
      </c>
      <c r="E653" s="3">
        <v>57.671</v>
      </c>
      <c r="F653" s="4" t="str">
        <f>HYPERLINK("http://141.218.60.56/~jnz1568/getInfo.php?workbook=18_08.xlsx&amp;sheet=A0&amp;row=653&amp;col=6&amp;number=0.453&amp;sourceID=14","0.453")</f>
        <v>0.453</v>
      </c>
      <c r="G653" s="4" t="str">
        <f>HYPERLINK("http://141.218.60.56/~jnz1568/getInfo.php?workbook=18_08.xlsx&amp;sheet=A0&amp;row=653&amp;col=7&amp;number=0&amp;sourceID=14","0")</f>
        <v>0</v>
      </c>
    </row>
    <row r="654" spans="1:7">
      <c r="A654" s="3">
        <v>18</v>
      </c>
      <c r="B654" s="3">
        <v>8</v>
      </c>
      <c r="C654" s="3">
        <v>86</v>
      </c>
      <c r="D654" s="3">
        <v>10</v>
      </c>
      <c r="E654" s="3">
        <v>56.183</v>
      </c>
      <c r="F654" s="4" t="str">
        <f>HYPERLINK("http://141.218.60.56/~jnz1568/getInfo.php?workbook=18_08.xlsx&amp;sheet=A0&amp;row=654&amp;col=6&amp;number=55780000&amp;sourceID=14","55780000")</f>
        <v>55780000</v>
      </c>
      <c r="G654" s="4" t="str">
        <f>HYPERLINK("http://141.218.60.56/~jnz1568/getInfo.php?workbook=18_08.xlsx&amp;sheet=A0&amp;row=654&amp;col=7&amp;number=0&amp;sourceID=14","0")</f>
        <v>0</v>
      </c>
    </row>
    <row r="655" spans="1:7">
      <c r="A655" s="3">
        <v>18</v>
      </c>
      <c r="B655" s="3">
        <v>8</v>
      </c>
      <c r="C655" s="3">
        <v>12</v>
      </c>
      <c r="D655" s="3">
        <v>11</v>
      </c>
      <c r="E655" s="3">
        <v>2651.465</v>
      </c>
      <c r="F655" s="4" t="str">
        <f>HYPERLINK("http://141.218.60.56/~jnz1568/getInfo.php?workbook=18_08.xlsx&amp;sheet=A0&amp;row=655&amp;col=6&amp;number=0.0202&amp;sourceID=14","0.0202")</f>
        <v>0.0202</v>
      </c>
      <c r="G655" s="4" t="str">
        <f>HYPERLINK("http://141.218.60.56/~jnz1568/getInfo.php?workbook=18_08.xlsx&amp;sheet=A0&amp;row=655&amp;col=7&amp;number=0&amp;sourceID=14","0")</f>
        <v>0</v>
      </c>
    </row>
    <row r="656" spans="1:7">
      <c r="A656" s="3">
        <v>18</v>
      </c>
      <c r="B656" s="3">
        <v>8</v>
      </c>
      <c r="C656" s="3">
        <v>13</v>
      </c>
      <c r="D656" s="3">
        <v>11</v>
      </c>
      <c r="E656" s="3">
        <v>963.085</v>
      </c>
      <c r="F656" s="4" t="str">
        <f>HYPERLINK("http://141.218.60.56/~jnz1568/getInfo.php?workbook=18_08.xlsx&amp;sheet=A0&amp;row=656&amp;col=6&amp;number=15.75&amp;sourceID=14","15.75")</f>
        <v>15.75</v>
      </c>
      <c r="G656" s="4" t="str">
        <f>HYPERLINK("http://141.218.60.56/~jnz1568/getInfo.php?workbook=18_08.xlsx&amp;sheet=A0&amp;row=656&amp;col=7&amp;number=0&amp;sourceID=14","0")</f>
        <v>0</v>
      </c>
    </row>
    <row r="657" spans="1:7">
      <c r="A657" s="3">
        <v>18</v>
      </c>
      <c r="B657" s="3">
        <v>8</v>
      </c>
      <c r="C657" s="3">
        <v>14</v>
      </c>
      <c r="D657" s="3">
        <v>11</v>
      </c>
      <c r="E657" s="3">
        <v>951.475</v>
      </c>
      <c r="F657" s="4" t="str">
        <f>HYPERLINK("http://141.218.60.56/~jnz1568/getInfo.php?workbook=18_08.xlsx&amp;sheet=A0&amp;row=657&amp;col=6&amp;number=63.95&amp;sourceID=14","63.95")</f>
        <v>63.95</v>
      </c>
      <c r="G657" s="4" t="str">
        <f>HYPERLINK("http://141.218.60.56/~jnz1568/getInfo.php?workbook=18_08.xlsx&amp;sheet=A0&amp;row=657&amp;col=7&amp;number=0&amp;sourceID=14","0")</f>
        <v>0</v>
      </c>
    </row>
    <row r="658" spans="1:7">
      <c r="A658" s="3">
        <v>18</v>
      </c>
      <c r="B658" s="3">
        <v>8</v>
      </c>
      <c r="C658" s="3">
        <v>15</v>
      </c>
      <c r="D658" s="3">
        <v>11</v>
      </c>
      <c r="E658" s="3">
        <v>940.141</v>
      </c>
      <c r="F658" s="4" t="str">
        <f>HYPERLINK("http://141.218.60.56/~jnz1568/getInfo.php?workbook=18_08.xlsx&amp;sheet=A0&amp;row=658&amp;col=6&amp;number=1.614&amp;sourceID=14","1.614")</f>
        <v>1.614</v>
      </c>
      <c r="G658" s="4" t="str">
        <f>HYPERLINK("http://141.218.60.56/~jnz1568/getInfo.php?workbook=18_08.xlsx&amp;sheet=A0&amp;row=658&amp;col=7&amp;number=0&amp;sourceID=14","0")</f>
        <v>0</v>
      </c>
    </row>
    <row r="659" spans="1:7">
      <c r="A659" s="3">
        <v>18</v>
      </c>
      <c r="B659" s="3">
        <v>8</v>
      </c>
      <c r="C659" s="3">
        <v>16</v>
      </c>
      <c r="D659" s="3">
        <v>11</v>
      </c>
      <c r="E659" s="3">
        <v>827.671</v>
      </c>
      <c r="F659" s="4" t="str">
        <f>HYPERLINK("http://141.218.60.56/~jnz1568/getInfo.php?workbook=18_08.xlsx&amp;sheet=A0&amp;row=659&amp;col=6&amp;number=54.49&amp;sourceID=14","54.49")</f>
        <v>54.49</v>
      </c>
      <c r="G659" s="4" t="str">
        <f>HYPERLINK("http://141.218.60.56/~jnz1568/getInfo.php?workbook=18_08.xlsx&amp;sheet=A0&amp;row=659&amp;col=7&amp;number=0&amp;sourceID=14","0")</f>
        <v>0</v>
      </c>
    </row>
    <row r="660" spans="1:7">
      <c r="A660" s="3">
        <v>18</v>
      </c>
      <c r="B660" s="3">
        <v>8</v>
      </c>
      <c r="C660" s="3">
        <v>17</v>
      </c>
      <c r="D660" s="3">
        <v>11</v>
      </c>
      <c r="E660" s="3">
        <v>736.42</v>
      </c>
      <c r="F660" s="4" t="str">
        <f>HYPERLINK("http://141.218.60.56/~jnz1568/getInfo.php?workbook=18_08.xlsx&amp;sheet=A0&amp;row=660&amp;col=6&amp;number=1415000000&amp;sourceID=14","1415000000")</f>
        <v>1415000000</v>
      </c>
      <c r="G660" s="4" t="str">
        <f>HYPERLINK("http://141.218.60.56/~jnz1568/getInfo.php?workbook=18_08.xlsx&amp;sheet=A0&amp;row=660&amp;col=7&amp;number=0&amp;sourceID=14","0")</f>
        <v>0</v>
      </c>
    </row>
    <row r="661" spans="1:7">
      <c r="A661" s="3">
        <v>18</v>
      </c>
      <c r="B661" s="3">
        <v>8</v>
      </c>
      <c r="C661" s="3">
        <v>18</v>
      </c>
      <c r="D661" s="3">
        <v>11</v>
      </c>
      <c r="E661" s="3">
        <v>730.412</v>
      </c>
      <c r="F661" s="4" t="str">
        <f>HYPERLINK("http://141.218.60.56/~jnz1568/getInfo.php?workbook=18_08.xlsx&amp;sheet=A0&amp;row=661&amp;col=6&amp;number=1440000000&amp;sourceID=14","1440000000")</f>
        <v>1440000000</v>
      </c>
      <c r="G661" s="4" t="str">
        <f>HYPERLINK("http://141.218.60.56/~jnz1568/getInfo.php?workbook=18_08.xlsx&amp;sheet=A0&amp;row=661&amp;col=7&amp;number=0&amp;sourceID=14","0")</f>
        <v>0</v>
      </c>
    </row>
    <row r="662" spans="1:7">
      <c r="A662" s="3">
        <v>18</v>
      </c>
      <c r="B662" s="3">
        <v>8</v>
      </c>
      <c r="C662" s="3">
        <v>19</v>
      </c>
      <c r="D662" s="3">
        <v>11</v>
      </c>
      <c r="E662" s="3">
        <v>717.849</v>
      </c>
      <c r="F662" s="4" t="str">
        <f>HYPERLINK("http://141.218.60.56/~jnz1568/getInfo.php?workbook=18_08.xlsx&amp;sheet=A0&amp;row=662&amp;col=6&amp;number=1532000000&amp;sourceID=14","1532000000")</f>
        <v>1532000000</v>
      </c>
      <c r="G662" s="4" t="str">
        <f>HYPERLINK("http://141.218.60.56/~jnz1568/getInfo.php?workbook=18_08.xlsx&amp;sheet=A0&amp;row=662&amp;col=7&amp;number=0&amp;sourceID=14","0")</f>
        <v>0</v>
      </c>
    </row>
    <row r="663" spans="1:7">
      <c r="A663" s="3">
        <v>18</v>
      </c>
      <c r="B663" s="3">
        <v>8</v>
      </c>
      <c r="C663" s="3">
        <v>20</v>
      </c>
      <c r="D663" s="3">
        <v>11</v>
      </c>
      <c r="E663" s="3">
        <v>-588.218</v>
      </c>
      <c r="F663" s="4" t="str">
        <f>HYPERLINK("http://141.218.60.56/~jnz1568/getInfo.php?workbook=18_08.xlsx&amp;sheet=A0&amp;row=663&amp;col=6&amp;number=13540000&amp;sourceID=14","13540000")</f>
        <v>13540000</v>
      </c>
      <c r="G663" s="4" t="str">
        <f>HYPERLINK("http://141.218.60.56/~jnz1568/getInfo.php?workbook=18_08.xlsx&amp;sheet=A0&amp;row=663&amp;col=7&amp;number=0&amp;sourceID=14","0")</f>
        <v>0</v>
      </c>
    </row>
    <row r="664" spans="1:7">
      <c r="A664" s="3">
        <v>18</v>
      </c>
      <c r="B664" s="3">
        <v>8</v>
      </c>
      <c r="C664" s="3">
        <v>21</v>
      </c>
      <c r="D664" s="3">
        <v>11</v>
      </c>
      <c r="E664" s="3">
        <v>-583.94</v>
      </c>
      <c r="F664" s="4" t="str">
        <f>HYPERLINK("http://141.218.60.56/~jnz1568/getInfo.php?workbook=18_08.xlsx&amp;sheet=A0&amp;row=664&amp;col=6&amp;number=33580000&amp;sourceID=14","33580000")</f>
        <v>33580000</v>
      </c>
      <c r="G664" s="4" t="str">
        <f>HYPERLINK("http://141.218.60.56/~jnz1568/getInfo.php?workbook=18_08.xlsx&amp;sheet=A0&amp;row=664&amp;col=7&amp;number=0&amp;sourceID=14","0")</f>
        <v>0</v>
      </c>
    </row>
    <row r="665" spans="1:7">
      <c r="A665" s="3">
        <v>18</v>
      </c>
      <c r="B665" s="3">
        <v>8</v>
      </c>
      <c r="C665" s="3">
        <v>22</v>
      </c>
      <c r="D665" s="3">
        <v>11</v>
      </c>
      <c r="E665" s="3">
        <v>-582.093</v>
      </c>
      <c r="F665" s="4" t="str">
        <f>HYPERLINK("http://141.218.60.56/~jnz1568/getInfo.php?workbook=18_08.xlsx&amp;sheet=A0&amp;row=665&amp;col=6&amp;number=0.9378&amp;sourceID=14","0.9378")</f>
        <v>0.9378</v>
      </c>
      <c r="G665" s="4" t="str">
        <f>HYPERLINK("http://141.218.60.56/~jnz1568/getInfo.php?workbook=18_08.xlsx&amp;sheet=A0&amp;row=665&amp;col=7&amp;number=0&amp;sourceID=14","0")</f>
        <v>0</v>
      </c>
    </row>
    <row r="666" spans="1:7">
      <c r="A666" s="3">
        <v>18</v>
      </c>
      <c r="B666" s="3">
        <v>8</v>
      </c>
      <c r="C666" s="3">
        <v>23</v>
      </c>
      <c r="D666" s="3">
        <v>11</v>
      </c>
      <c r="E666" s="3">
        <v>-638.276</v>
      </c>
      <c r="F666" s="4" t="str">
        <f>HYPERLINK("http://141.218.60.56/~jnz1568/getInfo.php?workbook=18_08.xlsx&amp;sheet=A0&amp;row=666&amp;col=6&amp;number=0.03701&amp;sourceID=14","0.03701")</f>
        <v>0.03701</v>
      </c>
      <c r="G666" s="4" t="str">
        <f>HYPERLINK("http://141.218.60.56/~jnz1568/getInfo.php?workbook=18_08.xlsx&amp;sheet=A0&amp;row=666&amp;col=7&amp;number=0&amp;sourceID=14","0")</f>
        <v>0</v>
      </c>
    </row>
    <row r="667" spans="1:7">
      <c r="A667" s="3">
        <v>18</v>
      </c>
      <c r="B667" s="3">
        <v>8</v>
      </c>
      <c r="C667" s="3">
        <v>24</v>
      </c>
      <c r="D667" s="3">
        <v>11</v>
      </c>
      <c r="E667" s="3">
        <v>-631.91</v>
      </c>
      <c r="F667" s="4" t="str">
        <f>HYPERLINK("http://141.218.60.56/~jnz1568/getInfo.php?workbook=18_08.xlsx&amp;sheet=A0&amp;row=667&amp;col=6&amp;number=620.8&amp;sourceID=14","620.8")</f>
        <v>620.8</v>
      </c>
      <c r="G667" s="4" t="str">
        <f>HYPERLINK("http://141.218.60.56/~jnz1568/getInfo.php?workbook=18_08.xlsx&amp;sheet=A0&amp;row=667&amp;col=7&amp;number=0&amp;sourceID=14","0")</f>
        <v>0</v>
      </c>
    </row>
    <row r="668" spans="1:7">
      <c r="A668" s="3">
        <v>18</v>
      </c>
      <c r="B668" s="3">
        <v>8</v>
      </c>
      <c r="C668" s="3">
        <v>25</v>
      </c>
      <c r="D668" s="3">
        <v>11</v>
      </c>
      <c r="E668" s="3">
        <v>619.195</v>
      </c>
      <c r="F668" s="4" t="str">
        <f>HYPERLINK("http://141.218.60.56/~jnz1568/getInfo.php?workbook=18_08.xlsx&amp;sheet=A0&amp;row=668&amp;col=6&amp;number=873.1&amp;sourceID=14","873.1")</f>
        <v>873.1</v>
      </c>
      <c r="G668" s="4" t="str">
        <f>HYPERLINK("http://141.218.60.56/~jnz1568/getInfo.php?workbook=18_08.xlsx&amp;sheet=A0&amp;row=668&amp;col=7&amp;number=0&amp;sourceID=14","0")</f>
        <v>0</v>
      </c>
    </row>
    <row r="669" spans="1:7">
      <c r="A669" s="3">
        <v>18</v>
      </c>
      <c r="B669" s="3">
        <v>8</v>
      </c>
      <c r="C669" s="3">
        <v>26</v>
      </c>
      <c r="D669" s="3">
        <v>11</v>
      </c>
      <c r="E669" s="3">
        <v>600.633</v>
      </c>
      <c r="F669" s="4" t="str">
        <f>HYPERLINK("http://141.218.60.56/~jnz1568/getInfo.php?workbook=18_08.xlsx&amp;sheet=A0&amp;row=669&amp;col=6&amp;number=6.451&amp;sourceID=14","6.451")</f>
        <v>6.451</v>
      </c>
      <c r="G669" s="4" t="str">
        <f>HYPERLINK("http://141.218.60.56/~jnz1568/getInfo.php?workbook=18_08.xlsx&amp;sheet=A0&amp;row=669&amp;col=7&amp;number=0&amp;sourceID=14","0")</f>
        <v>0</v>
      </c>
    </row>
    <row r="670" spans="1:7">
      <c r="A670" s="3">
        <v>18</v>
      </c>
      <c r="B670" s="3">
        <v>8</v>
      </c>
      <c r="C670" s="3">
        <v>27</v>
      </c>
      <c r="D670" s="3">
        <v>11</v>
      </c>
      <c r="E670" s="3">
        <v>-420.248</v>
      </c>
      <c r="F670" s="4" t="str">
        <f>HYPERLINK("http://141.218.60.56/~jnz1568/getInfo.php?workbook=18_08.xlsx&amp;sheet=A0&amp;row=670&amp;col=6&amp;number=2433&amp;sourceID=14","2433")</f>
        <v>2433</v>
      </c>
      <c r="G670" s="4" t="str">
        <f>HYPERLINK("http://141.218.60.56/~jnz1568/getInfo.php?workbook=18_08.xlsx&amp;sheet=A0&amp;row=670&amp;col=7&amp;number=0&amp;sourceID=14","0")</f>
        <v>0</v>
      </c>
    </row>
    <row r="671" spans="1:7">
      <c r="A671" s="3">
        <v>18</v>
      </c>
      <c r="B671" s="3">
        <v>8</v>
      </c>
      <c r="C671" s="3">
        <v>28</v>
      </c>
      <c r="D671" s="3">
        <v>11</v>
      </c>
      <c r="E671" s="3">
        <v>-426.202</v>
      </c>
      <c r="F671" s="4" t="str">
        <f>HYPERLINK("http://141.218.60.56/~jnz1568/getInfo.php?workbook=18_08.xlsx&amp;sheet=A0&amp;row=671&amp;col=6&amp;number=85140&amp;sourceID=14","85140")</f>
        <v>85140</v>
      </c>
      <c r="G671" s="4" t="str">
        <f>HYPERLINK("http://141.218.60.56/~jnz1568/getInfo.php?workbook=18_08.xlsx&amp;sheet=A0&amp;row=671&amp;col=7&amp;number=0&amp;sourceID=14","0")</f>
        <v>0</v>
      </c>
    </row>
    <row r="672" spans="1:7">
      <c r="A672" s="3">
        <v>18</v>
      </c>
      <c r="B672" s="3">
        <v>8</v>
      </c>
      <c r="C672" s="3">
        <v>29</v>
      </c>
      <c r="D672" s="3">
        <v>11</v>
      </c>
      <c r="E672" s="3">
        <v>-418.941</v>
      </c>
      <c r="F672" s="4" t="str">
        <f>HYPERLINK("http://141.218.60.56/~jnz1568/getInfo.php?workbook=18_08.xlsx&amp;sheet=A0&amp;row=672&amp;col=6&amp;number=1298000&amp;sourceID=14","1298000")</f>
        <v>1298000</v>
      </c>
      <c r="G672" s="4" t="str">
        <f>HYPERLINK("http://141.218.60.56/~jnz1568/getInfo.php?workbook=18_08.xlsx&amp;sheet=A0&amp;row=672&amp;col=7&amp;number=0&amp;sourceID=14","0")</f>
        <v>0</v>
      </c>
    </row>
    <row r="673" spans="1:7">
      <c r="A673" s="3">
        <v>18</v>
      </c>
      <c r="B673" s="3">
        <v>8</v>
      </c>
      <c r="C673" s="3">
        <v>30</v>
      </c>
      <c r="D673" s="3">
        <v>11</v>
      </c>
      <c r="E673" s="3">
        <v>-442.328</v>
      </c>
      <c r="F673" s="4" t="str">
        <f>HYPERLINK("http://141.218.60.56/~jnz1568/getInfo.php?workbook=18_08.xlsx&amp;sheet=A0&amp;row=673&amp;col=6&amp;number=7726&amp;sourceID=14","7726")</f>
        <v>7726</v>
      </c>
      <c r="G673" s="4" t="str">
        <f>HYPERLINK("http://141.218.60.56/~jnz1568/getInfo.php?workbook=18_08.xlsx&amp;sheet=A0&amp;row=673&amp;col=7&amp;number=0&amp;sourceID=14","0")</f>
        <v>0</v>
      </c>
    </row>
    <row r="674" spans="1:7">
      <c r="A674" s="3">
        <v>18</v>
      </c>
      <c r="B674" s="3">
        <v>8</v>
      </c>
      <c r="C674" s="3">
        <v>31</v>
      </c>
      <c r="D674" s="3">
        <v>11</v>
      </c>
      <c r="E674" s="3">
        <v>-408.4</v>
      </c>
      <c r="F674" s="4" t="str">
        <f>HYPERLINK("http://141.218.60.56/~jnz1568/getInfo.php?workbook=18_08.xlsx&amp;sheet=A0&amp;row=674&amp;col=6&amp;number=34300&amp;sourceID=14","34300")</f>
        <v>34300</v>
      </c>
      <c r="G674" s="4" t="str">
        <f>HYPERLINK("http://141.218.60.56/~jnz1568/getInfo.php?workbook=18_08.xlsx&amp;sheet=A0&amp;row=674&amp;col=7&amp;number=0&amp;sourceID=14","0")</f>
        <v>0</v>
      </c>
    </row>
    <row r="675" spans="1:7">
      <c r="A675" s="3">
        <v>18</v>
      </c>
      <c r="B675" s="3">
        <v>8</v>
      </c>
      <c r="C675" s="3">
        <v>32</v>
      </c>
      <c r="D675" s="3">
        <v>11</v>
      </c>
      <c r="E675" s="3">
        <v>-403.608</v>
      </c>
      <c r="F675" s="4" t="str">
        <f>HYPERLINK("http://141.218.60.56/~jnz1568/getInfo.php?workbook=18_08.xlsx&amp;sheet=A0&amp;row=675&amp;col=6&amp;number=342100&amp;sourceID=14","342100")</f>
        <v>342100</v>
      </c>
      <c r="G675" s="4" t="str">
        <f>HYPERLINK("http://141.218.60.56/~jnz1568/getInfo.php?workbook=18_08.xlsx&amp;sheet=A0&amp;row=675&amp;col=7&amp;number=0&amp;sourceID=14","0")</f>
        <v>0</v>
      </c>
    </row>
    <row r="676" spans="1:7">
      <c r="A676" s="3">
        <v>18</v>
      </c>
      <c r="B676" s="3">
        <v>8</v>
      </c>
      <c r="C676" s="3">
        <v>33</v>
      </c>
      <c r="D676" s="3">
        <v>11</v>
      </c>
      <c r="E676" s="3">
        <v>-398.664</v>
      </c>
      <c r="F676" s="4" t="str">
        <f>HYPERLINK("http://141.218.60.56/~jnz1568/getInfo.php?workbook=18_08.xlsx&amp;sheet=A0&amp;row=676&amp;col=6&amp;number=9.283e-06&amp;sourceID=14","9.283e-06")</f>
        <v>9.283e-06</v>
      </c>
      <c r="G676" s="4" t="str">
        <f>HYPERLINK("http://141.218.60.56/~jnz1568/getInfo.php?workbook=18_08.xlsx&amp;sheet=A0&amp;row=676&amp;col=7&amp;number=0&amp;sourceID=14","0")</f>
        <v>0</v>
      </c>
    </row>
    <row r="677" spans="1:7">
      <c r="A677" s="3">
        <v>18</v>
      </c>
      <c r="B677" s="3">
        <v>8</v>
      </c>
      <c r="C677" s="3">
        <v>34</v>
      </c>
      <c r="D677" s="3">
        <v>11</v>
      </c>
      <c r="E677" s="3">
        <v>-393.64</v>
      </c>
      <c r="F677" s="4" t="str">
        <f>HYPERLINK("http://141.218.60.56/~jnz1568/getInfo.php?workbook=18_08.xlsx&amp;sheet=A0&amp;row=677&amp;col=6&amp;number=6942&amp;sourceID=14","6942")</f>
        <v>6942</v>
      </c>
      <c r="G677" s="4" t="str">
        <f>HYPERLINK("http://141.218.60.56/~jnz1568/getInfo.php?workbook=18_08.xlsx&amp;sheet=A0&amp;row=677&amp;col=7&amp;number=0&amp;sourceID=14","0")</f>
        <v>0</v>
      </c>
    </row>
    <row r="678" spans="1:7">
      <c r="A678" s="3">
        <v>18</v>
      </c>
      <c r="B678" s="3">
        <v>8</v>
      </c>
      <c r="C678" s="3">
        <v>35</v>
      </c>
      <c r="D678" s="3">
        <v>11</v>
      </c>
      <c r="E678" s="3">
        <v>-348.029</v>
      </c>
      <c r="F678" s="4" t="str">
        <f>HYPERLINK("http://141.218.60.56/~jnz1568/getInfo.php?workbook=18_08.xlsx&amp;sheet=A0&amp;row=678&amp;col=6&amp;number=0.6111&amp;sourceID=14","0.6111")</f>
        <v>0.6111</v>
      </c>
      <c r="G678" s="4" t="str">
        <f>HYPERLINK("http://141.218.60.56/~jnz1568/getInfo.php?workbook=18_08.xlsx&amp;sheet=A0&amp;row=678&amp;col=7&amp;number=0&amp;sourceID=14","0")</f>
        <v>0</v>
      </c>
    </row>
    <row r="679" spans="1:7">
      <c r="A679" s="3">
        <v>18</v>
      </c>
      <c r="B679" s="3">
        <v>8</v>
      </c>
      <c r="C679" s="3">
        <v>36</v>
      </c>
      <c r="D679" s="3">
        <v>11</v>
      </c>
      <c r="E679" s="3">
        <v>-336.572</v>
      </c>
      <c r="F679" s="4" t="str">
        <f>HYPERLINK("http://141.218.60.56/~jnz1568/getInfo.php?workbook=18_08.xlsx&amp;sheet=A0&amp;row=679&amp;col=6&amp;number=1274000&amp;sourceID=14","1274000")</f>
        <v>1274000</v>
      </c>
      <c r="G679" s="4" t="str">
        <f>HYPERLINK("http://141.218.60.56/~jnz1568/getInfo.php?workbook=18_08.xlsx&amp;sheet=A0&amp;row=679&amp;col=7&amp;number=0&amp;sourceID=14","0")</f>
        <v>0</v>
      </c>
    </row>
    <row r="680" spans="1:7">
      <c r="A680" s="3">
        <v>18</v>
      </c>
      <c r="B680" s="3">
        <v>8</v>
      </c>
      <c r="C680" s="3">
        <v>37</v>
      </c>
      <c r="D680" s="3">
        <v>11</v>
      </c>
      <c r="E680" s="3">
        <v>349.179</v>
      </c>
      <c r="F680" s="4" t="str">
        <f>HYPERLINK("http://141.218.60.56/~jnz1568/getInfo.php?workbook=18_08.xlsx&amp;sheet=A0&amp;row=680&amp;col=6&amp;number=179500&amp;sourceID=14","179500")</f>
        <v>179500</v>
      </c>
      <c r="G680" s="4" t="str">
        <f>HYPERLINK("http://141.218.60.56/~jnz1568/getInfo.php?workbook=18_08.xlsx&amp;sheet=A0&amp;row=680&amp;col=7&amp;number=0&amp;sourceID=14","0")</f>
        <v>0</v>
      </c>
    </row>
    <row r="681" spans="1:7">
      <c r="A681" s="3">
        <v>18</v>
      </c>
      <c r="B681" s="3">
        <v>8</v>
      </c>
      <c r="C681" s="3">
        <v>38</v>
      </c>
      <c r="D681" s="3">
        <v>11</v>
      </c>
      <c r="E681" s="3">
        <v>-323.027</v>
      </c>
      <c r="F681" s="4" t="str">
        <f>HYPERLINK("http://141.218.60.56/~jnz1568/getInfo.php?workbook=18_08.xlsx&amp;sheet=A0&amp;row=681&amp;col=6&amp;number=58510&amp;sourceID=14","58510")</f>
        <v>58510</v>
      </c>
      <c r="G681" s="4" t="str">
        <f>HYPERLINK("http://141.218.60.56/~jnz1568/getInfo.php?workbook=18_08.xlsx&amp;sheet=A0&amp;row=681&amp;col=7&amp;number=0&amp;sourceID=14","0")</f>
        <v>0</v>
      </c>
    </row>
    <row r="682" spans="1:7">
      <c r="A682" s="3">
        <v>18</v>
      </c>
      <c r="B682" s="3">
        <v>8</v>
      </c>
      <c r="C682" s="3">
        <v>39</v>
      </c>
      <c r="D682" s="3">
        <v>11</v>
      </c>
      <c r="E682" s="3">
        <v>-322.93</v>
      </c>
      <c r="F682" s="4" t="str">
        <f>HYPERLINK("http://141.218.60.56/~jnz1568/getInfo.php?workbook=18_08.xlsx&amp;sheet=A0&amp;row=682&amp;col=6&amp;number=58580&amp;sourceID=14","58580")</f>
        <v>58580</v>
      </c>
      <c r="G682" s="4" t="str">
        <f>HYPERLINK("http://141.218.60.56/~jnz1568/getInfo.php?workbook=18_08.xlsx&amp;sheet=A0&amp;row=682&amp;col=7&amp;number=0&amp;sourceID=14","0")</f>
        <v>0</v>
      </c>
    </row>
    <row r="683" spans="1:7">
      <c r="A683" s="3">
        <v>18</v>
      </c>
      <c r="B683" s="3">
        <v>8</v>
      </c>
      <c r="C683" s="3">
        <v>40</v>
      </c>
      <c r="D683" s="3">
        <v>11</v>
      </c>
      <c r="E683" s="3">
        <v>336.058</v>
      </c>
      <c r="F683" s="4" t="str">
        <f>HYPERLINK("http://141.218.60.56/~jnz1568/getInfo.php?workbook=18_08.xlsx&amp;sheet=A0&amp;row=683&amp;col=6&amp;number=58680&amp;sourceID=14","58680")</f>
        <v>58680</v>
      </c>
      <c r="G683" s="4" t="str">
        <f>HYPERLINK("http://141.218.60.56/~jnz1568/getInfo.php?workbook=18_08.xlsx&amp;sheet=A0&amp;row=683&amp;col=7&amp;number=0&amp;sourceID=14","0")</f>
        <v>0</v>
      </c>
    </row>
    <row r="684" spans="1:7">
      <c r="A684" s="3">
        <v>18</v>
      </c>
      <c r="B684" s="3">
        <v>8</v>
      </c>
      <c r="C684" s="3">
        <v>41</v>
      </c>
      <c r="D684" s="3">
        <v>11</v>
      </c>
      <c r="E684" s="3">
        <v>-322.514</v>
      </c>
      <c r="F684" s="4" t="str">
        <f>HYPERLINK("http://141.218.60.56/~jnz1568/getInfo.php?workbook=18_08.xlsx&amp;sheet=A0&amp;row=684&amp;col=6&amp;number=58890&amp;sourceID=14","58890")</f>
        <v>58890</v>
      </c>
      <c r="G684" s="4" t="str">
        <f>HYPERLINK("http://141.218.60.56/~jnz1568/getInfo.php?workbook=18_08.xlsx&amp;sheet=A0&amp;row=684&amp;col=7&amp;number=0&amp;sourceID=14","0")</f>
        <v>0</v>
      </c>
    </row>
    <row r="685" spans="1:7">
      <c r="A685" s="3">
        <v>18</v>
      </c>
      <c r="B685" s="3">
        <v>8</v>
      </c>
      <c r="C685" s="3">
        <v>42</v>
      </c>
      <c r="D685" s="3">
        <v>11</v>
      </c>
      <c r="E685" s="3">
        <v>-322.107</v>
      </c>
      <c r="F685" s="4" t="str">
        <f>HYPERLINK("http://141.218.60.56/~jnz1568/getInfo.php?workbook=18_08.xlsx&amp;sheet=A0&amp;row=685&amp;col=6&amp;number=59420&amp;sourceID=14","59420")</f>
        <v>59420</v>
      </c>
      <c r="G685" s="4" t="str">
        <f>HYPERLINK("http://141.218.60.56/~jnz1568/getInfo.php?workbook=18_08.xlsx&amp;sheet=A0&amp;row=685&amp;col=7&amp;number=0&amp;sourceID=14","0")</f>
        <v>0</v>
      </c>
    </row>
    <row r="686" spans="1:7">
      <c r="A686" s="3">
        <v>18</v>
      </c>
      <c r="B686" s="3">
        <v>8</v>
      </c>
      <c r="C686" s="3">
        <v>43</v>
      </c>
      <c r="D686" s="3">
        <v>11</v>
      </c>
      <c r="E686" s="3">
        <v>-336.284</v>
      </c>
      <c r="F686" s="4" t="str">
        <f>HYPERLINK("http://141.218.60.56/~jnz1568/getInfo.php?workbook=18_08.xlsx&amp;sheet=A0&amp;row=686&amp;col=6&amp;number=313700&amp;sourceID=14","313700")</f>
        <v>313700</v>
      </c>
      <c r="G686" s="4" t="str">
        <f>HYPERLINK("http://141.218.60.56/~jnz1568/getInfo.php?workbook=18_08.xlsx&amp;sheet=A0&amp;row=686&amp;col=7&amp;number=0&amp;sourceID=14","0")</f>
        <v>0</v>
      </c>
    </row>
    <row r="687" spans="1:7">
      <c r="A687" s="3">
        <v>18</v>
      </c>
      <c r="B687" s="3">
        <v>8</v>
      </c>
      <c r="C687" s="3">
        <v>44</v>
      </c>
      <c r="D687" s="3">
        <v>11</v>
      </c>
      <c r="E687" s="3">
        <v>-356.812</v>
      </c>
      <c r="F687" s="4" t="str">
        <f>HYPERLINK("http://141.218.60.56/~jnz1568/getInfo.php?workbook=18_08.xlsx&amp;sheet=A0&amp;row=687&amp;col=6&amp;number=332200&amp;sourceID=14","332200")</f>
        <v>332200</v>
      </c>
      <c r="G687" s="4" t="str">
        <f>HYPERLINK("http://141.218.60.56/~jnz1568/getInfo.php?workbook=18_08.xlsx&amp;sheet=A0&amp;row=687&amp;col=7&amp;number=0&amp;sourceID=14","0")</f>
        <v>0</v>
      </c>
    </row>
    <row r="688" spans="1:7">
      <c r="A688" s="3">
        <v>18</v>
      </c>
      <c r="B688" s="3">
        <v>8</v>
      </c>
      <c r="C688" s="3">
        <v>45</v>
      </c>
      <c r="D688" s="3">
        <v>11</v>
      </c>
      <c r="E688" s="3">
        <v>-338.494</v>
      </c>
      <c r="F688" s="4" t="str">
        <f>HYPERLINK("http://141.218.60.56/~jnz1568/getInfo.php?workbook=18_08.xlsx&amp;sheet=A0&amp;row=688&amp;col=6&amp;number=38940&amp;sourceID=14","38940")</f>
        <v>38940</v>
      </c>
      <c r="G688" s="4" t="str">
        <f>HYPERLINK("http://141.218.60.56/~jnz1568/getInfo.php?workbook=18_08.xlsx&amp;sheet=A0&amp;row=688&amp;col=7&amp;number=0&amp;sourceID=14","0")</f>
        <v>0</v>
      </c>
    </row>
    <row r="689" spans="1:7">
      <c r="A689" s="3">
        <v>18</v>
      </c>
      <c r="B689" s="3">
        <v>8</v>
      </c>
      <c r="C689" s="3">
        <v>46</v>
      </c>
      <c r="D689" s="3">
        <v>11</v>
      </c>
      <c r="E689" s="3">
        <v>-326.509</v>
      </c>
      <c r="F689" s="4" t="str">
        <f>HYPERLINK("http://141.218.60.56/~jnz1568/getInfo.php?workbook=18_08.xlsx&amp;sheet=A0&amp;row=689&amp;col=6&amp;number=1715000&amp;sourceID=14","1715000")</f>
        <v>1715000</v>
      </c>
      <c r="G689" s="4" t="str">
        <f>HYPERLINK("http://141.218.60.56/~jnz1568/getInfo.php?workbook=18_08.xlsx&amp;sheet=A0&amp;row=689&amp;col=7&amp;number=0&amp;sourceID=14","0")</f>
        <v>0</v>
      </c>
    </row>
    <row r="690" spans="1:7">
      <c r="A690" s="3">
        <v>18</v>
      </c>
      <c r="B690" s="3">
        <v>8</v>
      </c>
      <c r="C690" s="3">
        <v>47</v>
      </c>
      <c r="D690" s="3">
        <v>11</v>
      </c>
      <c r="E690" s="3">
        <v>-332.271</v>
      </c>
      <c r="F690" s="4" t="str">
        <f>HYPERLINK("http://141.218.60.56/~jnz1568/getInfo.php?workbook=18_08.xlsx&amp;sheet=A0&amp;row=690&amp;col=6&amp;number=550100&amp;sourceID=14","550100")</f>
        <v>550100</v>
      </c>
      <c r="G690" s="4" t="str">
        <f>HYPERLINK("http://141.218.60.56/~jnz1568/getInfo.php?workbook=18_08.xlsx&amp;sheet=A0&amp;row=690&amp;col=7&amp;number=0&amp;sourceID=14","0")</f>
        <v>0</v>
      </c>
    </row>
    <row r="691" spans="1:7">
      <c r="A691" s="3">
        <v>18</v>
      </c>
      <c r="B691" s="3">
        <v>8</v>
      </c>
      <c r="C691" s="3">
        <v>48</v>
      </c>
      <c r="D691" s="3">
        <v>11</v>
      </c>
      <c r="E691" s="3">
        <v>-322.053</v>
      </c>
      <c r="F691" s="4" t="str">
        <f>HYPERLINK("http://141.218.60.56/~jnz1568/getInfo.php?workbook=18_08.xlsx&amp;sheet=A0&amp;row=691&amp;col=6&amp;number=51280&amp;sourceID=14","51280")</f>
        <v>51280</v>
      </c>
      <c r="G691" s="4" t="str">
        <f>HYPERLINK("http://141.218.60.56/~jnz1568/getInfo.php?workbook=18_08.xlsx&amp;sheet=A0&amp;row=691&amp;col=7&amp;number=0&amp;sourceID=14","0")</f>
        <v>0</v>
      </c>
    </row>
    <row r="692" spans="1:7">
      <c r="A692" s="3">
        <v>18</v>
      </c>
      <c r="B692" s="3">
        <v>8</v>
      </c>
      <c r="C692" s="3">
        <v>49</v>
      </c>
      <c r="D692" s="3">
        <v>11</v>
      </c>
      <c r="E692" s="3">
        <v>-311.514</v>
      </c>
      <c r="F692" s="4" t="str">
        <f>HYPERLINK("http://141.218.60.56/~jnz1568/getInfo.php?workbook=18_08.xlsx&amp;sheet=A0&amp;row=692&amp;col=6&amp;number=4546000&amp;sourceID=14","4546000")</f>
        <v>4546000</v>
      </c>
      <c r="G692" s="4" t="str">
        <f>HYPERLINK("http://141.218.60.56/~jnz1568/getInfo.php?workbook=18_08.xlsx&amp;sheet=A0&amp;row=692&amp;col=7&amp;number=0&amp;sourceID=14","0")</f>
        <v>0</v>
      </c>
    </row>
    <row r="693" spans="1:7">
      <c r="A693" s="3">
        <v>18</v>
      </c>
      <c r="B693" s="3">
        <v>8</v>
      </c>
      <c r="C693" s="3">
        <v>50</v>
      </c>
      <c r="D693" s="3">
        <v>11</v>
      </c>
      <c r="E693" s="3">
        <v>-308.724</v>
      </c>
      <c r="F693" s="4" t="str">
        <f>HYPERLINK("http://141.218.60.56/~jnz1568/getInfo.php?workbook=18_08.xlsx&amp;sheet=A0&amp;row=693&amp;col=6&amp;number=2586000&amp;sourceID=14","2586000")</f>
        <v>2586000</v>
      </c>
      <c r="G693" s="4" t="str">
        <f>HYPERLINK("http://141.218.60.56/~jnz1568/getInfo.php?workbook=18_08.xlsx&amp;sheet=A0&amp;row=693&amp;col=7&amp;number=0&amp;sourceID=14","0")</f>
        <v>0</v>
      </c>
    </row>
    <row r="694" spans="1:7">
      <c r="A694" s="3">
        <v>18</v>
      </c>
      <c r="B694" s="3">
        <v>8</v>
      </c>
      <c r="C694" s="3">
        <v>51</v>
      </c>
      <c r="D694" s="3">
        <v>11</v>
      </c>
      <c r="E694" s="3">
        <v>291.617</v>
      </c>
      <c r="F694" s="4" t="str">
        <f>HYPERLINK("http://141.218.60.56/~jnz1568/getInfo.php?workbook=18_08.xlsx&amp;sheet=A0&amp;row=694&amp;col=6&amp;number=161.7&amp;sourceID=14","161.7")</f>
        <v>161.7</v>
      </c>
      <c r="G694" s="4" t="str">
        <f>HYPERLINK("http://141.218.60.56/~jnz1568/getInfo.php?workbook=18_08.xlsx&amp;sheet=A0&amp;row=694&amp;col=7&amp;number=0&amp;sourceID=14","0")</f>
        <v>0</v>
      </c>
    </row>
    <row r="695" spans="1:7">
      <c r="A695" s="3">
        <v>18</v>
      </c>
      <c r="B695" s="3">
        <v>8</v>
      </c>
      <c r="C695" s="3">
        <v>52</v>
      </c>
      <c r="D695" s="3">
        <v>11</v>
      </c>
      <c r="E695" s="3">
        <v>292.635</v>
      </c>
      <c r="F695" s="4" t="str">
        <f>HYPERLINK("http://141.218.60.56/~jnz1568/getInfo.php?workbook=18_08.xlsx&amp;sheet=A0&amp;row=695&amp;col=6&amp;number=47.65&amp;sourceID=14","47.65")</f>
        <v>47.65</v>
      </c>
      <c r="G695" s="4" t="str">
        <f>HYPERLINK("http://141.218.60.56/~jnz1568/getInfo.php?workbook=18_08.xlsx&amp;sheet=A0&amp;row=695&amp;col=7&amp;number=0&amp;sourceID=14","0")</f>
        <v>0</v>
      </c>
    </row>
    <row r="696" spans="1:7">
      <c r="A696" s="3">
        <v>18</v>
      </c>
      <c r="B696" s="3">
        <v>8</v>
      </c>
      <c r="C696" s="3">
        <v>53</v>
      </c>
      <c r="D696" s="3">
        <v>11</v>
      </c>
      <c r="E696" s="3">
        <v>-307.42</v>
      </c>
      <c r="F696" s="4" t="str">
        <f>HYPERLINK("http://141.218.60.56/~jnz1568/getInfo.php?workbook=18_08.xlsx&amp;sheet=A0&amp;row=696&amp;col=6&amp;number=2.172&amp;sourceID=14","2.172")</f>
        <v>2.172</v>
      </c>
      <c r="G696" s="4" t="str">
        <f>HYPERLINK("http://141.218.60.56/~jnz1568/getInfo.php?workbook=18_08.xlsx&amp;sheet=A0&amp;row=696&amp;col=7&amp;number=0&amp;sourceID=14","0")</f>
        <v>0</v>
      </c>
    </row>
    <row r="697" spans="1:7">
      <c r="A697" s="3">
        <v>18</v>
      </c>
      <c r="B697" s="3">
        <v>8</v>
      </c>
      <c r="C697" s="3">
        <v>54</v>
      </c>
      <c r="D697" s="3">
        <v>11</v>
      </c>
      <c r="E697" s="3">
        <v>291.617</v>
      </c>
      <c r="F697" s="4" t="str">
        <f>HYPERLINK("http://141.218.60.56/~jnz1568/getInfo.php?workbook=18_08.xlsx&amp;sheet=A0&amp;row=697&amp;col=6&amp;number=235.5&amp;sourceID=14","235.5")</f>
        <v>235.5</v>
      </c>
      <c r="G697" s="4" t="str">
        <f>HYPERLINK("http://141.218.60.56/~jnz1568/getInfo.php?workbook=18_08.xlsx&amp;sheet=A0&amp;row=697&amp;col=7&amp;number=0&amp;sourceID=14","0")</f>
        <v>0</v>
      </c>
    </row>
    <row r="698" spans="1:7">
      <c r="A698" s="3">
        <v>18</v>
      </c>
      <c r="B698" s="3">
        <v>8</v>
      </c>
      <c r="C698" s="3">
        <v>55</v>
      </c>
      <c r="D698" s="3">
        <v>11</v>
      </c>
      <c r="E698" s="3">
        <v>-281.752</v>
      </c>
      <c r="F698" s="4" t="str">
        <f>HYPERLINK("http://141.218.60.56/~jnz1568/getInfo.php?workbook=18_08.xlsx&amp;sheet=A0&amp;row=698&amp;col=6&amp;number=1350&amp;sourceID=14","1350")</f>
        <v>1350</v>
      </c>
      <c r="G698" s="4" t="str">
        <f>HYPERLINK("http://141.218.60.56/~jnz1568/getInfo.php?workbook=18_08.xlsx&amp;sheet=A0&amp;row=698&amp;col=7&amp;number=0&amp;sourceID=14","0")</f>
        <v>0</v>
      </c>
    </row>
    <row r="699" spans="1:7">
      <c r="A699" s="3">
        <v>18</v>
      </c>
      <c r="B699" s="3">
        <v>8</v>
      </c>
      <c r="C699" s="3">
        <v>56</v>
      </c>
      <c r="D699" s="3">
        <v>11</v>
      </c>
      <c r="E699" s="3">
        <v>247.086</v>
      </c>
      <c r="F699" s="4" t="str">
        <f>HYPERLINK("http://141.218.60.56/~jnz1568/getInfo.php?workbook=18_08.xlsx&amp;sheet=A0&amp;row=699&amp;col=6&amp;number=0.9485&amp;sourceID=14","0.9485")</f>
        <v>0.9485</v>
      </c>
      <c r="G699" s="4" t="str">
        <f>HYPERLINK("http://141.218.60.56/~jnz1568/getInfo.php?workbook=18_08.xlsx&amp;sheet=A0&amp;row=699&amp;col=7&amp;number=0&amp;sourceID=14","0")</f>
        <v>0</v>
      </c>
    </row>
    <row r="700" spans="1:7">
      <c r="A700" s="3">
        <v>18</v>
      </c>
      <c r="B700" s="3">
        <v>8</v>
      </c>
      <c r="C700" s="3">
        <v>57</v>
      </c>
      <c r="D700" s="3">
        <v>11</v>
      </c>
      <c r="E700" s="3">
        <v>-246.055</v>
      </c>
      <c r="F700" s="4" t="str">
        <f>HYPERLINK("http://141.218.60.56/~jnz1568/getInfo.php?workbook=18_08.xlsx&amp;sheet=A0&amp;row=700&amp;col=6&amp;number=9.132&amp;sourceID=14","9.132")</f>
        <v>9.132</v>
      </c>
      <c r="G700" s="4" t="str">
        <f>HYPERLINK("http://141.218.60.56/~jnz1568/getInfo.php?workbook=18_08.xlsx&amp;sheet=A0&amp;row=700&amp;col=7&amp;number=0&amp;sourceID=14","0")</f>
        <v>0</v>
      </c>
    </row>
    <row r="701" spans="1:7">
      <c r="A701" s="3">
        <v>18</v>
      </c>
      <c r="B701" s="3">
        <v>8</v>
      </c>
      <c r="C701" s="3">
        <v>58</v>
      </c>
      <c r="D701" s="3">
        <v>11</v>
      </c>
      <c r="E701" s="3">
        <v>-244.416</v>
      </c>
      <c r="F701" s="4" t="str">
        <f>HYPERLINK("http://141.218.60.56/~jnz1568/getInfo.php?workbook=18_08.xlsx&amp;sheet=A0&amp;row=701&amp;col=6&amp;number=0.287&amp;sourceID=14","0.287")</f>
        <v>0.287</v>
      </c>
      <c r="G701" s="4" t="str">
        <f>HYPERLINK("http://141.218.60.56/~jnz1568/getInfo.php?workbook=18_08.xlsx&amp;sheet=A0&amp;row=701&amp;col=7&amp;number=0&amp;sourceID=14","0")</f>
        <v>0</v>
      </c>
    </row>
    <row r="702" spans="1:7">
      <c r="A702" s="3">
        <v>18</v>
      </c>
      <c r="B702" s="3">
        <v>8</v>
      </c>
      <c r="C702" s="3">
        <v>59</v>
      </c>
      <c r="D702" s="3">
        <v>11</v>
      </c>
      <c r="E702" s="3">
        <v>-243.578</v>
      </c>
      <c r="F702" s="4" t="str">
        <f>HYPERLINK("http://141.218.60.56/~jnz1568/getInfo.php?workbook=18_08.xlsx&amp;sheet=A0&amp;row=702&amp;col=6&amp;number=42.18&amp;sourceID=14","42.18")</f>
        <v>42.18</v>
      </c>
      <c r="G702" s="4" t="str">
        <f>HYPERLINK("http://141.218.60.56/~jnz1568/getInfo.php?workbook=18_08.xlsx&amp;sheet=A0&amp;row=702&amp;col=7&amp;number=0&amp;sourceID=14","0")</f>
        <v>0</v>
      </c>
    </row>
    <row r="703" spans="1:7">
      <c r="A703" s="3">
        <v>18</v>
      </c>
      <c r="B703" s="3">
        <v>8</v>
      </c>
      <c r="C703" s="3">
        <v>60</v>
      </c>
      <c r="D703" s="3">
        <v>11</v>
      </c>
      <c r="E703" s="3">
        <v>-239.511</v>
      </c>
      <c r="F703" s="4" t="str">
        <f>HYPERLINK("http://141.218.60.56/~jnz1568/getInfo.php?workbook=18_08.xlsx&amp;sheet=A0&amp;row=703&amp;col=6&amp;number=0.3967&amp;sourceID=14","0.3967")</f>
        <v>0.3967</v>
      </c>
      <c r="G703" s="4" t="str">
        <f>HYPERLINK("http://141.218.60.56/~jnz1568/getInfo.php?workbook=18_08.xlsx&amp;sheet=A0&amp;row=703&amp;col=7&amp;number=0&amp;sourceID=14","0")</f>
        <v>0</v>
      </c>
    </row>
    <row r="704" spans="1:7">
      <c r="A704" s="3">
        <v>18</v>
      </c>
      <c r="B704" s="3">
        <v>8</v>
      </c>
      <c r="C704" s="3">
        <v>61</v>
      </c>
      <c r="D704" s="3">
        <v>11</v>
      </c>
      <c r="E704" s="3">
        <v>-238.595</v>
      </c>
      <c r="F704" s="4" t="str">
        <f>HYPERLINK("http://141.218.60.56/~jnz1568/getInfo.php?workbook=18_08.xlsx&amp;sheet=A0&amp;row=704&amp;col=6&amp;number=5.751&amp;sourceID=14","5.751")</f>
        <v>5.751</v>
      </c>
      <c r="G704" s="4" t="str">
        <f>HYPERLINK("http://141.218.60.56/~jnz1568/getInfo.php?workbook=18_08.xlsx&amp;sheet=A0&amp;row=704&amp;col=7&amp;number=0&amp;sourceID=14","0")</f>
        <v>0</v>
      </c>
    </row>
    <row r="705" spans="1:7">
      <c r="A705" s="3">
        <v>18</v>
      </c>
      <c r="B705" s="3">
        <v>8</v>
      </c>
      <c r="C705" s="3">
        <v>63</v>
      </c>
      <c r="D705" s="3">
        <v>11</v>
      </c>
      <c r="E705" s="3">
        <v>-235.687</v>
      </c>
      <c r="F705" s="4" t="str">
        <f>HYPERLINK("http://141.218.60.56/~jnz1568/getInfo.php?workbook=18_08.xlsx&amp;sheet=A0&amp;row=705&amp;col=6&amp;number=0.1144&amp;sourceID=14","0.1144")</f>
        <v>0.1144</v>
      </c>
      <c r="G705" s="4" t="str">
        <f>HYPERLINK("http://141.218.60.56/~jnz1568/getInfo.php?workbook=18_08.xlsx&amp;sheet=A0&amp;row=705&amp;col=7&amp;number=0&amp;sourceID=14","0")</f>
        <v>0</v>
      </c>
    </row>
    <row r="706" spans="1:7">
      <c r="A706" s="3">
        <v>18</v>
      </c>
      <c r="B706" s="3">
        <v>8</v>
      </c>
      <c r="C706" s="3">
        <v>64</v>
      </c>
      <c r="D706" s="3">
        <v>11</v>
      </c>
      <c r="E706" s="3">
        <v>233.427</v>
      </c>
      <c r="F706" s="4" t="str">
        <f>HYPERLINK("http://141.218.60.56/~jnz1568/getInfo.php?workbook=18_08.xlsx&amp;sheet=A0&amp;row=706&amp;col=6&amp;number=0.2265&amp;sourceID=14","0.2265")</f>
        <v>0.2265</v>
      </c>
      <c r="G706" s="4" t="str">
        <f>HYPERLINK("http://141.218.60.56/~jnz1568/getInfo.php?workbook=18_08.xlsx&amp;sheet=A0&amp;row=706&amp;col=7&amp;number=0&amp;sourceID=14","0")</f>
        <v>0</v>
      </c>
    </row>
    <row r="707" spans="1:7">
      <c r="A707" s="3">
        <v>18</v>
      </c>
      <c r="B707" s="3">
        <v>8</v>
      </c>
      <c r="C707" s="3">
        <v>65</v>
      </c>
      <c r="D707" s="3">
        <v>11</v>
      </c>
      <c r="E707" s="3">
        <v>-246.331</v>
      </c>
      <c r="F707" s="4" t="str">
        <f>HYPERLINK("http://141.218.60.56/~jnz1568/getInfo.php?workbook=18_08.xlsx&amp;sheet=A0&amp;row=707&amp;col=6&amp;number=0.01093&amp;sourceID=14","0.01093")</f>
        <v>0.01093</v>
      </c>
      <c r="G707" s="4" t="str">
        <f>HYPERLINK("http://141.218.60.56/~jnz1568/getInfo.php?workbook=18_08.xlsx&amp;sheet=A0&amp;row=707&amp;col=7&amp;number=0&amp;sourceID=14","0")</f>
        <v>0</v>
      </c>
    </row>
    <row r="708" spans="1:7">
      <c r="A708" s="3">
        <v>18</v>
      </c>
      <c r="B708" s="3">
        <v>8</v>
      </c>
      <c r="C708" s="3">
        <v>66</v>
      </c>
      <c r="D708" s="3">
        <v>11</v>
      </c>
      <c r="E708" s="3">
        <v>233.631</v>
      </c>
      <c r="F708" s="4" t="str">
        <f>HYPERLINK("http://141.218.60.56/~jnz1568/getInfo.php?workbook=18_08.xlsx&amp;sheet=A0&amp;row=708&amp;col=6&amp;number=2.594&amp;sourceID=14","2.594")</f>
        <v>2.594</v>
      </c>
      <c r="G708" s="4" t="str">
        <f>HYPERLINK("http://141.218.60.56/~jnz1568/getInfo.php?workbook=18_08.xlsx&amp;sheet=A0&amp;row=708&amp;col=7&amp;number=0&amp;sourceID=14","0")</f>
        <v>0</v>
      </c>
    </row>
    <row r="709" spans="1:7">
      <c r="A709" s="3">
        <v>18</v>
      </c>
      <c r="B709" s="3">
        <v>8</v>
      </c>
      <c r="C709" s="3">
        <v>67</v>
      </c>
      <c r="D709" s="3">
        <v>11</v>
      </c>
      <c r="E709" s="3">
        <v>238.476</v>
      </c>
      <c r="F709" s="4" t="str">
        <f>HYPERLINK("http://141.218.60.56/~jnz1568/getInfo.php?workbook=18_08.xlsx&amp;sheet=A0&amp;row=709&amp;col=6&amp;number=0.1665&amp;sourceID=14","0.1665")</f>
        <v>0.1665</v>
      </c>
      <c r="G709" s="4" t="str">
        <f>HYPERLINK("http://141.218.60.56/~jnz1568/getInfo.php?workbook=18_08.xlsx&amp;sheet=A0&amp;row=709&amp;col=7&amp;number=0&amp;sourceID=14","0")</f>
        <v>0</v>
      </c>
    </row>
    <row r="710" spans="1:7">
      <c r="A710" s="3">
        <v>18</v>
      </c>
      <c r="B710" s="3">
        <v>8</v>
      </c>
      <c r="C710" s="3">
        <v>68</v>
      </c>
      <c r="D710" s="3">
        <v>11</v>
      </c>
      <c r="E710" s="3">
        <v>232.773</v>
      </c>
      <c r="F710" s="4" t="str">
        <f>HYPERLINK("http://141.218.60.56/~jnz1568/getInfo.php?workbook=18_08.xlsx&amp;sheet=A0&amp;row=710&amp;col=6&amp;number=16.88&amp;sourceID=14","16.88")</f>
        <v>16.88</v>
      </c>
      <c r="G710" s="4" t="str">
        <f>HYPERLINK("http://141.218.60.56/~jnz1568/getInfo.php?workbook=18_08.xlsx&amp;sheet=A0&amp;row=710&amp;col=7&amp;number=0&amp;sourceID=14","0")</f>
        <v>0</v>
      </c>
    </row>
    <row r="711" spans="1:7">
      <c r="A711" s="3">
        <v>18</v>
      </c>
      <c r="B711" s="3">
        <v>8</v>
      </c>
      <c r="C711" s="3">
        <v>69</v>
      </c>
      <c r="D711" s="3">
        <v>11</v>
      </c>
      <c r="E711" s="3">
        <v>227.989</v>
      </c>
      <c r="F711" s="4" t="str">
        <f>HYPERLINK("http://141.218.60.56/~jnz1568/getInfo.php?workbook=18_08.xlsx&amp;sheet=A0&amp;row=711&amp;col=6&amp;number=10.69&amp;sourceID=14","10.69")</f>
        <v>10.69</v>
      </c>
      <c r="G711" s="4" t="str">
        <f>HYPERLINK("http://141.218.60.56/~jnz1568/getInfo.php?workbook=18_08.xlsx&amp;sheet=A0&amp;row=711&amp;col=7&amp;number=0&amp;sourceID=14","0")</f>
        <v>0</v>
      </c>
    </row>
    <row r="712" spans="1:7">
      <c r="A712" s="3">
        <v>18</v>
      </c>
      <c r="B712" s="3">
        <v>8</v>
      </c>
      <c r="C712" s="3">
        <v>70</v>
      </c>
      <c r="D712" s="3">
        <v>11</v>
      </c>
      <c r="E712" s="3">
        <v>-223.161</v>
      </c>
      <c r="F712" s="4" t="str">
        <f>HYPERLINK("http://141.218.60.56/~jnz1568/getInfo.php?workbook=18_08.xlsx&amp;sheet=A0&amp;row=712&amp;col=6&amp;number=7.403&amp;sourceID=14","7.403")</f>
        <v>7.403</v>
      </c>
      <c r="G712" s="4" t="str">
        <f>HYPERLINK("http://141.218.60.56/~jnz1568/getInfo.php?workbook=18_08.xlsx&amp;sheet=A0&amp;row=712&amp;col=7&amp;number=0&amp;sourceID=14","0")</f>
        <v>0</v>
      </c>
    </row>
    <row r="713" spans="1:7">
      <c r="A713" s="3">
        <v>18</v>
      </c>
      <c r="B713" s="3">
        <v>8</v>
      </c>
      <c r="C713" s="3">
        <v>71</v>
      </c>
      <c r="D713" s="3">
        <v>11</v>
      </c>
      <c r="E713" s="3">
        <v>222.209</v>
      </c>
      <c r="F713" s="4" t="str">
        <f>HYPERLINK("http://141.218.60.56/~jnz1568/getInfo.php?workbook=18_08.xlsx&amp;sheet=A0&amp;row=713&amp;col=6&amp;number=8.122&amp;sourceID=14","8.122")</f>
        <v>8.122</v>
      </c>
      <c r="G713" s="4" t="str">
        <f>HYPERLINK("http://141.218.60.56/~jnz1568/getInfo.php?workbook=18_08.xlsx&amp;sheet=A0&amp;row=713&amp;col=7&amp;number=0&amp;sourceID=14","0")</f>
        <v>0</v>
      </c>
    </row>
    <row r="714" spans="1:7">
      <c r="A714" s="3">
        <v>18</v>
      </c>
      <c r="B714" s="3">
        <v>8</v>
      </c>
      <c r="C714" s="3">
        <v>72</v>
      </c>
      <c r="D714" s="3">
        <v>11</v>
      </c>
      <c r="E714" s="3">
        <v>227.989</v>
      </c>
      <c r="F714" s="4" t="str">
        <f>HYPERLINK("http://141.218.60.56/~jnz1568/getInfo.php?workbook=18_08.xlsx&amp;sheet=A0&amp;row=714&amp;col=6&amp;number=5.026&amp;sourceID=14","5.026")</f>
        <v>5.026</v>
      </c>
      <c r="G714" s="4" t="str">
        <f>HYPERLINK("http://141.218.60.56/~jnz1568/getInfo.php?workbook=18_08.xlsx&amp;sheet=A0&amp;row=714&amp;col=7&amp;number=0&amp;sourceID=14","0")</f>
        <v>0</v>
      </c>
    </row>
    <row r="715" spans="1:7">
      <c r="A715" s="3">
        <v>18</v>
      </c>
      <c r="B715" s="3">
        <v>8</v>
      </c>
      <c r="C715" s="3">
        <v>73</v>
      </c>
      <c r="D715" s="3">
        <v>11</v>
      </c>
      <c r="E715" s="3">
        <v>222.209</v>
      </c>
      <c r="F715" s="4" t="str">
        <f>HYPERLINK("http://141.218.60.56/~jnz1568/getInfo.php?workbook=18_08.xlsx&amp;sheet=A0&amp;row=715&amp;col=6&amp;number=1.745&amp;sourceID=14","1.745")</f>
        <v>1.745</v>
      </c>
      <c r="G715" s="4" t="str">
        <f>HYPERLINK("http://141.218.60.56/~jnz1568/getInfo.php?workbook=18_08.xlsx&amp;sheet=A0&amp;row=715&amp;col=7&amp;number=0&amp;sourceID=14","0")</f>
        <v>0</v>
      </c>
    </row>
    <row r="716" spans="1:7">
      <c r="A716" s="3">
        <v>18</v>
      </c>
      <c r="B716" s="3">
        <v>8</v>
      </c>
      <c r="C716" s="3">
        <v>74</v>
      </c>
      <c r="D716" s="3">
        <v>11</v>
      </c>
      <c r="E716" s="3">
        <v>216.405</v>
      </c>
      <c r="F716" s="4" t="str">
        <f>HYPERLINK("http://141.218.60.56/~jnz1568/getInfo.php?workbook=18_08.xlsx&amp;sheet=A0&amp;row=716&amp;col=6&amp;number=4.345&amp;sourceID=14","4.345")</f>
        <v>4.345</v>
      </c>
      <c r="G716" s="4" t="str">
        <f>HYPERLINK("http://141.218.60.56/~jnz1568/getInfo.php?workbook=18_08.xlsx&amp;sheet=A0&amp;row=716&amp;col=7&amp;number=0&amp;sourceID=14","0")</f>
        <v>0</v>
      </c>
    </row>
    <row r="717" spans="1:7">
      <c r="A717" s="3">
        <v>18</v>
      </c>
      <c r="B717" s="3">
        <v>8</v>
      </c>
      <c r="C717" s="3">
        <v>75</v>
      </c>
      <c r="D717" s="3">
        <v>11</v>
      </c>
      <c r="E717" s="3">
        <v>-212.228</v>
      </c>
      <c r="F717" s="4" t="str">
        <f>HYPERLINK("http://141.218.60.56/~jnz1568/getInfo.php?workbook=18_08.xlsx&amp;sheet=A0&amp;row=717&amp;col=6&amp;number=0.6301&amp;sourceID=14","0.6301")</f>
        <v>0.6301</v>
      </c>
      <c r="G717" s="4" t="str">
        <f>HYPERLINK("http://141.218.60.56/~jnz1568/getInfo.php?workbook=18_08.xlsx&amp;sheet=A0&amp;row=717&amp;col=7&amp;number=0&amp;sourceID=14","0")</f>
        <v>0</v>
      </c>
    </row>
    <row r="718" spans="1:7">
      <c r="A718" s="3">
        <v>18</v>
      </c>
      <c r="B718" s="3">
        <v>8</v>
      </c>
      <c r="C718" s="3">
        <v>76</v>
      </c>
      <c r="D718" s="3">
        <v>11</v>
      </c>
      <c r="E718" s="3">
        <v>-212.115</v>
      </c>
      <c r="F718" s="4" t="str">
        <f>HYPERLINK("http://141.218.60.56/~jnz1568/getInfo.php?workbook=18_08.xlsx&amp;sheet=A0&amp;row=718&amp;col=6&amp;number=0.193&amp;sourceID=14","0.193")</f>
        <v>0.193</v>
      </c>
      <c r="G718" s="4" t="str">
        <f>HYPERLINK("http://141.218.60.56/~jnz1568/getInfo.php?workbook=18_08.xlsx&amp;sheet=A0&amp;row=718&amp;col=7&amp;number=0&amp;sourceID=14","0")</f>
        <v>0</v>
      </c>
    </row>
    <row r="719" spans="1:7">
      <c r="A719" s="3">
        <v>18</v>
      </c>
      <c r="B719" s="3">
        <v>8</v>
      </c>
      <c r="C719" s="3">
        <v>77</v>
      </c>
      <c r="D719" s="3">
        <v>11</v>
      </c>
      <c r="E719" s="3">
        <v>216.389</v>
      </c>
      <c r="F719" s="4" t="str">
        <f>HYPERLINK("http://141.218.60.56/~jnz1568/getInfo.php?workbook=18_08.xlsx&amp;sheet=A0&amp;row=719&amp;col=6&amp;number=18.02&amp;sourceID=14","18.02")</f>
        <v>18.02</v>
      </c>
      <c r="G719" s="4" t="str">
        <f>HYPERLINK("http://141.218.60.56/~jnz1568/getInfo.php?workbook=18_08.xlsx&amp;sheet=A0&amp;row=719&amp;col=7&amp;number=0&amp;sourceID=14","0")</f>
        <v>0</v>
      </c>
    </row>
    <row r="720" spans="1:7">
      <c r="A720" s="3">
        <v>18</v>
      </c>
      <c r="B720" s="3">
        <v>8</v>
      </c>
      <c r="C720" s="3">
        <v>78</v>
      </c>
      <c r="D720" s="3">
        <v>11</v>
      </c>
      <c r="E720" s="3">
        <v>-211.859</v>
      </c>
      <c r="F720" s="4" t="str">
        <f>HYPERLINK("http://141.218.60.56/~jnz1568/getInfo.php?workbook=18_08.xlsx&amp;sheet=A0&amp;row=720&amp;col=6&amp;number=1.551&amp;sourceID=14","1.551")</f>
        <v>1.551</v>
      </c>
      <c r="G720" s="4" t="str">
        <f>HYPERLINK("http://141.218.60.56/~jnz1568/getInfo.php?workbook=18_08.xlsx&amp;sheet=A0&amp;row=720&amp;col=7&amp;number=0&amp;sourceID=14","0")</f>
        <v>0</v>
      </c>
    </row>
    <row r="721" spans="1:7">
      <c r="A721" s="3">
        <v>18</v>
      </c>
      <c r="B721" s="3">
        <v>8</v>
      </c>
      <c r="C721" s="3">
        <v>79</v>
      </c>
      <c r="D721" s="3">
        <v>11</v>
      </c>
      <c r="E721" s="3">
        <v>-210.526</v>
      </c>
      <c r="F721" s="4" t="str">
        <f>HYPERLINK("http://141.218.60.56/~jnz1568/getInfo.php?workbook=18_08.xlsx&amp;sheet=A0&amp;row=721&amp;col=6&amp;number=0.3205&amp;sourceID=14","0.3205")</f>
        <v>0.3205</v>
      </c>
      <c r="G721" s="4" t="str">
        <f>HYPERLINK("http://141.218.60.56/~jnz1568/getInfo.php?workbook=18_08.xlsx&amp;sheet=A0&amp;row=721&amp;col=7&amp;number=0&amp;sourceID=14","0")</f>
        <v>0</v>
      </c>
    </row>
    <row r="722" spans="1:7">
      <c r="A722" s="3">
        <v>18</v>
      </c>
      <c r="B722" s="3">
        <v>8</v>
      </c>
      <c r="C722" s="3">
        <v>80</v>
      </c>
      <c r="D722" s="3">
        <v>11</v>
      </c>
      <c r="E722" s="3">
        <v>-209.671</v>
      </c>
      <c r="F722" s="4" t="str">
        <f>HYPERLINK("http://141.218.60.56/~jnz1568/getInfo.php?workbook=18_08.xlsx&amp;sheet=A0&amp;row=722&amp;col=6&amp;number=0.9712&amp;sourceID=14","0.9712")</f>
        <v>0.9712</v>
      </c>
      <c r="G722" s="4" t="str">
        <f>HYPERLINK("http://141.218.60.56/~jnz1568/getInfo.php?workbook=18_08.xlsx&amp;sheet=A0&amp;row=722&amp;col=7&amp;number=0&amp;sourceID=14","0")</f>
        <v>0</v>
      </c>
    </row>
    <row r="723" spans="1:7">
      <c r="A723" s="3">
        <v>18</v>
      </c>
      <c r="B723" s="3">
        <v>8</v>
      </c>
      <c r="C723" s="3">
        <v>81</v>
      </c>
      <c r="D723" s="3">
        <v>11</v>
      </c>
      <c r="E723" s="3">
        <v>207.456</v>
      </c>
      <c r="F723" s="4" t="str">
        <f>HYPERLINK("http://141.218.60.56/~jnz1568/getInfo.php?workbook=18_08.xlsx&amp;sheet=A0&amp;row=723&amp;col=6&amp;number=45.36&amp;sourceID=14","45.36")</f>
        <v>45.36</v>
      </c>
      <c r="G723" s="4" t="str">
        <f>HYPERLINK("http://141.218.60.56/~jnz1568/getInfo.php?workbook=18_08.xlsx&amp;sheet=A0&amp;row=723&amp;col=7&amp;number=0&amp;sourceID=14","0")</f>
        <v>0</v>
      </c>
    </row>
    <row r="724" spans="1:7">
      <c r="A724" s="3">
        <v>18</v>
      </c>
      <c r="B724" s="3">
        <v>8</v>
      </c>
      <c r="C724" s="3">
        <v>82</v>
      </c>
      <c r="D724" s="3">
        <v>11</v>
      </c>
      <c r="E724" s="3">
        <v>205.8</v>
      </c>
      <c r="F724" s="4" t="str">
        <f>HYPERLINK("http://141.218.60.56/~jnz1568/getInfo.php?workbook=18_08.xlsx&amp;sheet=A0&amp;row=724&amp;col=6&amp;number=35.94&amp;sourceID=14","35.94")</f>
        <v>35.94</v>
      </c>
      <c r="G724" s="4" t="str">
        <f>HYPERLINK("http://141.218.60.56/~jnz1568/getInfo.php?workbook=18_08.xlsx&amp;sheet=A0&amp;row=724&amp;col=7&amp;number=0&amp;sourceID=14","0")</f>
        <v>0</v>
      </c>
    </row>
    <row r="725" spans="1:7">
      <c r="A725" s="3">
        <v>18</v>
      </c>
      <c r="B725" s="3">
        <v>8</v>
      </c>
      <c r="C725" s="3">
        <v>83</v>
      </c>
      <c r="D725" s="3">
        <v>11</v>
      </c>
      <c r="E725" s="3">
        <v>201.735</v>
      </c>
      <c r="F725" s="4" t="str">
        <f>HYPERLINK("http://141.218.60.56/~jnz1568/getInfo.php?workbook=18_08.xlsx&amp;sheet=A0&amp;row=725&amp;col=6&amp;number=24&amp;sourceID=14","24")</f>
        <v>24</v>
      </c>
      <c r="G725" s="4" t="str">
        <f>HYPERLINK("http://141.218.60.56/~jnz1568/getInfo.php?workbook=18_08.xlsx&amp;sheet=A0&amp;row=725&amp;col=7&amp;number=0&amp;sourceID=14","0")</f>
        <v>0</v>
      </c>
    </row>
    <row r="726" spans="1:7">
      <c r="A726" s="3">
        <v>18</v>
      </c>
      <c r="B726" s="3">
        <v>8</v>
      </c>
      <c r="C726" s="3">
        <v>84</v>
      </c>
      <c r="D726" s="3">
        <v>11</v>
      </c>
      <c r="E726" s="3">
        <v>205.677</v>
      </c>
      <c r="F726" s="4" t="str">
        <f>HYPERLINK("http://141.218.60.56/~jnz1568/getInfo.php?workbook=18_08.xlsx&amp;sheet=A0&amp;row=726&amp;col=6&amp;number=3.309&amp;sourceID=14","3.309")</f>
        <v>3.309</v>
      </c>
      <c r="G726" s="4" t="str">
        <f>HYPERLINK("http://141.218.60.56/~jnz1568/getInfo.php?workbook=18_08.xlsx&amp;sheet=A0&amp;row=726&amp;col=7&amp;number=0&amp;sourceID=14","0")</f>
        <v>0</v>
      </c>
    </row>
    <row r="727" spans="1:7">
      <c r="A727" s="3">
        <v>18</v>
      </c>
      <c r="B727" s="3">
        <v>8</v>
      </c>
      <c r="C727" s="3">
        <v>85</v>
      </c>
      <c r="D727" s="3">
        <v>11</v>
      </c>
      <c r="E727" s="3">
        <v>199.43</v>
      </c>
      <c r="F727" s="4" t="str">
        <f>HYPERLINK("http://141.218.60.56/~jnz1568/getInfo.php?workbook=18_08.xlsx&amp;sheet=A0&amp;row=727&amp;col=6&amp;number=0.6827&amp;sourceID=14","0.6827")</f>
        <v>0.6827</v>
      </c>
      <c r="G727" s="4" t="str">
        <f>HYPERLINK("http://141.218.60.56/~jnz1568/getInfo.php?workbook=18_08.xlsx&amp;sheet=A0&amp;row=727&amp;col=7&amp;number=0&amp;sourceID=14","0")</f>
        <v>0</v>
      </c>
    </row>
    <row r="728" spans="1:7">
      <c r="A728" s="3">
        <v>18</v>
      </c>
      <c r="B728" s="3">
        <v>8</v>
      </c>
      <c r="C728" s="3">
        <v>86</v>
      </c>
      <c r="D728" s="3">
        <v>11</v>
      </c>
      <c r="E728" s="3">
        <v>187.924</v>
      </c>
      <c r="F728" s="4" t="str">
        <f>HYPERLINK("http://141.218.60.56/~jnz1568/getInfo.php?workbook=18_08.xlsx&amp;sheet=A0&amp;row=728&amp;col=6&amp;number=0.0424&amp;sourceID=14","0.0424")</f>
        <v>0.0424</v>
      </c>
      <c r="G728" s="4" t="str">
        <f>HYPERLINK("http://141.218.60.56/~jnz1568/getInfo.php?workbook=18_08.xlsx&amp;sheet=A0&amp;row=728&amp;col=7&amp;number=0&amp;sourceID=14","0")</f>
        <v>0</v>
      </c>
    </row>
    <row r="729" spans="1:7">
      <c r="A729" s="3">
        <v>18</v>
      </c>
      <c r="B729" s="3">
        <v>8</v>
      </c>
      <c r="C729" s="3">
        <v>13</v>
      </c>
      <c r="D729" s="3">
        <v>12</v>
      </c>
      <c r="E729" s="3">
        <v>1512.447</v>
      </c>
      <c r="F729" s="4" t="str">
        <f>HYPERLINK("http://141.218.60.56/~jnz1568/getInfo.php?workbook=18_08.xlsx&amp;sheet=A0&amp;row=729&amp;col=6&amp;number=48.2&amp;sourceID=14","48.2")</f>
        <v>48.2</v>
      </c>
      <c r="G729" s="4" t="str">
        <f>HYPERLINK("http://141.218.60.56/~jnz1568/getInfo.php?workbook=18_08.xlsx&amp;sheet=A0&amp;row=729&amp;col=7&amp;number=0&amp;sourceID=14","0")</f>
        <v>0</v>
      </c>
    </row>
    <row r="730" spans="1:7">
      <c r="A730" s="3">
        <v>18</v>
      </c>
      <c r="B730" s="3">
        <v>8</v>
      </c>
      <c r="C730" s="3">
        <v>14</v>
      </c>
      <c r="D730" s="3">
        <v>12</v>
      </c>
      <c r="E730" s="3">
        <v>1484.01</v>
      </c>
      <c r="F730" s="4" t="str">
        <f>HYPERLINK("http://141.218.60.56/~jnz1568/getInfo.php?workbook=18_08.xlsx&amp;sheet=A0&amp;row=730&amp;col=6&amp;number=10.5&amp;sourceID=14","10.5")</f>
        <v>10.5</v>
      </c>
      <c r="G730" s="4" t="str">
        <f>HYPERLINK("http://141.218.60.56/~jnz1568/getInfo.php?workbook=18_08.xlsx&amp;sheet=A0&amp;row=730&amp;col=7&amp;number=0&amp;sourceID=14","0")</f>
        <v>0</v>
      </c>
    </row>
    <row r="731" spans="1:7">
      <c r="A731" s="3">
        <v>18</v>
      </c>
      <c r="B731" s="3">
        <v>8</v>
      </c>
      <c r="C731" s="3">
        <v>15</v>
      </c>
      <c r="D731" s="3">
        <v>12</v>
      </c>
      <c r="E731" s="3">
        <v>1456.622</v>
      </c>
      <c r="F731" s="4" t="str">
        <f>HYPERLINK("http://141.218.60.56/~jnz1568/getInfo.php?workbook=18_08.xlsx&amp;sheet=A0&amp;row=731&amp;col=6&amp;number=0.01246&amp;sourceID=14","0.01246")</f>
        <v>0.01246</v>
      </c>
      <c r="G731" s="4" t="str">
        <f>HYPERLINK("http://141.218.60.56/~jnz1568/getInfo.php?workbook=18_08.xlsx&amp;sheet=A0&amp;row=731&amp;col=7&amp;number=0&amp;sourceID=14","0")</f>
        <v>0</v>
      </c>
    </row>
    <row r="732" spans="1:7">
      <c r="A732" s="3">
        <v>18</v>
      </c>
      <c r="B732" s="3">
        <v>8</v>
      </c>
      <c r="C732" s="3">
        <v>16</v>
      </c>
      <c r="D732" s="3">
        <v>12</v>
      </c>
      <c r="E732" s="3">
        <v>1203.283</v>
      </c>
      <c r="F732" s="4" t="str">
        <f>HYPERLINK("http://141.218.60.56/~jnz1568/getInfo.php?workbook=18_08.xlsx&amp;sheet=A0&amp;row=732&amp;col=6&amp;number=0.9112&amp;sourceID=14","0.9112")</f>
        <v>0.9112</v>
      </c>
      <c r="G732" s="4" t="str">
        <f>HYPERLINK("http://141.218.60.56/~jnz1568/getInfo.php?workbook=18_08.xlsx&amp;sheet=A0&amp;row=732&amp;col=7&amp;number=0&amp;sourceID=14","0")</f>
        <v>0</v>
      </c>
    </row>
    <row r="733" spans="1:7">
      <c r="A733" s="3">
        <v>18</v>
      </c>
      <c r="B733" s="3">
        <v>8</v>
      </c>
      <c r="C733" s="3">
        <v>17</v>
      </c>
      <c r="D733" s="3">
        <v>12</v>
      </c>
      <c r="E733" s="3">
        <v>1019.607</v>
      </c>
      <c r="F733" s="4" t="str">
        <f>HYPERLINK("http://141.218.60.56/~jnz1568/getInfo.php?workbook=18_08.xlsx&amp;sheet=A0&amp;row=733&amp;col=6&amp;number=3149000&amp;sourceID=14","3149000")</f>
        <v>3149000</v>
      </c>
      <c r="G733" s="4" t="str">
        <f>HYPERLINK("http://141.218.60.56/~jnz1568/getInfo.php?workbook=18_08.xlsx&amp;sheet=A0&amp;row=733&amp;col=7&amp;number=0&amp;sourceID=14","0")</f>
        <v>0</v>
      </c>
    </row>
    <row r="734" spans="1:7">
      <c r="A734" s="3">
        <v>18</v>
      </c>
      <c r="B734" s="3">
        <v>8</v>
      </c>
      <c r="C734" s="3">
        <v>18</v>
      </c>
      <c r="D734" s="3">
        <v>12</v>
      </c>
      <c r="E734" s="3">
        <v>1008.125</v>
      </c>
      <c r="F734" s="4" t="str">
        <f>HYPERLINK("http://141.218.60.56/~jnz1568/getInfo.php?workbook=18_08.xlsx&amp;sheet=A0&amp;row=734&amp;col=6&amp;number=7718000&amp;sourceID=14","7718000")</f>
        <v>7718000</v>
      </c>
      <c r="G734" s="4" t="str">
        <f>HYPERLINK("http://141.218.60.56/~jnz1568/getInfo.php?workbook=18_08.xlsx&amp;sheet=A0&amp;row=734&amp;col=7&amp;number=0&amp;sourceID=14","0")</f>
        <v>0</v>
      </c>
    </row>
    <row r="735" spans="1:7">
      <c r="A735" s="3">
        <v>18</v>
      </c>
      <c r="B735" s="3">
        <v>8</v>
      </c>
      <c r="C735" s="3">
        <v>19</v>
      </c>
      <c r="D735" s="3">
        <v>12</v>
      </c>
      <c r="E735" s="3">
        <v>984.349</v>
      </c>
      <c r="F735" s="4" t="str">
        <f>HYPERLINK("http://141.218.60.56/~jnz1568/getInfo.php?workbook=18_08.xlsx&amp;sheet=A0&amp;row=735&amp;col=6&amp;number=0.06658&amp;sourceID=14","0.06658")</f>
        <v>0.06658</v>
      </c>
      <c r="G735" s="4" t="str">
        <f>HYPERLINK("http://141.218.60.56/~jnz1568/getInfo.php?workbook=18_08.xlsx&amp;sheet=A0&amp;row=735&amp;col=7&amp;number=0&amp;sourceID=14","0")</f>
        <v>0</v>
      </c>
    </row>
    <row r="736" spans="1:7">
      <c r="A736" s="3">
        <v>18</v>
      </c>
      <c r="B736" s="3">
        <v>8</v>
      </c>
      <c r="C736" s="3">
        <v>20</v>
      </c>
      <c r="D736" s="3">
        <v>12</v>
      </c>
      <c r="E736" s="3">
        <v>-744.014</v>
      </c>
      <c r="F736" s="4" t="str">
        <f>HYPERLINK("http://141.218.60.56/~jnz1568/getInfo.php?workbook=18_08.xlsx&amp;sheet=A0&amp;row=736&amp;col=6&amp;number=1242000000&amp;sourceID=14","1242000000")</f>
        <v>1242000000</v>
      </c>
      <c r="G736" s="4" t="str">
        <f>HYPERLINK("http://141.218.60.56/~jnz1568/getInfo.php?workbook=18_08.xlsx&amp;sheet=A0&amp;row=736&amp;col=7&amp;number=0&amp;sourceID=14","0")</f>
        <v>0</v>
      </c>
    </row>
    <row r="737" spans="1:7">
      <c r="A737" s="3">
        <v>18</v>
      </c>
      <c r="B737" s="3">
        <v>8</v>
      </c>
      <c r="C737" s="3">
        <v>21</v>
      </c>
      <c r="D737" s="3">
        <v>12</v>
      </c>
      <c r="E737" s="3">
        <v>-737.182</v>
      </c>
      <c r="F737" s="4" t="str">
        <f>HYPERLINK("http://141.218.60.56/~jnz1568/getInfo.php?workbook=18_08.xlsx&amp;sheet=A0&amp;row=737&amp;col=6&amp;number=1238000000&amp;sourceID=14","1238000000")</f>
        <v>1238000000</v>
      </c>
      <c r="G737" s="4" t="str">
        <f>HYPERLINK("http://141.218.60.56/~jnz1568/getInfo.php?workbook=18_08.xlsx&amp;sheet=A0&amp;row=737&amp;col=7&amp;number=0&amp;sourceID=14","0")</f>
        <v>0</v>
      </c>
    </row>
    <row r="738" spans="1:7">
      <c r="A738" s="3">
        <v>18</v>
      </c>
      <c r="B738" s="3">
        <v>8</v>
      </c>
      <c r="C738" s="3">
        <v>22</v>
      </c>
      <c r="D738" s="3">
        <v>12</v>
      </c>
      <c r="E738" s="3">
        <v>-734.241</v>
      </c>
      <c r="F738" s="4" t="str">
        <f>HYPERLINK("http://141.218.60.56/~jnz1568/getInfo.php?workbook=18_08.xlsx&amp;sheet=A0&amp;row=738&amp;col=6&amp;number=1299000000&amp;sourceID=14","1299000000")</f>
        <v>1299000000</v>
      </c>
      <c r="G738" s="4" t="str">
        <f>HYPERLINK("http://141.218.60.56/~jnz1568/getInfo.php?workbook=18_08.xlsx&amp;sheet=A0&amp;row=738&amp;col=7&amp;number=0&amp;sourceID=14","0")</f>
        <v>0</v>
      </c>
    </row>
    <row r="739" spans="1:7">
      <c r="A739" s="3">
        <v>18</v>
      </c>
      <c r="B739" s="3">
        <v>8</v>
      </c>
      <c r="C739" s="3">
        <v>23</v>
      </c>
      <c r="D739" s="3">
        <v>12</v>
      </c>
      <c r="E739" s="3">
        <v>-825.946</v>
      </c>
      <c r="F739" s="4" t="str">
        <f>HYPERLINK("http://141.218.60.56/~jnz1568/getInfo.php?workbook=18_08.xlsx&amp;sheet=A0&amp;row=739&amp;col=6&amp;number=412&amp;sourceID=14","412")</f>
        <v>412</v>
      </c>
      <c r="G739" s="4" t="str">
        <f>HYPERLINK("http://141.218.60.56/~jnz1568/getInfo.php?workbook=18_08.xlsx&amp;sheet=A0&amp;row=739&amp;col=7&amp;number=0&amp;sourceID=14","0")</f>
        <v>0</v>
      </c>
    </row>
    <row r="740" spans="1:7">
      <c r="A740" s="3">
        <v>18</v>
      </c>
      <c r="B740" s="3">
        <v>8</v>
      </c>
      <c r="C740" s="3">
        <v>24</v>
      </c>
      <c r="D740" s="3">
        <v>12</v>
      </c>
      <c r="E740" s="3">
        <v>-815.318</v>
      </c>
      <c r="F740" s="4" t="str">
        <f>HYPERLINK("http://141.218.60.56/~jnz1568/getInfo.php?workbook=18_08.xlsx&amp;sheet=A0&amp;row=740&amp;col=6&amp;number=28.14&amp;sourceID=14","28.14")</f>
        <v>28.14</v>
      </c>
      <c r="G740" s="4" t="str">
        <f>HYPERLINK("http://141.218.60.56/~jnz1568/getInfo.php?workbook=18_08.xlsx&amp;sheet=A0&amp;row=740&amp;col=7&amp;number=0&amp;sourceID=14","0")</f>
        <v>0</v>
      </c>
    </row>
    <row r="741" spans="1:7">
      <c r="A741" s="3">
        <v>18</v>
      </c>
      <c r="B741" s="3">
        <v>8</v>
      </c>
      <c r="C741" s="3">
        <v>25</v>
      </c>
      <c r="D741" s="3">
        <v>12</v>
      </c>
      <c r="E741" s="3">
        <v>807.852</v>
      </c>
      <c r="F741" s="4" t="str">
        <f>HYPERLINK("http://141.218.60.56/~jnz1568/getInfo.php?workbook=18_08.xlsx&amp;sheet=A0&amp;row=741&amp;col=6&amp;number=85.73&amp;sourceID=14","85.73")</f>
        <v>85.73</v>
      </c>
      <c r="G741" s="4" t="str">
        <f>HYPERLINK("http://141.218.60.56/~jnz1568/getInfo.php?workbook=18_08.xlsx&amp;sheet=A0&amp;row=741&amp;col=7&amp;number=0&amp;sourceID=14","0")</f>
        <v>0</v>
      </c>
    </row>
    <row r="742" spans="1:7">
      <c r="A742" s="3">
        <v>18</v>
      </c>
      <c r="B742" s="3">
        <v>8</v>
      </c>
      <c r="C742" s="3">
        <v>26</v>
      </c>
      <c r="D742" s="3">
        <v>12</v>
      </c>
      <c r="E742" s="3">
        <v>776.542</v>
      </c>
      <c r="F742" s="4" t="str">
        <f>HYPERLINK("http://141.218.60.56/~jnz1568/getInfo.php?workbook=18_08.xlsx&amp;sheet=A0&amp;row=742&amp;col=6&amp;number=1344&amp;sourceID=14","1344")</f>
        <v>1344</v>
      </c>
      <c r="G742" s="4" t="str">
        <f>HYPERLINK("http://141.218.60.56/~jnz1568/getInfo.php?workbook=18_08.xlsx&amp;sheet=A0&amp;row=742&amp;col=7&amp;number=0&amp;sourceID=14","0")</f>
        <v>0</v>
      </c>
    </row>
    <row r="743" spans="1:7">
      <c r="A743" s="3">
        <v>18</v>
      </c>
      <c r="B743" s="3">
        <v>8</v>
      </c>
      <c r="C743" s="3">
        <v>27</v>
      </c>
      <c r="D743" s="3">
        <v>12</v>
      </c>
      <c r="E743" s="3">
        <v>-494.179</v>
      </c>
      <c r="F743" s="4" t="str">
        <f>HYPERLINK("http://141.218.60.56/~jnz1568/getInfo.php?workbook=18_08.xlsx&amp;sheet=A0&amp;row=743&amp;col=6&amp;number=590900&amp;sourceID=14","590900")</f>
        <v>590900</v>
      </c>
      <c r="G743" s="4" t="str">
        <f>HYPERLINK("http://141.218.60.56/~jnz1568/getInfo.php?workbook=18_08.xlsx&amp;sheet=A0&amp;row=743&amp;col=7&amp;number=0&amp;sourceID=14","0")</f>
        <v>0</v>
      </c>
    </row>
    <row r="744" spans="1:7">
      <c r="A744" s="3">
        <v>18</v>
      </c>
      <c r="B744" s="3">
        <v>8</v>
      </c>
      <c r="C744" s="3">
        <v>28</v>
      </c>
      <c r="D744" s="3">
        <v>12</v>
      </c>
      <c r="E744" s="3">
        <v>-502.432</v>
      </c>
      <c r="F744" s="4" t="str">
        <f>HYPERLINK("http://141.218.60.56/~jnz1568/getInfo.php?workbook=18_08.xlsx&amp;sheet=A0&amp;row=744&amp;col=6&amp;number=6470000&amp;sourceID=14","6470000")</f>
        <v>6470000</v>
      </c>
      <c r="G744" s="4" t="str">
        <f>HYPERLINK("http://141.218.60.56/~jnz1568/getInfo.php?workbook=18_08.xlsx&amp;sheet=A0&amp;row=744&amp;col=7&amp;number=0&amp;sourceID=14","0")</f>
        <v>0</v>
      </c>
    </row>
    <row r="745" spans="1:7">
      <c r="A745" s="3">
        <v>18</v>
      </c>
      <c r="B745" s="3">
        <v>8</v>
      </c>
      <c r="C745" s="3">
        <v>29</v>
      </c>
      <c r="D745" s="3">
        <v>12</v>
      </c>
      <c r="E745" s="3">
        <v>-492.373</v>
      </c>
      <c r="F745" s="4" t="str">
        <f>HYPERLINK("http://141.218.60.56/~jnz1568/getInfo.php?workbook=18_08.xlsx&amp;sheet=A0&amp;row=745&amp;col=6&amp;number=1.319e-06&amp;sourceID=14","1.319e-06")</f>
        <v>1.319e-06</v>
      </c>
      <c r="G745" s="4" t="str">
        <f>HYPERLINK("http://141.218.60.56/~jnz1568/getInfo.php?workbook=18_08.xlsx&amp;sheet=A0&amp;row=745&amp;col=7&amp;number=0&amp;sourceID=14","0")</f>
        <v>0</v>
      </c>
    </row>
    <row r="746" spans="1:7">
      <c r="A746" s="3">
        <v>18</v>
      </c>
      <c r="B746" s="3">
        <v>8</v>
      </c>
      <c r="C746" s="3">
        <v>30</v>
      </c>
      <c r="D746" s="3">
        <v>12</v>
      </c>
      <c r="E746" s="3">
        <v>-524.996</v>
      </c>
      <c r="F746" s="4" t="str">
        <f>HYPERLINK("http://141.218.60.56/~jnz1568/getInfo.php?workbook=18_08.xlsx&amp;sheet=A0&amp;row=746&amp;col=6&amp;number=11170000&amp;sourceID=14","11170000")</f>
        <v>11170000</v>
      </c>
      <c r="G746" s="4" t="str">
        <f>HYPERLINK("http://141.218.60.56/~jnz1568/getInfo.php?workbook=18_08.xlsx&amp;sheet=A0&amp;row=746&amp;col=7&amp;number=0&amp;sourceID=14","0")</f>
        <v>0</v>
      </c>
    </row>
    <row r="747" spans="1:7">
      <c r="A747" s="3">
        <v>18</v>
      </c>
      <c r="B747" s="3">
        <v>8</v>
      </c>
      <c r="C747" s="3">
        <v>31</v>
      </c>
      <c r="D747" s="3">
        <v>12</v>
      </c>
      <c r="E747" s="3">
        <v>-477.876</v>
      </c>
      <c r="F747" s="4" t="str">
        <f>HYPERLINK("http://141.218.60.56/~jnz1568/getInfo.php?workbook=18_08.xlsx&amp;sheet=A0&amp;row=747&amp;col=6&amp;number=3406000&amp;sourceID=14","3406000")</f>
        <v>3406000</v>
      </c>
      <c r="G747" s="4" t="str">
        <f>HYPERLINK("http://141.218.60.56/~jnz1568/getInfo.php?workbook=18_08.xlsx&amp;sheet=A0&amp;row=747&amp;col=7&amp;number=0&amp;sourceID=14","0")</f>
        <v>0</v>
      </c>
    </row>
    <row r="748" spans="1:7">
      <c r="A748" s="3">
        <v>18</v>
      </c>
      <c r="B748" s="3">
        <v>8</v>
      </c>
      <c r="C748" s="3">
        <v>32</v>
      </c>
      <c r="D748" s="3">
        <v>12</v>
      </c>
      <c r="E748" s="3">
        <v>-471.329</v>
      </c>
      <c r="F748" s="4" t="str">
        <f>HYPERLINK("http://141.218.60.56/~jnz1568/getInfo.php?workbook=18_08.xlsx&amp;sheet=A0&amp;row=748&amp;col=6&amp;number=0.0002481&amp;sourceID=14","0.0002481")</f>
        <v>0.0002481</v>
      </c>
      <c r="G748" s="4" t="str">
        <f>HYPERLINK("http://141.218.60.56/~jnz1568/getInfo.php?workbook=18_08.xlsx&amp;sheet=A0&amp;row=748&amp;col=7&amp;number=0&amp;sourceID=14","0")</f>
        <v>0</v>
      </c>
    </row>
    <row r="749" spans="1:7">
      <c r="A749" s="3">
        <v>18</v>
      </c>
      <c r="B749" s="3">
        <v>8</v>
      </c>
      <c r="C749" s="3">
        <v>34</v>
      </c>
      <c r="D749" s="3">
        <v>12</v>
      </c>
      <c r="E749" s="3">
        <v>-457.791</v>
      </c>
      <c r="F749" s="4" t="str">
        <f>HYPERLINK("http://141.218.60.56/~jnz1568/getInfo.php?workbook=18_08.xlsx&amp;sheet=A0&amp;row=749&amp;col=6&amp;number=0.0001547&amp;sourceID=14","0.0001547")</f>
        <v>0.0001547</v>
      </c>
      <c r="G749" s="4" t="str">
        <f>HYPERLINK("http://141.218.60.56/~jnz1568/getInfo.php?workbook=18_08.xlsx&amp;sheet=A0&amp;row=749&amp;col=7&amp;number=0&amp;sourceID=14","0")</f>
        <v>0</v>
      </c>
    </row>
    <row r="750" spans="1:7">
      <c r="A750" s="3">
        <v>18</v>
      </c>
      <c r="B750" s="3">
        <v>8</v>
      </c>
      <c r="C750" s="3">
        <v>35</v>
      </c>
      <c r="D750" s="3">
        <v>12</v>
      </c>
      <c r="E750" s="3">
        <v>-397.246</v>
      </c>
      <c r="F750" s="4" t="str">
        <f>HYPERLINK("http://141.218.60.56/~jnz1568/getInfo.php?workbook=18_08.xlsx&amp;sheet=A0&amp;row=750&amp;col=6&amp;number=996000000&amp;sourceID=14","996000000")</f>
        <v>996000000</v>
      </c>
      <c r="G750" s="4" t="str">
        <f>HYPERLINK("http://141.218.60.56/~jnz1568/getInfo.php?workbook=18_08.xlsx&amp;sheet=A0&amp;row=750&amp;col=7&amp;number=0&amp;sourceID=14","0")</f>
        <v>0</v>
      </c>
    </row>
    <row r="751" spans="1:7">
      <c r="A751" s="3">
        <v>18</v>
      </c>
      <c r="B751" s="3">
        <v>8</v>
      </c>
      <c r="C751" s="3">
        <v>36</v>
      </c>
      <c r="D751" s="3">
        <v>12</v>
      </c>
      <c r="E751" s="3">
        <v>-382.389</v>
      </c>
      <c r="F751" s="4" t="str">
        <f>HYPERLINK("http://141.218.60.56/~jnz1568/getInfo.php?workbook=18_08.xlsx&amp;sheet=A0&amp;row=751&amp;col=6&amp;number=589500000&amp;sourceID=14","589500000")</f>
        <v>589500000</v>
      </c>
      <c r="G751" s="4" t="str">
        <f>HYPERLINK("http://141.218.60.56/~jnz1568/getInfo.php?workbook=18_08.xlsx&amp;sheet=A0&amp;row=751&amp;col=7&amp;number=0&amp;sourceID=14","0")</f>
        <v>0</v>
      </c>
    </row>
    <row r="752" spans="1:7">
      <c r="A752" s="3">
        <v>18</v>
      </c>
      <c r="B752" s="3">
        <v>8</v>
      </c>
      <c r="C752" s="3">
        <v>37</v>
      </c>
      <c r="D752" s="3">
        <v>12</v>
      </c>
      <c r="E752" s="3">
        <v>402.138</v>
      </c>
      <c r="F752" s="4" t="str">
        <f>HYPERLINK("http://141.218.60.56/~jnz1568/getInfo.php?workbook=18_08.xlsx&amp;sheet=A0&amp;row=752&amp;col=6&amp;number=1704000000&amp;sourceID=14","1704000000")</f>
        <v>1704000000</v>
      </c>
      <c r="G752" s="4" t="str">
        <f>HYPERLINK("http://141.218.60.56/~jnz1568/getInfo.php?workbook=18_08.xlsx&amp;sheet=A0&amp;row=752&amp;col=7&amp;number=0&amp;sourceID=14","0")</f>
        <v>0</v>
      </c>
    </row>
    <row r="753" spans="1:7">
      <c r="A753" s="3">
        <v>18</v>
      </c>
      <c r="B753" s="3">
        <v>8</v>
      </c>
      <c r="C753" s="3">
        <v>38</v>
      </c>
      <c r="D753" s="3">
        <v>12</v>
      </c>
      <c r="E753" s="3">
        <v>-365</v>
      </c>
      <c r="F753" s="4" t="str">
        <f>HYPERLINK("http://141.218.60.56/~jnz1568/getInfo.php?workbook=18_08.xlsx&amp;sheet=A0&amp;row=753&amp;col=6&amp;number=0.01356&amp;sourceID=14","0.01356")</f>
        <v>0.01356</v>
      </c>
      <c r="G753" s="4" t="str">
        <f>HYPERLINK("http://141.218.60.56/~jnz1568/getInfo.php?workbook=18_08.xlsx&amp;sheet=A0&amp;row=753&amp;col=7&amp;number=0&amp;sourceID=14","0")</f>
        <v>0</v>
      </c>
    </row>
    <row r="754" spans="1:7">
      <c r="A754" s="3">
        <v>18</v>
      </c>
      <c r="B754" s="3">
        <v>8</v>
      </c>
      <c r="C754" s="3">
        <v>39</v>
      </c>
      <c r="D754" s="3">
        <v>12</v>
      </c>
      <c r="E754" s="3">
        <v>-364.876</v>
      </c>
      <c r="F754" s="4" t="str">
        <f>HYPERLINK("http://141.218.60.56/~jnz1568/getInfo.php?workbook=18_08.xlsx&amp;sheet=A0&amp;row=754&amp;col=6&amp;number=17.88&amp;sourceID=14","17.88")</f>
        <v>17.88</v>
      </c>
      <c r="G754" s="4" t="str">
        <f>HYPERLINK("http://141.218.60.56/~jnz1568/getInfo.php?workbook=18_08.xlsx&amp;sheet=A0&amp;row=754&amp;col=7&amp;number=0&amp;sourceID=14","0")</f>
        <v>0</v>
      </c>
    </row>
    <row r="755" spans="1:7">
      <c r="A755" s="3">
        <v>18</v>
      </c>
      <c r="B755" s="3">
        <v>8</v>
      </c>
      <c r="C755" s="3">
        <v>40</v>
      </c>
      <c r="D755" s="3">
        <v>12</v>
      </c>
      <c r="E755" s="3">
        <v>384.833</v>
      </c>
      <c r="F755" s="4" t="str">
        <f>HYPERLINK("http://141.218.60.56/~jnz1568/getInfo.php?workbook=18_08.xlsx&amp;sheet=A0&amp;row=755&amp;col=6&amp;number=55.41&amp;sourceID=14","55.41")</f>
        <v>55.41</v>
      </c>
      <c r="G755" s="4" t="str">
        <f>HYPERLINK("http://141.218.60.56/~jnz1568/getInfo.php?workbook=18_08.xlsx&amp;sheet=A0&amp;row=755&amp;col=7&amp;number=0&amp;sourceID=14","0")</f>
        <v>0</v>
      </c>
    </row>
    <row r="756" spans="1:7">
      <c r="A756" s="3">
        <v>18</v>
      </c>
      <c r="B756" s="3">
        <v>8</v>
      </c>
      <c r="C756" s="3">
        <v>41</v>
      </c>
      <c r="D756" s="3">
        <v>12</v>
      </c>
      <c r="E756" s="3">
        <v>-364.345</v>
      </c>
      <c r="F756" s="4" t="str">
        <f>HYPERLINK("http://141.218.60.56/~jnz1568/getInfo.php?workbook=18_08.xlsx&amp;sheet=A0&amp;row=756&amp;col=6&amp;number=77.15&amp;sourceID=14","77.15")</f>
        <v>77.15</v>
      </c>
      <c r="G756" s="4" t="str">
        <f>HYPERLINK("http://141.218.60.56/~jnz1568/getInfo.php?workbook=18_08.xlsx&amp;sheet=A0&amp;row=756&amp;col=7&amp;number=0&amp;sourceID=14","0")</f>
        <v>0</v>
      </c>
    </row>
    <row r="757" spans="1:7">
      <c r="A757" s="3">
        <v>18</v>
      </c>
      <c r="B757" s="3">
        <v>8</v>
      </c>
      <c r="C757" s="3">
        <v>43</v>
      </c>
      <c r="D757" s="3">
        <v>12</v>
      </c>
      <c r="E757" s="3">
        <v>-382.016</v>
      </c>
      <c r="F757" s="4" t="str">
        <f>HYPERLINK("http://141.218.60.56/~jnz1568/getInfo.php?workbook=18_08.xlsx&amp;sheet=A0&amp;row=757&amp;col=6&amp;number=232100000&amp;sourceID=14","232100000")</f>
        <v>232100000</v>
      </c>
      <c r="G757" s="4" t="str">
        <f>HYPERLINK("http://141.218.60.56/~jnz1568/getInfo.php?workbook=18_08.xlsx&amp;sheet=A0&amp;row=757&amp;col=7&amp;number=0&amp;sourceID=14","0")</f>
        <v>0</v>
      </c>
    </row>
    <row r="758" spans="1:7">
      <c r="A758" s="3">
        <v>18</v>
      </c>
      <c r="B758" s="3">
        <v>8</v>
      </c>
      <c r="C758" s="3">
        <v>44</v>
      </c>
      <c r="D758" s="3">
        <v>12</v>
      </c>
      <c r="E758" s="3">
        <v>-408.729</v>
      </c>
      <c r="F758" s="4" t="str">
        <f>HYPERLINK("http://141.218.60.56/~jnz1568/getInfo.php?workbook=18_08.xlsx&amp;sheet=A0&amp;row=758&amp;col=6&amp;number=389300000&amp;sourceID=14","389300000")</f>
        <v>389300000</v>
      </c>
      <c r="G758" s="4" t="str">
        <f>HYPERLINK("http://141.218.60.56/~jnz1568/getInfo.php?workbook=18_08.xlsx&amp;sheet=A0&amp;row=758&amp;col=7&amp;number=0&amp;sourceID=14","0")</f>
        <v>0</v>
      </c>
    </row>
    <row r="759" spans="1:7">
      <c r="A759" s="3">
        <v>18</v>
      </c>
      <c r="B759" s="3">
        <v>8</v>
      </c>
      <c r="C759" s="3">
        <v>45</v>
      </c>
      <c r="D759" s="3">
        <v>12</v>
      </c>
      <c r="E759" s="3">
        <v>-384.871</v>
      </c>
      <c r="F759" s="4" t="str">
        <f>HYPERLINK("http://141.218.60.56/~jnz1568/getInfo.php?workbook=18_08.xlsx&amp;sheet=A0&amp;row=759&amp;col=6&amp;number=8745000&amp;sourceID=14","8745000")</f>
        <v>8745000</v>
      </c>
      <c r="G759" s="4" t="str">
        <f>HYPERLINK("http://141.218.60.56/~jnz1568/getInfo.php?workbook=18_08.xlsx&amp;sheet=A0&amp;row=759&amp;col=7&amp;number=0&amp;sourceID=14","0")</f>
        <v>0</v>
      </c>
    </row>
    <row r="760" spans="1:7">
      <c r="A760" s="3">
        <v>18</v>
      </c>
      <c r="B760" s="3">
        <v>8</v>
      </c>
      <c r="C760" s="3">
        <v>46</v>
      </c>
      <c r="D760" s="3">
        <v>12</v>
      </c>
      <c r="E760" s="3">
        <v>-369.451</v>
      </c>
      <c r="F760" s="4" t="str">
        <f>HYPERLINK("http://141.218.60.56/~jnz1568/getInfo.php?workbook=18_08.xlsx&amp;sheet=A0&amp;row=760&amp;col=6&amp;number=378500000&amp;sourceID=14","378500000")</f>
        <v>378500000</v>
      </c>
      <c r="G760" s="4" t="str">
        <f>HYPERLINK("http://141.218.60.56/~jnz1568/getInfo.php?workbook=18_08.xlsx&amp;sheet=A0&amp;row=760&amp;col=7&amp;number=0&amp;sourceID=14","0")</f>
        <v>0</v>
      </c>
    </row>
    <row r="761" spans="1:7">
      <c r="A761" s="3">
        <v>18</v>
      </c>
      <c r="B761" s="3">
        <v>8</v>
      </c>
      <c r="C761" s="3">
        <v>47</v>
      </c>
      <c r="D761" s="3">
        <v>12</v>
      </c>
      <c r="E761" s="3">
        <v>-376.846</v>
      </c>
      <c r="F761" s="4" t="str">
        <f>HYPERLINK("http://141.218.60.56/~jnz1568/getInfo.php?workbook=18_08.xlsx&amp;sheet=A0&amp;row=761&amp;col=6&amp;number=0.001242&amp;sourceID=14","0.001242")</f>
        <v>0.001242</v>
      </c>
      <c r="G761" s="4" t="str">
        <f>HYPERLINK("http://141.218.60.56/~jnz1568/getInfo.php?workbook=18_08.xlsx&amp;sheet=A0&amp;row=761&amp;col=7&amp;number=0&amp;sourceID=14","0")</f>
        <v>0</v>
      </c>
    </row>
    <row r="762" spans="1:7">
      <c r="A762" s="3">
        <v>18</v>
      </c>
      <c r="B762" s="3">
        <v>8</v>
      </c>
      <c r="C762" s="3">
        <v>48</v>
      </c>
      <c r="D762" s="3">
        <v>12</v>
      </c>
      <c r="E762" s="3">
        <v>-363.756</v>
      </c>
      <c r="F762" s="4" t="str">
        <f>HYPERLINK("http://141.218.60.56/~jnz1568/getInfo.php?workbook=18_08.xlsx&amp;sheet=A0&amp;row=762&amp;col=6&amp;number=289500000&amp;sourceID=14","289500000")</f>
        <v>289500000</v>
      </c>
      <c r="G762" s="4" t="str">
        <f>HYPERLINK("http://141.218.60.56/~jnz1568/getInfo.php?workbook=18_08.xlsx&amp;sheet=A0&amp;row=762&amp;col=7&amp;number=0&amp;sourceID=14","0")</f>
        <v>0</v>
      </c>
    </row>
    <row r="763" spans="1:7">
      <c r="A763" s="3">
        <v>18</v>
      </c>
      <c r="B763" s="3">
        <v>8</v>
      </c>
      <c r="C763" s="3">
        <v>49</v>
      </c>
      <c r="D763" s="3">
        <v>12</v>
      </c>
      <c r="E763" s="3">
        <v>-350.368</v>
      </c>
      <c r="F763" s="4" t="str">
        <f>HYPERLINK("http://141.218.60.56/~jnz1568/getInfo.php?workbook=18_08.xlsx&amp;sheet=A0&amp;row=763&amp;col=6&amp;number=344500000&amp;sourceID=14","344500000")</f>
        <v>344500000</v>
      </c>
      <c r="G763" s="4" t="str">
        <f>HYPERLINK("http://141.218.60.56/~jnz1568/getInfo.php?workbook=18_08.xlsx&amp;sheet=A0&amp;row=763&amp;col=7&amp;number=0&amp;sourceID=14","0")</f>
        <v>0</v>
      </c>
    </row>
    <row r="764" spans="1:7">
      <c r="A764" s="3">
        <v>18</v>
      </c>
      <c r="B764" s="3">
        <v>8</v>
      </c>
      <c r="C764" s="3">
        <v>50</v>
      </c>
      <c r="D764" s="3">
        <v>12</v>
      </c>
      <c r="E764" s="3">
        <v>-346.842</v>
      </c>
      <c r="F764" s="4" t="str">
        <f>HYPERLINK("http://141.218.60.56/~jnz1568/getInfo.php?workbook=18_08.xlsx&amp;sheet=A0&amp;row=764&amp;col=6&amp;number=1318000000&amp;sourceID=14","1318000000")</f>
        <v>1318000000</v>
      </c>
      <c r="G764" s="4" t="str">
        <f>HYPERLINK("http://141.218.60.56/~jnz1568/getInfo.php?workbook=18_08.xlsx&amp;sheet=A0&amp;row=764&amp;col=7&amp;number=0&amp;sourceID=14","0")</f>
        <v>0</v>
      </c>
    </row>
    <row r="765" spans="1:7">
      <c r="A765" s="3">
        <v>18</v>
      </c>
      <c r="B765" s="3">
        <v>8</v>
      </c>
      <c r="C765" s="3">
        <v>51</v>
      </c>
      <c r="D765" s="3">
        <v>12</v>
      </c>
      <c r="E765" s="3">
        <v>327.653</v>
      </c>
      <c r="F765" s="4" t="str">
        <f>HYPERLINK("http://141.218.60.56/~jnz1568/getInfo.php?workbook=18_08.xlsx&amp;sheet=A0&amp;row=765&amp;col=6&amp;number=53060&amp;sourceID=14","53060")</f>
        <v>53060</v>
      </c>
      <c r="G765" s="4" t="str">
        <f>HYPERLINK("http://141.218.60.56/~jnz1568/getInfo.php?workbook=18_08.xlsx&amp;sheet=A0&amp;row=765&amp;col=7&amp;number=0&amp;sourceID=14","0")</f>
        <v>0</v>
      </c>
    </row>
    <row r="766" spans="1:7">
      <c r="A766" s="3">
        <v>18</v>
      </c>
      <c r="B766" s="3">
        <v>8</v>
      </c>
      <c r="C766" s="3">
        <v>52</v>
      </c>
      <c r="D766" s="3">
        <v>12</v>
      </c>
      <c r="E766" s="3">
        <v>328.939</v>
      </c>
      <c r="F766" s="4" t="str">
        <f>HYPERLINK("http://141.218.60.56/~jnz1568/getInfo.php?workbook=18_08.xlsx&amp;sheet=A0&amp;row=766&amp;col=6&amp;number=49000&amp;sourceID=14","49000")</f>
        <v>49000</v>
      </c>
      <c r="G766" s="4" t="str">
        <f>HYPERLINK("http://141.218.60.56/~jnz1568/getInfo.php?workbook=18_08.xlsx&amp;sheet=A0&amp;row=766&amp;col=7&amp;number=0&amp;sourceID=14","0")</f>
        <v>0</v>
      </c>
    </row>
    <row r="767" spans="1:7">
      <c r="A767" s="3">
        <v>18</v>
      </c>
      <c r="B767" s="3">
        <v>8</v>
      </c>
      <c r="C767" s="3">
        <v>53</v>
      </c>
      <c r="D767" s="3">
        <v>12</v>
      </c>
      <c r="E767" s="3">
        <v>-345.197</v>
      </c>
      <c r="F767" s="4" t="str">
        <f>HYPERLINK("http://141.218.60.56/~jnz1568/getInfo.php?workbook=18_08.xlsx&amp;sheet=A0&amp;row=767&amp;col=6&amp;number=1744000000&amp;sourceID=14","1744000000")</f>
        <v>1744000000</v>
      </c>
      <c r="G767" s="4" t="str">
        <f>HYPERLINK("http://141.218.60.56/~jnz1568/getInfo.php?workbook=18_08.xlsx&amp;sheet=A0&amp;row=767&amp;col=7&amp;number=0&amp;sourceID=14","0")</f>
        <v>0</v>
      </c>
    </row>
    <row r="768" spans="1:7">
      <c r="A768" s="3">
        <v>18</v>
      </c>
      <c r="B768" s="3">
        <v>8</v>
      </c>
      <c r="C768" s="3">
        <v>54</v>
      </c>
      <c r="D768" s="3">
        <v>12</v>
      </c>
      <c r="E768" s="3">
        <v>327.653</v>
      </c>
      <c r="F768" s="4" t="str">
        <f>HYPERLINK("http://141.218.60.56/~jnz1568/getInfo.php?workbook=18_08.xlsx&amp;sheet=A0&amp;row=768&amp;col=6&amp;number=53910&amp;sourceID=14","53910")</f>
        <v>53910</v>
      </c>
      <c r="G768" s="4" t="str">
        <f>HYPERLINK("http://141.218.60.56/~jnz1568/getInfo.php?workbook=18_08.xlsx&amp;sheet=A0&amp;row=768&amp;col=7&amp;number=0&amp;sourceID=14","0")</f>
        <v>0</v>
      </c>
    </row>
    <row r="769" spans="1:7">
      <c r="A769" s="3">
        <v>18</v>
      </c>
      <c r="B769" s="3">
        <v>8</v>
      </c>
      <c r="C769" s="3">
        <v>55</v>
      </c>
      <c r="D769" s="3">
        <v>12</v>
      </c>
      <c r="E769" s="3">
        <v>-313.163</v>
      </c>
      <c r="F769" s="4" t="str">
        <f>HYPERLINK("http://141.218.60.56/~jnz1568/getInfo.php?workbook=18_08.xlsx&amp;sheet=A0&amp;row=769&amp;col=6&amp;number=32610000&amp;sourceID=14","32610000")</f>
        <v>32610000</v>
      </c>
      <c r="G769" s="4" t="str">
        <f>HYPERLINK("http://141.218.60.56/~jnz1568/getInfo.php?workbook=18_08.xlsx&amp;sheet=A0&amp;row=769&amp;col=7&amp;number=0&amp;sourceID=14","0")</f>
        <v>0</v>
      </c>
    </row>
    <row r="770" spans="1:7">
      <c r="A770" s="3">
        <v>18</v>
      </c>
      <c r="B770" s="3">
        <v>8</v>
      </c>
      <c r="C770" s="3">
        <v>56</v>
      </c>
      <c r="D770" s="3">
        <v>12</v>
      </c>
      <c r="E770" s="3">
        <v>272.477</v>
      </c>
      <c r="F770" s="4" t="str">
        <f>HYPERLINK("http://141.218.60.56/~jnz1568/getInfo.php?workbook=18_08.xlsx&amp;sheet=A0&amp;row=770&amp;col=6&amp;number=362.8&amp;sourceID=14","362.8")</f>
        <v>362.8</v>
      </c>
      <c r="G770" s="4" t="str">
        <f>HYPERLINK("http://141.218.60.56/~jnz1568/getInfo.php?workbook=18_08.xlsx&amp;sheet=A0&amp;row=770&amp;col=7&amp;number=0&amp;sourceID=14","0")</f>
        <v>0</v>
      </c>
    </row>
    <row r="771" spans="1:7">
      <c r="A771" s="3">
        <v>18</v>
      </c>
      <c r="B771" s="3">
        <v>8</v>
      </c>
      <c r="C771" s="3">
        <v>57</v>
      </c>
      <c r="D771" s="3">
        <v>12</v>
      </c>
      <c r="E771" s="3">
        <v>-269.677</v>
      </c>
      <c r="F771" s="4" t="str">
        <f>HYPERLINK("http://141.218.60.56/~jnz1568/getInfo.php?workbook=18_08.xlsx&amp;sheet=A0&amp;row=771&amp;col=6&amp;number=481.9&amp;sourceID=14","481.9")</f>
        <v>481.9</v>
      </c>
      <c r="G771" s="4" t="str">
        <f>HYPERLINK("http://141.218.60.56/~jnz1568/getInfo.php?workbook=18_08.xlsx&amp;sheet=A0&amp;row=771&amp;col=7&amp;number=0&amp;sourceID=14","0")</f>
        <v>0</v>
      </c>
    </row>
    <row r="772" spans="1:7">
      <c r="A772" s="3">
        <v>18</v>
      </c>
      <c r="B772" s="3">
        <v>8</v>
      </c>
      <c r="C772" s="3">
        <v>58</v>
      </c>
      <c r="D772" s="3">
        <v>12</v>
      </c>
      <c r="E772" s="3">
        <v>-267.709</v>
      </c>
      <c r="F772" s="4" t="str">
        <f>HYPERLINK("http://141.218.60.56/~jnz1568/getInfo.php?workbook=18_08.xlsx&amp;sheet=A0&amp;row=772&amp;col=6&amp;number=0.03543&amp;sourceID=14","0.03543")</f>
        <v>0.03543</v>
      </c>
      <c r="G772" s="4" t="str">
        <f>HYPERLINK("http://141.218.60.56/~jnz1568/getInfo.php?workbook=18_08.xlsx&amp;sheet=A0&amp;row=772&amp;col=7&amp;number=0&amp;sourceID=14","0")</f>
        <v>0</v>
      </c>
    </row>
    <row r="773" spans="1:7">
      <c r="A773" s="3">
        <v>18</v>
      </c>
      <c r="B773" s="3">
        <v>8</v>
      </c>
      <c r="C773" s="3">
        <v>60</v>
      </c>
      <c r="D773" s="3">
        <v>12</v>
      </c>
      <c r="E773" s="3">
        <v>-261.836</v>
      </c>
      <c r="F773" s="4" t="str">
        <f>HYPERLINK("http://141.218.60.56/~jnz1568/getInfo.php?workbook=18_08.xlsx&amp;sheet=A0&amp;row=773&amp;col=6&amp;number=185.3&amp;sourceID=14","185.3")</f>
        <v>185.3</v>
      </c>
      <c r="G773" s="4" t="str">
        <f>HYPERLINK("http://141.218.60.56/~jnz1568/getInfo.php?workbook=18_08.xlsx&amp;sheet=A0&amp;row=773&amp;col=7&amp;number=0&amp;sourceID=14","0")</f>
        <v>0</v>
      </c>
    </row>
    <row r="774" spans="1:7">
      <c r="A774" s="3">
        <v>18</v>
      </c>
      <c r="B774" s="3">
        <v>8</v>
      </c>
      <c r="C774" s="3">
        <v>64</v>
      </c>
      <c r="D774" s="3">
        <v>12</v>
      </c>
      <c r="E774" s="3">
        <v>255.961</v>
      </c>
      <c r="F774" s="4" t="str">
        <f>HYPERLINK("http://141.218.60.56/~jnz1568/getInfo.php?workbook=18_08.xlsx&amp;sheet=A0&amp;row=774&amp;col=6&amp;number=11170&amp;sourceID=14","11170")</f>
        <v>11170</v>
      </c>
      <c r="G774" s="4" t="str">
        <f>HYPERLINK("http://141.218.60.56/~jnz1568/getInfo.php?workbook=18_08.xlsx&amp;sheet=A0&amp;row=774&amp;col=7&amp;number=0&amp;sourceID=14","0")</f>
        <v>0</v>
      </c>
    </row>
    <row r="775" spans="1:7">
      <c r="A775" s="3">
        <v>18</v>
      </c>
      <c r="B775" s="3">
        <v>8</v>
      </c>
      <c r="C775" s="3">
        <v>65</v>
      </c>
      <c r="D775" s="3">
        <v>12</v>
      </c>
      <c r="E775" s="3">
        <v>-270.009</v>
      </c>
      <c r="F775" s="4" t="str">
        <f>HYPERLINK("http://141.218.60.56/~jnz1568/getInfo.php?workbook=18_08.xlsx&amp;sheet=A0&amp;row=775&amp;col=6&amp;number=7944000&amp;sourceID=14","7944000")</f>
        <v>7944000</v>
      </c>
      <c r="G775" s="4" t="str">
        <f>HYPERLINK("http://141.218.60.56/~jnz1568/getInfo.php?workbook=18_08.xlsx&amp;sheet=A0&amp;row=775&amp;col=7&amp;number=0&amp;sourceID=14","0")</f>
        <v>0</v>
      </c>
    </row>
    <row r="776" spans="1:7">
      <c r="A776" s="3">
        <v>18</v>
      </c>
      <c r="B776" s="3">
        <v>8</v>
      </c>
      <c r="C776" s="3">
        <v>66</v>
      </c>
      <c r="D776" s="3">
        <v>12</v>
      </c>
      <c r="E776" s="3">
        <v>256.206</v>
      </c>
      <c r="F776" s="4" t="str">
        <f>HYPERLINK("http://141.218.60.56/~jnz1568/getInfo.php?workbook=18_08.xlsx&amp;sheet=A0&amp;row=776&amp;col=6&amp;number=19760&amp;sourceID=14","19760")</f>
        <v>19760</v>
      </c>
      <c r="G776" s="4" t="str">
        <f>HYPERLINK("http://141.218.60.56/~jnz1568/getInfo.php?workbook=18_08.xlsx&amp;sheet=A0&amp;row=776&amp;col=7&amp;number=0&amp;sourceID=14","0")</f>
        <v>0</v>
      </c>
    </row>
    <row r="777" spans="1:7">
      <c r="A777" s="3">
        <v>18</v>
      </c>
      <c r="B777" s="3">
        <v>8</v>
      </c>
      <c r="C777" s="3">
        <v>67</v>
      </c>
      <c r="D777" s="3">
        <v>12</v>
      </c>
      <c r="E777" s="3">
        <v>262.044</v>
      </c>
      <c r="F777" s="4" t="str">
        <f>HYPERLINK("http://141.218.60.56/~jnz1568/getInfo.php?workbook=18_08.xlsx&amp;sheet=A0&amp;row=777&amp;col=6&amp;number=7320&amp;sourceID=14","7320")</f>
        <v>7320</v>
      </c>
      <c r="G777" s="4" t="str">
        <f>HYPERLINK("http://141.218.60.56/~jnz1568/getInfo.php?workbook=18_08.xlsx&amp;sheet=A0&amp;row=777&amp;col=7&amp;number=0&amp;sourceID=14","0")</f>
        <v>0</v>
      </c>
    </row>
    <row r="778" spans="1:7">
      <c r="A778" s="3">
        <v>18</v>
      </c>
      <c r="B778" s="3">
        <v>8</v>
      </c>
      <c r="C778" s="3">
        <v>68</v>
      </c>
      <c r="D778" s="3">
        <v>12</v>
      </c>
      <c r="E778" s="3">
        <v>255.174</v>
      </c>
      <c r="F778" s="4" t="str">
        <f>HYPERLINK("http://141.218.60.56/~jnz1568/getInfo.php?workbook=18_08.xlsx&amp;sheet=A0&amp;row=778&amp;col=6&amp;number=29820&amp;sourceID=14","29820")</f>
        <v>29820</v>
      </c>
      <c r="G778" s="4" t="str">
        <f>HYPERLINK("http://141.218.60.56/~jnz1568/getInfo.php?workbook=18_08.xlsx&amp;sheet=A0&amp;row=778&amp;col=7&amp;number=0&amp;sourceID=14","0")</f>
        <v>0</v>
      </c>
    </row>
    <row r="779" spans="1:7">
      <c r="A779" s="3">
        <v>18</v>
      </c>
      <c r="B779" s="3">
        <v>8</v>
      </c>
      <c r="C779" s="3">
        <v>69</v>
      </c>
      <c r="D779" s="3">
        <v>12</v>
      </c>
      <c r="E779" s="3">
        <v>249.438</v>
      </c>
      <c r="F779" s="4" t="str">
        <f>HYPERLINK("http://141.218.60.56/~jnz1568/getInfo.php?workbook=18_08.xlsx&amp;sheet=A0&amp;row=779&amp;col=6&amp;number=2024&amp;sourceID=14","2024")</f>
        <v>2024</v>
      </c>
      <c r="G779" s="4" t="str">
        <f>HYPERLINK("http://141.218.60.56/~jnz1568/getInfo.php?workbook=18_08.xlsx&amp;sheet=A0&amp;row=779&amp;col=7&amp;number=0&amp;sourceID=14","0")</f>
        <v>0</v>
      </c>
    </row>
    <row r="780" spans="1:7">
      <c r="A780" s="3">
        <v>18</v>
      </c>
      <c r="B780" s="3">
        <v>8</v>
      </c>
      <c r="C780" s="3">
        <v>70</v>
      </c>
      <c r="D780" s="3">
        <v>12</v>
      </c>
      <c r="E780" s="3">
        <v>-242.42</v>
      </c>
      <c r="F780" s="4" t="str">
        <f>HYPERLINK("http://141.218.60.56/~jnz1568/getInfo.php?workbook=18_08.xlsx&amp;sheet=A0&amp;row=780&amp;col=6&amp;number=5.834&amp;sourceID=14","5.834")</f>
        <v>5.834</v>
      </c>
      <c r="G780" s="4" t="str">
        <f>HYPERLINK("http://141.218.60.56/~jnz1568/getInfo.php?workbook=18_08.xlsx&amp;sheet=A0&amp;row=780&amp;col=7&amp;number=0&amp;sourceID=14","0")</f>
        <v>0</v>
      </c>
    </row>
    <row r="781" spans="1:7">
      <c r="A781" s="3">
        <v>18</v>
      </c>
      <c r="B781" s="3">
        <v>8</v>
      </c>
      <c r="C781" s="3">
        <v>71</v>
      </c>
      <c r="D781" s="3">
        <v>12</v>
      </c>
      <c r="E781" s="3">
        <v>242.535</v>
      </c>
      <c r="F781" s="4" t="str">
        <f>HYPERLINK("http://141.218.60.56/~jnz1568/getInfo.php?workbook=18_08.xlsx&amp;sheet=A0&amp;row=781&amp;col=6&amp;number=88.41&amp;sourceID=14","88.41")</f>
        <v>88.41</v>
      </c>
      <c r="G781" s="4" t="str">
        <f>HYPERLINK("http://141.218.60.56/~jnz1568/getInfo.php?workbook=18_08.xlsx&amp;sheet=A0&amp;row=781&amp;col=7&amp;number=0&amp;sourceID=14","0")</f>
        <v>0</v>
      </c>
    </row>
    <row r="782" spans="1:7">
      <c r="A782" s="3">
        <v>18</v>
      </c>
      <c r="B782" s="3">
        <v>8</v>
      </c>
      <c r="C782" s="3">
        <v>72</v>
      </c>
      <c r="D782" s="3">
        <v>12</v>
      </c>
      <c r="E782" s="3">
        <v>249.438</v>
      </c>
      <c r="F782" s="4" t="str">
        <f>HYPERLINK("http://141.218.60.56/~jnz1568/getInfo.php?workbook=18_08.xlsx&amp;sheet=A0&amp;row=782&amp;col=6&amp;number=583.7&amp;sourceID=14","583.7")</f>
        <v>583.7</v>
      </c>
      <c r="G782" s="4" t="str">
        <f>HYPERLINK("http://141.218.60.56/~jnz1568/getInfo.php?workbook=18_08.xlsx&amp;sheet=A0&amp;row=782&amp;col=7&amp;number=0&amp;sourceID=14","0")</f>
        <v>0</v>
      </c>
    </row>
    <row r="783" spans="1:7">
      <c r="A783" s="3">
        <v>18</v>
      </c>
      <c r="B783" s="3">
        <v>8</v>
      </c>
      <c r="C783" s="3">
        <v>73</v>
      </c>
      <c r="D783" s="3">
        <v>12</v>
      </c>
      <c r="E783" s="3">
        <v>242.535</v>
      </c>
      <c r="F783" s="4" t="str">
        <f>HYPERLINK("http://141.218.60.56/~jnz1568/getInfo.php?workbook=18_08.xlsx&amp;sheet=A0&amp;row=783&amp;col=6&amp;number=24.43&amp;sourceID=14","24.43")</f>
        <v>24.43</v>
      </c>
      <c r="G783" s="4" t="str">
        <f>HYPERLINK("http://141.218.60.56/~jnz1568/getInfo.php?workbook=18_08.xlsx&amp;sheet=A0&amp;row=783&amp;col=7&amp;number=0&amp;sourceID=14","0")</f>
        <v>0</v>
      </c>
    </row>
    <row r="784" spans="1:7">
      <c r="A784" s="3">
        <v>18</v>
      </c>
      <c r="B784" s="3">
        <v>8</v>
      </c>
      <c r="C784" s="3">
        <v>74</v>
      </c>
      <c r="D784" s="3">
        <v>12</v>
      </c>
      <c r="E784" s="3">
        <v>235.637</v>
      </c>
      <c r="F784" s="4" t="str">
        <f>HYPERLINK("http://141.218.60.56/~jnz1568/getInfo.php?workbook=18_08.xlsx&amp;sheet=A0&amp;row=784&amp;col=6&amp;number=293.6&amp;sourceID=14","293.6")</f>
        <v>293.6</v>
      </c>
      <c r="G784" s="4" t="str">
        <f>HYPERLINK("http://141.218.60.56/~jnz1568/getInfo.php?workbook=18_08.xlsx&amp;sheet=A0&amp;row=784&amp;col=7&amp;number=0&amp;sourceID=14","0")</f>
        <v>0</v>
      </c>
    </row>
    <row r="785" spans="1:7">
      <c r="A785" s="3">
        <v>18</v>
      </c>
      <c r="B785" s="3">
        <v>8</v>
      </c>
      <c r="C785" s="3">
        <v>75</v>
      </c>
      <c r="D785" s="3">
        <v>12</v>
      </c>
      <c r="E785" s="3">
        <v>-229.573</v>
      </c>
      <c r="F785" s="4" t="str">
        <f>HYPERLINK("http://141.218.60.56/~jnz1568/getInfo.php?workbook=18_08.xlsx&amp;sheet=A0&amp;row=785&amp;col=6&amp;number=322.1&amp;sourceID=14","322.1")</f>
        <v>322.1</v>
      </c>
      <c r="G785" s="4" t="str">
        <f>HYPERLINK("http://141.218.60.56/~jnz1568/getInfo.php?workbook=18_08.xlsx&amp;sheet=A0&amp;row=785&amp;col=7&amp;number=0&amp;sourceID=14","0")</f>
        <v>0</v>
      </c>
    </row>
    <row r="786" spans="1:7">
      <c r="A786" s="3">
        <v>18</v>
      </c>
      <c r="B786" s="3">
        <v>8</v>
      </c>
      <c r="C786" s="3">
        <v>77</v>
      </c>
      <c r="D786" s="3">
        <v>12</v>
      </c>
      <c r="E786" s="3">
        <v>235.618</v>
      </c>
      <c r="F786" s="4" t="str">
        <f>HYPERLINK("http://141.218.60.56/~jnz1568/getInfo.php?workbook=18_08.xlsx&amp;sheet=A0&amp;row=786&amp;col=6&amp;number=3048&amp;sourceID=14","3048")</f>
        <v>3048</v>
      </c>
      <c r="G786" s="4" t="str">
        <f>HYPERLINK("http://141.218.60.56/~jnz1568/getInfo.php?workbook=18_08.xlsx&amp;sheet=A0&amp;row=786&amp;col=7&amp;number=0&amp;sourceID=14","0")</f>
        <v>0</v>
      </c>
    </row>
    <row r="787" spans="1:7">
      <c r="A787" s="3">
        <v>18</v>
      </c>
      <c r="B787" s="3">
        <v>8</v>
      </c>
      <c r="C787" s="3">
        <v>78</v>
      </c>
      <c r="D787" s="3">
        <v>12</v>
      </c>
      <c r="E787" s="3">
        <v>-229.14</v>
      </c>
      <c r="F787" s="4" t="str">
        <f>HYPERLINK("http://141.218.60.56/~jnz1568/getInfo.php?workbook=18_08.xlsx&amp;sheet=A0&amp;row=787&amp;col=6&amp;number=0.329&amp;sourceID=14","0.329")</f>
        <v>0.329</v>
      </c>
      <c r="G787" s="4" t="str">
        <f>HYPERLINK("http://141.218.60.56/~jnz1568/getInfo.php?workbook=18_08.xlsx&amp;sheet=A0&amp;row=787&amp;col=7&amp;number=0&amp;sourceID=14","0")</f>
        <v>0</v>
      </c>
    </row>
    <row r="788" spans="1:7">
      <c r="A788" s="3">
        <v>18</v>
      </c>
      <c r="B788" s="3">
        <v>8</v>
      </c>
      <c r="C788" s="3">
        <v>79</v>
      </c>
      <c r="D788" s="3">
        <v>12</v>
      </c>
      <c r="E788" s="3">
        <v>-227.583</v>
      </c>
      <c r="F788" s="4" t="str">
        <f>HYPERLINK("http://141.218.60.56/~jnz1568/getInfo.php?workbook=18_08.xlsx&amp;sheet=A0&amp;row=788&amp;col=6&amp;number=4.142&amp;sourceID=14","4.142")</f>
        <v>4.142</v>
      </c>
      <c r="G788" s="4" t="str">
        <f>HYPERLINK("http://141.218.60.56/~jnz1568/getInfo.php?workbook=18_08.xlsx&amp;sheet=A0&amp;row=788&amp;col=7&amp;number=0&amp;sourceID=14","0")</f>
        <v>0</v>
      </c>
    </row>
    <row r="789" spans="1:7">
      <c r="A789" s="3">
        <v>18</v>
      </c>
      <c r="B789" s="3">
        <v>8</v>
      </c>
      <c r="C789" s="3">
        <v>80</v>
      </c>
      <c r="D789" s="3">
        <v>12</v>
      </c>
      <c r="E789" s="3">
        <v>-226.584</v>
      </c>
      <c r="F789" s="4" t="str">
        <f>HYPERLINK("http://141.218.60.56/~jnz1568/getInfo.php?workbook=18_08.xlsx&amp;sheet=A0&amp;row=789&amp;col=6&amp;number=35.79&amp;sourceID=14","35.79")</f>
        <v>35.79</v>
      </c>
      <c r="G789" s="4" t="str">
        <f>HYPERLINK("http://141.218.60.56/~jnz1568/getInfo.php?workbook=18_08.xlsx&amp;sheet=A0&amp;row=789&amp;col=7&amp;number=0&amp;sourceID=14","0")</f>
        <v>0</v>
      </c>
    </row>
    <row r="790" spans="1:7">
      <c r="A790" s="3">
        <v>18</v>
      </c>
      <c r="B790" s="3">
        <v>8</v>
      </c>
      <c r="C790" s="3">
        <v>81</v>
      </c>
      <c r="D790" s="3">
        <v>12</v>
      </c>
      <c r="E790" s="3">
        <v>225.066</v>
      </c>
      <c r="F790" s="4" t="str">
        <f>HYPERLINK("http://141.218.60.56/~jnz1568/getInfo.php?workbook=18_08.xlsx&amp;sheet=A0&amp;row=790&amp;col=6&amp;number=14000&amp;sourceID=14","14000")</f>
        <v>14000</v>
      </c>
      <c r="G790" s="4" t="str">
        <f>HYPERLINK("http://141.218.60.56/~jnz1568/getInfo.php?workbook=18_08.xlsx&amp;sheet=A0&amp;row=790&amp;col=7&amp;number=0&amp;sourceID=14","0")</f>
        <v>0</v>
      </c>
    </row>
    <row r="791" spans="1:7">
      <c r="A791" s="3">
        <v>18</v>
      </c>
      <c r="B791" s="3">
        <v>8</v>
      </c>
      <c r="C791" s="3">
        <v>82</v>
      </c>
      <c r="D791" s="3">
        <v>12</v>
      </c>
      <c r="E791" s="3">
        <v>223.118</v>
      </c>
      <c r="F791" s="4" t="str">
        <f>HYPERLINK("http://141.218.60.56/~jnz1568/getInfo.php?workbook=18_08.xlsx&amp;sheet=A0&amp;row=791&amp;col=6&amp;number=6662&amp;sourceID=14","6662")</f>
        <v>6662</v>
      </c>
      <c r="G791" s="4" t="str">
        <f>HYPERLINK("http://141.218.60.56/~jnz1568/getInfo.php?workbook=18_08.xlsx&amp;sheet=A0&amp;row=791&amp;col=7&amp;number=0&amp;sourceID=14","0")</f>
        <v>0</v>
      </c>
    </row>
    <row r="792" spans="1:7">
      <c r="A792" s="3">
        <v>18</v>
      </c>
      <c r="B792" s="3">
        <v>8</v>
      </c>
      <c r="C792" s="3">
        <v>83</v>
      </c>
      <c r="D792" s="3">
        <v>12</v>
      </c>
      <c r="E792" s="3">
        <v>218.348</v>
      </c>
      <c r="F792" s="4" t="str">
        <f>HYPERLINK("http://141.218.60.56/~jnz1568/getInfo.php?workbook=18_08.xlsx&amp;sheet=A0&amp;row=792&amp;col=6&amp;number=21750&amp;sourceID=14","21750")</f>
        <v>21750</v>
      </c>
      <c r="G792" s="4" t="str">
        <f>HYPERLINK("http://141.218.60.56/~jnz1568/getInfo.php?workbook=18_08.xlsx&amp;sheet=A0&amp;row=792&amp;col=7&amp;number=0&amp;sourceID=14","0")</f>
        <v>0</v>
      </c>
    </row>
    <row r="793" spans="1:7">
      <c r="A793" s="3">
        <v>18</v>
      </c>
      <c r="B793" s="3">
        <v>8</v>
      </c>
      <c r="C793" s="3">
        <v>84</v>
      </c>
      <c r="D793" s="3">
        <v>12</v>
      </c>
      <c r="E793" s="3">
        <v>222.973</v>
      </c>
      <c r="F793" s="4" t="str">
        <f>HYPERLINK("http://141.218.60.56/~jnz1568/getInfo.php?workbook=18_08.xlsx&amp;sheet=A0&amp;row=793&amp;col=6&amp;number=1522&amp;sourceID=14","1522")</f>
        <v>1522</v>
      </c>
      <c r="G793" s="4" t="str">
        <f>HYPERLINK("http://141.218.60.56/~jnz1568/getInfo.php?workbook=18_08.xlsx&amp;sheet=A0&amp;row=793&amp;col=7&amp;number=0&amp;sourceID=14","0")</f>
        <v>0</v>
      </c>
    </row>
    <row r="794" spans="1:7">
      <c r="A794" s="3">
        <v>18</v>
      </c>
      <c r="B794" s="3">
        <v>8</v>
      </c>
      <c r="C794" s="3">
        <v>85</v>
      </c>
      <c r="D794" s="3">
        <v>12</v>
      </c>
      <c r="E794" s="3">
        <v>215.65</v>
      </c>
      <c r="F794" s="4" t="str">
        <f>HYPERLINK("http://141.218.60.56/~jnz1568/getInfo.php?workbook=18_08.xlsx&amp;sheet=A0&amp;row=794&amp;col=6&amp;number=652.7&amp;sourceID=14","652.7")</f>
        <v>652.7</v>
      </c>
      <c r="G794" s="4" t="str">
        <f>HYPERLINK("http://141.218.60.56/~jnz1568/getInfo.php?workbook=18_08.xlsx&amp;sheet=A0&amp;row=794&amp;col=7&amp;number=0&amp;sourceID=14","0")</f>
        <v>0</v>
      </c>
    </row>
    <row r="795" spans="1:7">
      <c r="A795" s="3">
        <v>18</v>
      </c>
      <c r="B795" s="3">
        <v>8</v>
      </c>
      <c r="C795" s="3">
        <v>86</v>
      </c>
      <c r="D795" s="3">
        <v>12</v>
      </c>
      <c r="E795" s="3">
        <v>202.259</v>
      </c>
      <c r="F795" s="4" t="str">
        <f>HYPERLINK("http://141.218.60.56/~jnz1568/getInfo.php?workbook=18_08.xlsx&amp;sheet=A0&amp;row=795&amp;col=6&amp;number=65.21&amp;sourceID=14","65.21")</f>
        <v>65.21</v>
      </c>
      <c r="G795" s="4" t="str">
        <f>HYPERLINK("http://141.218.60.56/~jnz1568/getInfo.php?workbook=18_08.xlsx&amp;sheet=A0&amp;row=795&amp;col=7&amp;number=0&amp;sourceID=14","0")</f>
        <v>0</v>
      </c>
    </row>
    <row r="796" spans="1:7">
      <c r="A796" s="3">
        <v>18</v>
      </c>
      <c r="B796" s="3">
        <v>8</v>
      </c>
      <c r="C796" s="3">
        <v>14</v>
      </c>
      <c r="D796" s="3">
        <v>13</v>
      </c>
      <c r="E796" s="3">
        <v>78926.602</v>
      </c>
      <c r="F796" s="4" t="str">
        <f>HYPERLINK("http://141.218.60.56/~jnz1568/getInfo.php?workbook=18_08.xlsx&amp;sheet=A0&amp;row=796&amp;col=6&amp;number=0.9684&amp;sourceID=14","0.9684")</f>
        <v>0.9684</v>
      </c>
      <c r="G796" s="4" t="str">
        <f>HYPERLINK("http://141.218.60.56/~jnz1568/getInfo.php?workbook=18_08.xlsx&amp;sheet=A0&amp;row=796&amp;col=7&amp;number=0&amp;sourceID=14","0")</f>
        <v>0</v>
      </c>
    </row>
    <row r="797" spans="1:7">
      <c r="A797" s="3">
        <v>18</v>
      </c>
      <c r="B797" s="3">
        <v>8</v>
      </c>
      <c r="C797" s="3">
        <v>15</v>
      </c>
      <c r="D797" s="3">
        <v>13</v>
      </c>
      <c r="E797" s="3">
        <v>39463.301</v>
      </c>
      <c r="F797" s="4" t="str">
        <f>HYPERLINK("http://141.218.60.56/~jnz1568/getInfo.php?workbook=18_08.xlsx&amp;sheet=A0&amp;row=797&amp;col=6&amp;number=1.425e-14&amp;sourceID=14","1.425e-14")</f>
        <v>1.425e-14</v>
      </c>
      <c r="G797" s="4" t="str">
        <f>HYPERLINK("http://141.218.60.56/~jnz1568/getInfo.php?workbook=18_08.xlsx&amp;sheet=A0&amp;row=797&amp;col=7&amp;number=0&amp;sourceID=14","0")</f>
        <v>0</v>
      </c>
    </row>
    <row r="798" spans="1:7">
      <c r="A798" s="3">
        <v>18</v>
      </c>
      <c r="B798" s="3">
        <v>8</v>
      </c>
      <c r="C798" s="3">
        <v>16</v>
      </c>
      <c r="D798" s="3">
        <v>13</v>
      </c>
      <c r="E798" s="3">
        <v>5886.508</v>
      </c>
      <c r="F798" s="4" t="str">
        <f>HYPERLINK("http://141.218.60.56/~jnz1568/getInfo.php?workbook=18_08.xlsx&amp;sheet=A0&amp;row=798&amp;col=6&amp;number=1.561&amp;sourceID=14","1.561")</f>
        <v>1.561</v>
      </c>
      <c r="G798" s="4" t="str">
        <f>HYPERLINK("http://141.218.60.56/~jnz1568/getInfo.php?workbook=18_08.xlsx&amp;sheet=A0&amp;row=798&amp;col=7&amp;number=0&amp;sourceID=14","0")</f>
        <v>0</v>
      </c>
    </row>
    <row r="799" spans="1:7">
      <c r="A799" s="3">
        <v>18</v>
      </c>
      <c r="B799" s="3">
        <v>8</v>
      </c>
      <c r="C799" s="3">
        <v>17</v>
      </c>
      <c r="D799" s="3">
        <v>13</v>
      </c>
      <c r="E799" s="3">
        <v>3129.009</v>
      </c>
      <c r="F799" s="4" t="str">
        <f>HYPERLINK("http://141.218.60.56/~jnz1568/getInfo.php?workbook=18_08.xlsx&amp;sheet=A0&amp;row=799&amp;col=6&amp;number=3650&amp;sourceID=14","3650")</f>
        <v>3650</v>
      </c>
      <c r="G799" s="4" t="str">
        <f>HYPERLINK("http://141.218.60.56/~jnz1568/getInfo.php?workbook=18_08.xlsx&amp;sheet=A0&amp;row=799&amp;col=7&amp;number=0&amp;sourceID=14","0")</f>
        <v>0</v>
      </c>
    </row>
    <row r="800" spans="1:7">
      <c r="A800" s="3">
        <v>18</v>
      </c>
      <c r="B800" s="3">
        <v>8</v>
      </c>
      <c r="C800" s="3">
        <v>18</v>
      </c>
      <c r="D800" s="3">
        <v>13</v>
      </c>
      <c r="E800" s="3">
        <v>3023.34</v>
      </c>
      <c r="F800" s="4" t="str">
        <f>HYPERLINK("http://141.218.60.56/~jnz1568/getInfo.php?workbook=18_08.xlsx&amp;sheet=A0&amp;row=800&amp;col=6&amp;number=1125&amp;sourceID=14","1125")</f>
        <v>1125</v>
      </c>
      <c r="G800" s="4" t="str">
        <f>HYPERLINK("http://141.218.60.56/~jnz1568/getInfo.php?workbook=18_08.xlsx&amp;sheet=A0&amp;row=800&amp;col=7&amp;number=0&amp;sourceID=14","0")</f>
        <v>0</v>
      </c>
    </row>
    <row r="801" spans="1:7">
      <c r="A801" s="3">
        <v>18</v>
      </c>
      <c r="B801" s="3">
        <v>8</v>
      </c>
      <c r="C801" s="3">
        <v>19</v>
      </c>
      <c r="D801" s="3">
        <v>13</v>
      </c>
      <c r="E801" s="3">
        <v>2819.125</v>
      </c>
      <c r="F801" s="4" t="str">
        <f>HYPERLINK("http://141.218.60.56/~jnz1568/getInfo.php?workbook=18_08.xlsx&amp;sheet=A0&amp;row=801&amp;col=6&amp;number=2.455e-07&amp;sourceID=14","2.455e-07")</f>
        <v>2.455e-07</v>
      </c>
      <c r="G801" s="4" t="str">
        <f>HYPERLINK("http://141.218.60.56/~jnz1568/getInfo.php?workbook=18_08.xlsx&amp;sheet=A0&amp;row=801&amp;col=7&amp;number=0&amp;sourceID=14","0")</f>
        <v>0</v>
      </c>
    </row>
    <row r="802" spans="1:7">
      <c r="A802" s="3">
        <v>18</v>
      </c>
      <c r="B802" s="3">
        <v>8</v>
      </c>
      <c r="C802" s="3">
        <v>20</v>
      </c>
      <c r="D802" s="3">
        <v>13</v>
      </c>
      <c r="E802" s="3">
        <v>-1578.766</v>
      </c>
      <c r="F802" s="4" t="str">
        <f>HYPERLINK("http://141.218.60.56/~jnz1568/getInfo.php?workbook=18_08.xlsx&amp;sheet=A0&amp;row=802&amp;col=6&amp;number=5307000&amp;sourceID=14","5307000")</f>
        <v>5307000</v>
      </c>
      <c r="G802" s="4" t="str">
        <f>HYPERLINK("http://141.218.60.56/~jnz1568/getInfo.php?workbook=18_08.xlsx&amp;sheet=A0&amp;row=802&amp;col=7&amp;number=0&amp;sourceID=14","0")</f>
        <v>0</v>
      </c>
    </row>
    <row r="803" spans="1:7">
      <c r="A803" s="3">
        <v>18</v>
      </c>
      <c r="B803" s="3">
        <v>8</v>
      </c>
      <c r="C803" s="3">
        <v>21</v>
      </c>
      <c r="D803" s="3">
        <v>13</v>
      </c>
      <c r="E803" s="3">
        <v>-1548.317</v>
      </c>
      <c r="F803" s="4" t="str">
        <f>HYPERLINK("http://141.218.60.56/~jnz1568/getInfo.php?workbook=18_08.xlsx&amp;sheet=A0&amp;row=803&amp;col=6&amp;number=482600&amp;sourceID=14","482600")</f>
        <v>482600</v>
      </c>
      <c r="G803" s="4" t="str">
        <f>HYPERLINK("http://141.218.60.56/~jnz1568/getInfo.php?workbook=18_08.xlsx&amp;sheet=A0&amp;row=803&amp;col=7&amp;number=0&amp;sourceID=14","0")</f>
        <v>0</v>
      </c>
    </row>
    <row r="804" spans="1:7">
      <c r="A804" s="3">
        <v>18</v>
      </c>
      <c r="B804" s="3">
        <v>8</v>
      </c>
      <c r="C804" s="3">
        <v>22</v>
      </c>
      <c r="D804" s="3">
        <v>13</v>
      </c>
      <c r="E804" s="3">
        <v>-1535.4</v>
      </c>
      <c r="F804" s="4" t="str">
        <f>HYPERLINK("http://141.218.60.56/~jnz1568/getInfo.php?workbook=18_08.xlsx&amp;sheet=A0&amp;row=804&amp;col=6&amp;number=13900000&amp;sourceID=14","13900000")</f>
        <v>13900000</v>
      </c>
      <c r="G804" s="4" t="str">
        <f>HYPERLINK("http://141.218.60.56/~jnz1568/getInfo.php?workbook=18_08.xlsx&amp;sheet=A0&amp;row=804&amp;col=7&amp;number=0&amp;sourceID=14","0")</f>
        <v>0</v>
      </c>
    </row>
    <row r="805" spans="1:7">
      <c r="A805" s="3">
        <v>18</v>
      </c>
      <c r="B805" s="3">
        <v>8</v>
      </c>
      <c r="C805" s="3">
        <v>23</v>
      </c>
      <c r="D805" s="3">
        <v>13</v>
      </c>
      <c r="E805" s="3">
        <v>-1999.691</v>
      </c>
      <c r="F805" s="4" t="str">
        <f>HYPERLINK("http://141.218.60.56/~jnz1568/getInfo.php?workbook=18_08.xlsx&amp;sheet=A0&amp;row=805&amp;col=6&amp;number=179.4&amp;sourceID=14","179.4")</f>
        <v>179.4</v>
      </c>
      <c r="G805" s="4" t="str">
        <f>HYPERLINK("http://141.218.60.56/~jnz1568/getInfo.php?workbook=18_08.xlsx&amp;sheet=A0&amp;row=805&amp;col=7&amp;number=0&amp;sourceID=14","0")</f>
        <v>0</v>
      </c>
    </row>
    <row r="806" spans="1:7">
      <c r="A806" s="3">
        <v>18</v>
      </c>
      <c r="B806" s="3">
        <v>8</v>
      </c>
      <c r="C806" s="3">
        <v>24</v>
      </c>
      <c r="D806" s="3">
        <v>13</v>
      </c>
      <c r="E806" s="3">
        <v>-1938.512</v>
      </c>
      <c r="F806" s="4" t="str">
        <f>HYPERLINK("http://141.218.60.56/~jnz1568/getInfo.php?workbook=18_08.xlsx&amp;sheet=A0&amp;row=806&amp;col=6&amp;number=170.9&amp;sourceID=14","170.9")</f>
        <v>170.9</v>
      </c>
      <c r="G806" s="4" t="str">
        <f>HYPERLINK("http://141.218.60.56/~jnz1568/getInfo.php?workbook=18_08.xlsx&amp;sheet=A0&amp;row=806&amp;col=7&amp;number=0&amp;sourceID=14","0")</f>
        <v>0</v>
      </c>
    </row>
    <row r="807" spans="1:7">
      <c r="A807" s="3">
        <v>18</v>
      </c>
      <c r="B807" s="3">
        <v>8</v>
      </c>
      <c r="C807" s="3">
        <v>25</v>
      </c>
      <c r="D807" s="3">
        <v>13</v>
      </c>
      <c r="E807" s="3">
        <v>1734.094</v>
      </c>
      <c r="F807" s="4" t="str">
        <f>HYPERLINK("http://141.218.60.56/~jnz1568/getInfo.php?workbook=18_08.xlsx&amp;sheet=A0&amp;row=807&amp;col=6&amp;number=33.62&amp;sourceID=14","33.62")</f>
        <v>33.62</v>
      </c>
      <c r="G807" s="4" t="str">
        <f>HYPERLINK("http://141.218.60.56/~jnz1568/getInfo.php?workbook=18_08.xlsx&amp;sheet=A0&amp;row=807&amp;col=7&amp;number=0&amp;sourceID=14","0")</f>
        <v>0</v>
      </c>
    </row>
    <row r="808" spans="1:7">
      <c r="A808" s="3">
        <v>18</v>
      </c>
      <c r="B808" s="3">
        <v>8</v>
      </c>
      <c r="C808" s="3">
        <v>26</v>
      </c>
      <c r="D808" s="3">
        <v>13</v>
      </c>
      <c r="E808" s="3">
        <v>1595.965</v>
      </c>
      <c r="F808" s="4" t="str">
        <f>HYPERLINK("http://141.218.60.56/~jnz1568/getInfo.php?workbook=18_08.xlsx&amp;sheet=A0&amp;row=808&amp;col=6&amp;number=454.2&amp;sourceID=14","454.2")</f>
        <v>454.2</v>
      </c>
      <c r="G808" s="4" t="str">
        <f>HYPERLINK("http://141.218.60.56/~jnz1568/getInfo.php?workbook=18_08.xlsx&amp;sheet=A0&amp;row=808&amp;col=7&amp;number=0&amp;sourceID=14","0")</f>
        <v>0</v>
      </c>
    </row>
    <row r="809" spans="1:7">
      <c r="A809" s="3">
        <v>18</v>
      </c>
      <c r="B809" s="3">
        <v>8</v>
      </c>
      <c r="C809" s="3">
        <v>27</v>
      </c>
      <c r="D809" s="3">
        <v>13</v>
      </c>
      <c r="E809" s="3">
        <v>-761.67</v>
      </c>
      <c r="F809" s="4" t="str">
        <f>HYPERLINK("http://141.218.60.56/~jnz1568/getInfo.php?workbook=18_08.xlsx&amp;sheet=A0&amp;row=809&amp;col=6&amp;number=454300000&amp;sourceID=14","454300000")</f>
        <v>454300000</v>
      </c>
      <c r="G809" s="4" t="str">
        <f>HYPERLINK("http://141.218.60.56/~jnz1568/getInfo.php?workbook=18_08.xlsx&amp;sheet=A0&amp;row=809&amp;col=7&amp;number=0&amp;sourceID=14","0")</f>
        <v>0</v>
      </c>
    </row>
    <row r="810" spans="1:7">
      <c r="A810" s="3">
        <v>18</v>
      </c>
      <c r="B810" s="3">
        <v>8</v>
      </c>
      <c r="C810" s="3">
        <v>28</v>
      </c>
      <c r="D810" s="3">
        <v>13</v>
      </c>
      <c r="E810" s="3">
        <v>-781.455</v>
      </c>
      <c r="F810" s="4" t="str">
        <f>HYPERLINK("http://141.218.60.56/~jnz1568/getInfo.php?workbook=18_08.xlsx&amp;sheet=A0&amp;row=810&amp;col=6&amp;number=4645000&amp;sourceID=14","4645000")</f>
        <v>4645000</v>
      </c>
      <c r="G810" s="4" t="str">
        <f>HYPERLINK("http://141.218.60.56/~jnz1568/getInfo.php?workbook=18_08.xlsx&amp;sheet=A0&amp;row=810&amp;col=7&amp;number=0&amp;sourceID=14","0")</f>
        <v>0</v>
      </c>
    </row>
    <row r="811" spans="1:7">
      <c r="A811" s="3">
        <v>18</v>
      </c>
      <c r="B811" s="3">
        <v>8</v>
      </c>
      <c r="C811" s="3">
        <v>29</v>
      </c>
      <c r="D811" s="3">
        <v>13</v>
      </c>
      <c r="E811" s="3">
        <v>-757.389</v>
      </c>
      <c r="F811" s="4" t="str">
        <f>HYPERLINK("http://141.218.60.56/~jnz1568/getInfo.php?workbook=18_08.xlsx&amp;sheet=A0&amp;row=811&amp;col=6&amp;number=0.0007943&amp;sourceID=14","0.0007943")</f>
        <v>0.0007943</v>
      </c>
      <c r="G811" s="4" t="str">
        <f>HYPERLINK("http://141.218.60.56/~jnz1568/getInfo.php?workbook=18_08.xlsx&amp;sheet=A0&amp;row=811&amp;col=7&amp;number=0&amp;sourceID=14","0")</f>
        <v>0</v>
      </c>
    </row>
    <row r="812" spans="1:7">
      <c r="A812" s="3">
        <v>18</v>
      </c>
      <c r="B812" s="3">
        <v>8</v>
      </c>
      <c r="C812" s="3">
        <v>30</v>
      </c>
      <c r="D812" s="3">
        <v>13</v>
      </c>
      <c r="E812" s="3">
        <v>-837.436</v>
      </c>
      <c r="F812" s="4" t="str">
        <f>HYPERLINK("http://141.218.60.56/~jnz1568/getInfo.php?workbook=18_08.xlsx&amp;sheet=A0&amp;row=812&amp;col=6&amp;number=303200000&amp;sourceID=14","303200000")</f>
        <v>303200000</v>
      </c>
      <c r="G812" s="4" t="str">
        <f>HYPERLINK("http://141.218.60.56/~jnz1568/getInfo.php?workbook=18_08.xlsx&amp;sheet=A0&amp;row=812&amp;col=7&amp;number=0&amp;sourceID=14","0")</f>
        <v>0</v>
      </c>
    </row>
    <row r="813" spans="1:7">
      <c r="A813" s="3">
        <v>18</v>
      </c>
      <c r="B813" s="3">
        <v>8</v>
      </c>
      <c r="C813" s="3">
        <v>31</v>
      </c>
      <c r="D813" s="3">
        <v>13</v>
      </c>
      <c r="E813" s="3">
        <v>-723.621</v>
      </c>
      <c r="F813" s="4" t="str">
        <f>HYPERLINK("http://141.218.60.56/~jnz1568/getInfo.php?workbook=18_08.xlsx&amp;sheet=A0&amp;row=813&amp;col=6&amp;number=1559000000&amp;sourceID=14","1559000000")</f>
        <v>1559000000</v>
      </c>
      <c r="G813" s="4" t="str">
        <f>HYPERLINK("http://141.218.60.56/~jnz1568/getInfo.php?workbook=18_08.xlsx&amp;sheet=A0&amp;row=813&amp;col=7&amp;number=0&amp;sourceID=14","0")</f>
        <v>0</v>
      </c>
    </row>
    <row r="814" spans="1:7">
      <c r="A814" s="3">
        <v>18</v>
      </c>
      <c r="B814" s="3">
        <v>8</v>
      </c>
      <c r="C814" s="3">
        <v>32</v>
      </c>
      <c r="D814" s="3">
        <v>13</v>
      </c>
      <c r="E814" s="3">
        <v>-708.714</v>
      </c>
      <c r="F814" s="4" t="str">
        <f>HYPERLINK("http://141.218.60.56/~jnz1568/getInfo.php?workbook=18_08.xlsx&amp;sheet=A0&amp;row=814&amp;col=6&amp;number=0.1596&amp;sourceID=14","0.1596")</f>
        <v>0.1596</v>
      </c>
      <c r="G814" s="4" t="str">
        <f>HYPERLINK("http://141.218.60.56/~jnz1568/getInfo.php?workbook=18_08.xlsx&amp;sheet=A0&amp;row=814&amp;col=7&amp;number=0&amp;sourceID=14","0")</f>
        <v>0</v>
      </c>
    </row>
    <row r="815" spans="1:7">
      <c r="A815" s="3">
        <v>18</v>
      </c>
      <c r="B815" s="3">
        <v>8</v>
      </c>
      <c r="C815" s="3">
        <v>34</v>
      </c>
      <c r="D815" s="3">
        <v>13</v>
      </c>
      <c r="E815" s="3">
        <v>-678.542</v>
      </c>
      <c r="F815" s="4" t="str">
        <f>HYPERLINK("http://141.218.60.56/~jnz1568/getInfo.php?workbook=18_08.xlsx&amp;sheet=A0&amp;row=815&amp;col=6&amp;number=0.1017&amp;sourceID=14","0.1017")</f>
        <v>0.1017</v>
      </c>
      <c r="G815" s="4" t="str">
        <f>HYPERLINK("http://141.218.60.56/~jnz1568/getInfo.php?workbook=18_08.xlsx&amp;sheet=A0&amp;row=815&amp;col=7&amp;number=0&amp;sourceID=14","0")</f>
        <v>0</v>
      </c>
    </row>
    <row r="816" spans="1:7">
      <c r="A816" s="3">
        <v>18</v>
      </c>
      <c r="B816" s="3">
        <v>8</v>
      </c>
      <c r="C816" s="3">
        <v>35</v>
      </c>
      <c r="D816" s="3">
        <v>13</v>
      </c>
      <c r="E816" s="3">
        <v>-553.502</v>
      </c>
      <c r="F816" s="4" t="str">
        <f>HYPERLINK("http://141.218.60.56/~jnz1568/getInfo.php?workbook=18_08.xlsx&amp;sheet=A0&amp;row=816&amp;col=6&amp;number=3166000000&amp;sourceID=14","3166000000")</f>
        <v>3166000000</v>
      </c>
      <c r="G816" s="4" t="str">
        <f>HYPERLINK("http://141.218.60.56/~jnz1568/getInfo.php?workbook=18_08.xlsx&amp;sheet=A0&amp;row=816&amp;col=7&amp;number=0&amp;sourceID=14","0")</f>
        <v>0</v>
      </c>
    </row>
    <row r="817" spans="1:7">
      <c r="A817" s="3">
        <v>18</v>
      </c>
      <c r="B817" s="3">
        <v>8</v>
      </c>
      <c r="C817" s="3">
        <v>36</v>
      </c>
      <c r="D817" s="3">
        <v>13</v>
      </c>
      <c r="E817" s="3">
        <v>-525.076</v>
      </c>
      <c r="F817" s="4" t="str">
        <f>HYPERLINK("http://141.218.60.56/~jnz1568/getInfo.php?workbook=18_08.xlsx&amp;sheet=A0&amp;row=817&amp;col=6&amp;number=405100000&amp;sourceID=14","405100000")</f>
        <v>405100000</v>
      </c>
      <c r="G817" s="4" t="str">
        <f>HYPERLINK("http://141.218.60.56/~jnz1568/getInfo.php?workbook=18_08.xlsx&amp;sheet=A0&amp;row=817&amp;col=7&amp;number=0&amp;sourceID=14","0")</f>
        <v>0</v>
      </c>
    </row>
    <row r="818" spans="1:7">
      <c r="A818" s="3">
        <v>18</v>
      </c>
      <c r="B818" s="3">
        <v>8</v>
      </c>
      <c r="C818" s="3">
        <v>37</v>
      </c>
      <c r="D818" s="3">
        <v>13</v>
      </c>
      <c r="E818" s="3">
        <v>547.786</v>
      </c>
      <c r="F818" s="4" t="str">
        <f>HYPERLINK("http://141.218.60.56/~jnz1568/getInfo.php?workbook=18_08.xlsx&amp;sheet=A0&amp;row=818&amp;col=6&amp;number=22780000&amp;sourceID=14","22780000")</f>
        <v>22780000</v>
      </c>
      <c r="G818" s="4" t="str">
        <f>HYPERLINK("http://141.218.60.56/~jnz1568/getInfo.php?workbook=18_08.xlsx&amp;sheet=A0&amp;row=818&amp;col=7&amp;number=0&amp;sourceID=14","0")</f>
        <v>0</v>
      </c>
    </row>
    <row r="819" spans="1:7">
      <c r="A819" s="3">
        <v>18</v>
      </c>
      <c r="B819" s="3">
        <v>8</v>
      </c>
      <c r="C819" s="3">
        <v>38</v>
      </c>
      <c r="D819" s="3">
        <v>13</v>
      </c>
      <c r="E819" s="3">
        <v>-492.837</v>
      </c>
      <c r="F819" s="4" t="str">
        <f>HYPERLINK("http://141.218.60.56/~jnz1568/getInfo.php?workbook=18_08.xlsx&amp;sheet=A0&amp;row=819&amp;col=6&amp;number=2.116&amp;sourceID=14","2.116")</f>
        <v>2.116</v>
      </c>
      <c r="G819" s="4" t="str">
        <f>HYPERLINK("http://141.218.60.56/~jnz1568/getInfo.php?workbook=18_08.xlsx&amp;sheet=A0&amp;row=819&amp;col=7&amp;number=0&amp;sourceID=14","0")</f>
        <v>0</v>
      </c>
    </row>
    <row r="820" spans="1:7">
      <c r="A820" s="3">
        <v>18</v>
      </c>
      <c r="B820" s="3">
        <v>8</v>
      </c>
      <c r="C820" s="3">
        <v>39</v>
      </c>
      <c r="D820" s="3">
        <v>13</v>
      </c>
      <c r="E820" s="3">
        <v>-492.61</v>
      </c>
      <c r="F820" s="4" t="str">
        <f>HYPERLINK("http://141.218.60.56/~jnz1568/getInfo.php?workbook=18_08.xlsx&amp;sheet=A0&amp;row=820&amp;col=6&amp;number=0.6497&amp;sourceID=14","0.6497")</f>
        <v>0.6497</v>
      </c>
      <c r="G820" s="4" t="str">
        <f>HYPERLINK("http://141.218.60.56/~jnz1568/getInfo.php?workbook=18_08.xlsx&amp;sheet=A0&amp;row=820&amp;col=7&amp;number=0&amp;sourceID=14","0")</f>
        <v>0</v>
      </c>
    </row>
    <row r="821" spans="1:7">
      <c r="A821" s="3">
        <v>18</v>
      </c>
      <c r="B821" s="3">
        <v>8</v>
      </c>
      <c r="C821" s="3">
        <v>40</v>
      </c>
      <c r="D821" s="3">
        <v>13</v>
      </c>
      <c r="E821" s="3">
        <v>516.169</v>
      </c>
      <c r="F821" s="4" t="str">
        <f>HYPERLINK("http://141.218.60.56/~jnz1568/getInfo.php?workbook=18_08.xlsx&amp;sheet=A0&amp;row=821&amp;col=6&amp;number=0.7012&amp;sourceID=14","0.7012")</f>
        <v>0.7012</v>
      </c>
      <c r="G821" s="4" t="str">
        <f>HYPERLINK("http://141.218.60.56/~jnz1568/getInfo.php?workbook=18_08.xlsx&amp;sheet=A0&amp;row=821&amp;col=7&amp;number=0&amp;sourceID=14","0")</f>
        <v>0</v>
      </c>
    </row>
    <row r="822" spans="1:7">
      <c r="A822" s="3">
        <v>18</v>
      </c>
      <c r="B822" s="3">
        <v>8</v>
      </c>
      <c r="C822" s="3">
        <v>41</v>
      </c>
      <c r="D822" s="3">
        <v>13</v>
      </c>
      <c r="E822" s="3">
        <v>-491.642</v>
      </c>
      <c r="F822" s="4" t="str">
        <f>HYPERLINK("http://141.218.60.56/~jnz1568/getInfo.php?workbook=18_08.xlsx&amp;sheet=A0&amp;row=822&amp;col=6&amp;number=0.3762&amp;sourceID=14","0.3762")</f>
        <v>0.3762</v>
      </c>
      <c r="G822" s="4" t="str">
        <f>HYPERLINK("http://141.218.60.56/~jnz1568/getInfo.php?workbook=18_08.xlsx&amp;sheet=A0&amp;row=822&amp;col=7&amp;number=0&amp;sourceID=14","0")</f>
        <v>0</v>
      </c>
    </row>
    <row r="823" spans="1:7">
      <c r="A823" s="3">
        <v>18</v>
      </c>
      <c r="B823" s="3">
        <v>8</v>
      </c>
      <c r="C823" s="3">
        <v>43</v>
      </c>
      <c r="D823" s="3">
        <v>13</v>
      </c>
      <c r="E823" s="3">
        <v>-524.374</v>
      </c>
      <c r="F823" s="4" t="str">
        <f>HYPERLINK("http://141.218.60.56/~jnz1568/getInfo.php?workbook=18_08.xlsx&amp;sheet=A0&amp;row=823&amp;col=6&amp;number=4988000&amp;sourceID=14","4988000")</f>
        <v>4988000</v>
      </c>
      <c r="G823" s="4" t="str">
        <f>HYPERLINK("http://141.218.60.56/~jnz1568/getInfo.php?workbook=18_08.xlsx&amp;sheet=A0&amp;row=823&amp;col=7&amp;number=0&amp;sourceID=14","0")</f>
        <v>0</v>
      </c>
    </row>
    <row r="824" spans="1:7">
      <c r="A824" s="3">
        <v>18</v>
      </c>
      <c r="B824" s="3">
        <v>8</v>
      </c>
      <c r="C824" s="3">
        <v>44</v>
      </c>
      <c r="D824" s="3">
        <v>13</v>
      </c>
      <c r="E824" s="3">
        <v>-576.051</v>
      </c>
      <c r="F824" s="4" t="str">
        <f>HYPERLINK("http://141.218.60.56/~jnz1568/getInfo.php?workbook=18_08.xlsx&amp;sheet=A0&amp;row=824&amp;col=6&amp;number=361200000&amp;sourceID=14","361200000")</f>
        <v>361200000</v>
      </c>
      <c r="G824" s="4" t="str">
        <f>HYPERLINK("http://141.218.60.56/~jnz1568/getInfo.php?workbook=18_08.xlsx&amp;sheet=A0&amp;row=824&amp;col=7&amp;number=0&amp;sourceID=14","0")</f>
        <v>0</v>
      </c>
    </row>
    <row r="825" spans="1:7">
      <c r="A825" s="3">
        <v>18</v>
      </c>
      <c r="B825" s="3">
        <v>8</v>
      </c>
      <c r="C825" s="3">
        <v>45</v>
      </c>
      <c r="D825" s="3">
        <v>13</v>
      </c>
      <c r="E825" s="3">
        <v>-529.768</v>
      </c>
      <c r="F825" s="4" t="str">
        <f>HYPERLINK("http://141.218.60.56/~jnz1568/getInfo.php?workbook=18_08.xlsx&amp;sheet=A0&amp;row=825&amp;col=6&amp;number=154900000&amp;sourceID=14","154900000")</f>
        <v>154900000</v>
      </c>
      <c r="G825" s="4" t="str">
        <f>HYPERLINK("http://141.218.60.56/~jnz1568/getInfo.php?workbook=18_08.xlsx&amp;sheet=A0&amp;row=825&amp;col=7&amp;number=0&amp;sourceID=14","0")</f>
        <v>0</v>
      </c>
    </row>
    <row r="826" spans="1:7">
      <c r="A826" s="3">
        <v>18</v>
      </c>
      <c r="B826" s="3">
        <v>8</v>
      </c>
      <c r="C826" s="3">
        <v>46</v>
      </c>
      <c r="D826" s="3">
        <v>13</v>
      </c>
      <c r="E826" s="3">
        <v>-500.986</v>
      </c>
      <c r="F826" s="4" t="str">
        <f>HYPERLINK("http://141.218.60.56/~jnz1568/getInfo.php?workbook=18_08.xlsx&amp;sheet=A0&amp;row=826&amp;col=6&amp;number=23620000&amp;sourceID=14","23620000")</f>
        <v>23620000</v>
      </c>
      <c r="G826" s="4" t="str">
        <f>HYPERLINK("http://141.218.60.56/~jnz1568/getInfo.php?workbook=18_08.xlsx&amp;sheet=A0&amp;row=826&amp;col=7&amp;number=0&amp;sourceID=14","0")</f>
        <v>0</v>
      </c>
    </row>
    <row r="827" spans="1:7">
      <c r="A827" s="3">
        <v>18</v>
      </c>
      <c r="B827" s="3">
        <v>8</v>
      </c>
      <c r="C827" s="3">
        <v>47</v>
      </c>
      <c r="D827" s="3">
        <v>13</v>
      </c>
      <c r="E827" s="3">
        <v>-514.681</v>
      </c>
      <c r="F827" s="4" t="str">
        <f>HYPERLINK("http://141.218.60.56/~jnz1568/getInfo.php?workbook=18_08.xlsx&amp;sheet=A0&amp;row=827&amp;col=6&amp;number=0.0007048&amp;sourceID=14","0.0007048")</f>
        <v>0.0007048</v>
      </c>
      <c r="G827" s="4" t="str">
        <f>HYPERLINK("http://141.218.60.56/~jnz1568/getInfo.php?workbook=18_08.xlsx&amp;sheet=A0&amp;row=827&amp;col=7&amp;number=0&amp;sourceID=14","0")</f>
        <v>0</v>
      </c>
    </row>
    <row r="828" spans="1:7">
      <c r="A828" s="3">
        <v>18</v>
      </c>
      <c r="B828" s="3">
        <v>8</v>
      </c>
      <c r="C828" s="3">
        <v>48</v>
      </c>
      <c r="D828" s="3">
        <v>13</v>
      </c>
      <c r="E828" s="3">
        <v>-490.571</v>
      </c>
      <c r="F828" s="4" t="str">
        <f>HYPERLINK("http://141.218.60.56/~jnz1568/getInfo.php?workbook=18_08.xlsx&amp;sheet=A0&amp;row=828&amp;col=6&amp;number=84620000&amp;sourceID=14","84620000")</f>
        <v>84620000</v>
      </c>
      <c r="G828" s="4" t="str">
        <f>HYPERLINK("http://141.218.60.56/~jnz1568/getInfo.php?workbook=18_08.xlsx&amp;sheet=A0&amp;row=828&amp;col=7&amp;number=0&amp;sourceID=14","0")</f>
        <v>0</v>
      </c>
    </row>
    <row r="829" spans="1:7">
      <c r="A829" s="3">
        <v>18</v>
      </c>
      <c r="B829" s="3">
        <v>8</v>
      </c>
      <c r="C829" s="3">
        <v>49</v>
      </c>
      <c r="D829" s="3">
        <v>13</v>
      </c>
      <c r="E829" s="3">
        <v>-466.529</v>
      </c>
      <c r="F829" s="4" t="str">
        <f>HYPERLINK("http://141.218.60.56/~jnz1568/getInfo.php?workbook=18_08.xlsx&amp;sheet=A0&amp;row=829&amp;col=6&amp;number=143000&amp;sourceID=14","143000")</f>
        <v>143000</v>
      </c>
      <c r="G829" s="4" t="str">
        <f>HYPERLINK("http://141.218.60.56/~jnz1568/getInfo.php?workbook=18_08.xlsx&amp;sheet=A0&amp;row=829&amp;col=7&amp;number=0&amp;sourceID=14","0")</f>
        <v>0</v>
      </c>
    </row>
    <row r="830" spans="1:7">
      <c r="A830" s="3">
        <v>18</v>
      </c>
      <c r="B830" s="3">
        <v>8</v>
      </c>
      <c r="C830" s="3">
        <v>50</v>
      </c>
      <c r="D830" s="3">
        <v>13</v>
      </c>
      <c r="E830" s="3">
        <v>-460.299</v>
      </c>
      <c r="F830" s="4" t="str">
        <f>HYPERLINK("http://141.218.60.56/~jnz1568/getInfo.php?workbook=18_08.xlsx&amp;sheet=A0&amp;row=830&amp;col=6&amp;number=156500000&amp;sourceID=14","156500000")</f>
        <v>156500000</v>
      </c>
      <c r="G830" s="4" t="str">
        <f>HYPERLINK("http://141.218.60.56/~jnz1568/getInfo.php?workbook=18_08.xlsx&amp;sheet=A0&amp;row=830&amp;col=7&amp;number=0&amp;sourceID=14","0")</f>
        <v>0</v>
      </c>
    </row>
    <row r="831" spans="1:7">
      <c r="A831" s="3">
        <v>18</v>
      </c>
      <c r="B831" s="3">
        <v>8</v>
      </c>
      <c r="C831" s="3">
        <v>51</v>
      </c>
      <c r="D831" s="3">
        <v>13</v>
      </c>
      <c r="E831" s="3">
        <v>418.265</v>
      </c>
      <c r="F831" s="4" t="str">
        <f>HYPERLINK("http://141.218.60.56/~jnz1568/getInfo.php?workbook=18_08.xlsx&amp;sheet=A0&amp;row=831&amp;col=6&amp;number=647.4&amp;sourceID=14","647.4")</f>
        <v>647.4</v>
      </c>
      <c r="G831" s="4" t="str">
        <f>HYPERLINK("http://141.218.60.56/~jnz1568/getInfo.php?workbook=18_08.xlsx&amp;sheet=A0&amp;row=831&amp;col=7&amp;number=0&amp;sourceID=14","0")</f>
        <v>0</v>
      </c>
    </row>
    <row r="832" spans="1:7">
      <c r="A832" s="3">
        <v>18</v>
      </c>
      <c r="B832" s="3">
        <v>8</v>
      </c>
      <c r="C832" s="3">
        <v>52</v>
      </c>
      <c r="D832" s="3">
        <v>13</v>
      </c>
      <c r="E832" s="3">
        <v>420.362</v>
      </c>
      <c r="F832" s="4" t="str">
        <f>HYPERLINK("http://141.218.60.56/~jnz1568/getInfo.php?workbook=18_08.xlsx&amp;sheet=A0&amp;row=832&amp;col=6&amp;number=330.7&amp;sourceID=14","330.7")</f>
        <v>330.7</v>
      </c>
      <c r="G832" s="4" t="str">
        <f>HYPERLINK("http://141.218.60.56/~jnz1568/getInfo.php?workbook=18_08.xlsx&amp;sheet=A0&amp;row=832&amp;col=7&amp;number=0&amp;sourceID=14","0")</f>
        <v>0</v>
      </c>
    </row>
    <row r="833" spans="1:7">
      <c r="A833" s="3">
        <v>18</v>
      </c>
      <c r="B833" s="3">
        <v>8</v>
      </c>
      <c r="C833" s="3">
        <v>53</v>
      </c>
      <c r="D833" s="3">
        <v>13</v>
      </c>
      <c r="E833" s="3">
        <v>-457.407</v>
      </c>
      <c r="F833" s="4" t="str">
        <f>HYPERLINK("http://141.218.60.56/~jnz1568/getInfo.php?workbook=18_08.xlsx&amp;sheet=A0&amp;row=833&amp;col=6&amp;number=287800000&amp;sourceID=14","287800000")</f>
        <v>287800000</v>
      </c>
      <c r="G833" s="4" t="str">
        <f>HYPERLINK("http://141.218.60.56/~jnz1568/getInfo.php?workbook=18_08.xlsx&amp;sheet=A0&amp;row=833&amp;col=7&amp;number=0&amp;sourceID=14","0")</f>
        <v>0</v>
      </c>
    </row>
    <row r="834" spans="1:7">
      <c r="A834" s="3">
        <v>18</v>
      </c>
      <c r="B834" s="3">
        <v>8</v>
      </c>
      <c r="C834" s="3">
        <v>54</v>
      </c>
      <c r="D834" s="3">
        <v>13</v>
      </c>
      <c r="E834" s="3">
        <v>418.265</v>
      </c>
      <c r="F834" s="4" t="str">
        <f>HYPERLINK("http://141.218.60.56/~jnz1568/getInfo.php?workbook=18_08.xlsx&amp;sheet=A0&amp;row=834&amp;col=6&amp;number=107.1&amp;sourceID=14","107.1")</f>
        <v>107.1</v>
      </c>
      <c r="G834" s="4" t="str">
        <f>HYPERLINK("http://141.218.60.56/~jnz1568/getInfo.php?workbook=18_08.xlsx&amp;sheet=A0&amp;row=834&amp;col=7&amp;number=0&amp;sourceID=14","0")</f>
        <v>0</v>
      </c>
    </row>
    <row r="835" spans="1:7">
      <c r="A835" s="3">
        <v>18</v>
      </c>
      <c r="B835" s="3">
        <v>8</v>
      </c>
      <c r="C835" s="3">
        <v>55</v>
      </c>
      <c r="D835" s="3">
        <v>13</v>
      </c>
      <c r="E835" s="3">
        <v>-402.808</v>
      </c>
      <c r="F835" s="4" t="str">
        <f>HYPERLINK("http://141.218.60.56/~jnz1568/getInfo.php?workbook=18_08.xlsx&amp;sheet=A0&amp;row=835&amp;col=6&amp;number=25180000&amp;sourceID=14","25180000")</f>
        <v>25180000</v>
      </c>
      <c r="G835" s="4" t="str">
        <f>HYPERLINK("http://141.218.60.56/~jnz1568/getInfo.php?workbook=18_08.xlsx&amp;sheet=A0&amp;row=835&amp;col=7&amp;number=0&amp;sourceID=14","0")</f>
        <v>0</v>
      </c>
    </row>
    <row r="836" spans="1:7">
      <c r="A836" s="3">
        <v>18</v>
      </c>
      <c r="B836" s="3">
        <v>8</v>
      </c>
      <c r="C836" s="3">
        <v>56</v>
      </c>
      <c r="D836" s="3">
        <v>13</v>
      </c>
      <c r="E836" s="3">
        <v>332.353</v>
      </c>
      <c r="F836" s="4" t="str">
        <f>HYPERLINK("http://141.218.60.56/~jnz1568/getInfo.php?workbook=18_08.xlsx&amp;sheet=A0&amp;row=836&amp;col=6&amp;number=23940&amp;sourceID=14","23940")</f>
        <v>23940</v>
      </c>
      <c r="G836" s="4" t="str">
        <f>HYPERLINK("http://141.218.60.56/~jnz1568/getInfo.php?workbook=18_08.xlsx&amp;sheet=A0&amp;row=836&amp;col=7&amp;number=0&amp;sourceID=14","0")</f>
        <v>0</v>
      </c>
    </row>
    <row r="837" spans="1:7">
      <c r="A837" s="3">
        <v>18</v>
      </c>
      <c r="B837" s="3">
        <v>8</v>
      </c>
      <c r="C837" s="3">
        <v>57</v>
      </c>
      <c r="D837" s="3">
        <v>13</v>
      </c>
      <c r="E837" s="3">
        <v>-333.612</v>
      </c>
      <c r="F837" s="4" t="str">
        <f>HYPERLINK("http://141.218.60.56/~jnz1568/getInfo.php?workbook=18_08.xlsx&amp;sheet=A0&amp;row=837&amp;col=6&amp;number=1751&amp;sourceID=14","1751")</f>
        <v>1751</v>
      </c>
      <c r="G837" s="4" t="str">
        <f>HYPERLINK("http://141.218.60.56/~jnz1568/getInfo.php?workbook=18_08.xlsx&amp;sheet=A0&amp;row=837&amp;col=7&amp;number=0&amp;sourceID=14","0")</f>
        <v>0</v>
      </c>
    </row>
    <row r="838" spans="1:7">
      <c r="A838" s="3">
        <v>18</v>
      </c>
      <c r="B838" s="3">
        <v>8</v>
      </c>
      <c r="C838" s="3">
        <v>58</v>
      </c>
      <c r="D838" s="3">
        <v>13</v>
      </c>
      <c r="E838" s="3">
        <v>-330.606</v>
      </c>
      <c r="F838" s="4" t="str">
        <f>HYPERLINK("http://141.218.60.56/~jnz1568/getInfo.php?workbook=18_08.xlsx&amp;sheet=A0&amp;row=838&amp;col=6&amp;number=0.0006557&amp;sourceID=14","0.0006557")</f>
        <v>0.0006557</v>
      </c>
      <c r="G838" s="4" t="str">
        <f>HYPERLINK("http://141.218.60.56/~jnz1568/getInfo.php?workbook=18_08.xlsx&amp;sheet=A0&amp;row=838&amp;col=7&amp;number=0&amp;sourceID=14","0")</f>
        <v>0</v>
      </c>
    </row>
    <row r="839" spans="1:7">
      <c r="A839" s="3">
        <v>18</v>
      </c>
      <c r="B839" s="3">
        <v>8</v>
      </c>
      <c r="C839" s="3">
        <v>60</v>
      </c>
      <c r="D839" s="3">
        <v>13</v>
      </c>
      <c r="E839" s="3">
        <v>-321.696</v>
      </c>
      <c r="F839" s="4" t="str">
        <f>HYPERLINK("http://141.218.60.56/~jnz1568/getInfo.php?workbook=18_08.xlsx&amp;sheet=A0&amp;row=839&amp;col=6&amp;number=56050&amp;sourceID=14","56050")</f>
        <v>56050</v>
      </c>
      <c r="G839" s="4" t="str">
        <f>HYPERLINK("http://141.218.60.56/~jnz1568/getInfo.php?workbook=18_08.xlsx&amp;sheet=A0&amp;row=839&amp;col=7&amp;number=0&amp;sourceID=14","0")</f>
        <v>0</v>
      </c>
    </row>
    <row r="840" spans="1:7">
      <c r="A840" s="3">
        <v>18</v>
      </c>
      <c r="B840" s="3">
        <v>8</v>
      </c>
      <c r="C840" s="3">
        <v>64</v>
      </c>
      <c r="D840" s="3">
        <v>13</v>
      </c>
      <c r="E840" s="3">
        <v>308.103</v>
      </c>
      <c r="F840" s="4" t="str">
        <f>HYPERLINK("http://141.218.60.56/~jnz1568/getInfo.php?workbook=18_08.xlsx&amp;sheet=A0&amp;row=840&amp;col=6&amp;number=9249&amp;sourceID=14","9249")</f>
        <v>9249</v>
      </c>
      <c r="G840" s="4" t="str">
        <f>HYPERLINK("http://141.218.60.56/~jnz1568/getInfo.php?workbook=18_08.xlsx&amp;sheet=A0&amp;row=840&amp;col=7&amp;number=0&amp;sourceID=14","0")</f>
        <v>0</v>
      </c>
    </row>
    <row r="841" spans="1:7">
      <c r="A841" s="3">
        <v>18</v>
      </c>
      <c r="B841" s="3">
        <v>8</v>
      </c>
      <c r="C841" s="3">
        <v>65</v>
      </c>
      <c r="D841" s="3">
        <v>13</v>
      </c>
      <c r="E841" s="3">
        <v>-334.121</v>
      </c>
      <c r="F841" s="4" t="str">
        <f>HYPERLINK("http://141.218.60.56/~jnz1568/getInfo.php?workbook=18_08.xlsx&amp;sheet=A0&amp;row=841&amp;col=6&amp;number=83260000&amp;sourceID=14","83260000")</f>
        <v>83260000</v>
      </c>
      <c r="G841" s="4" t="str">
        <f>HYPERLINK("http://141.218.60.56/~jnz1568/getInfo.php?workbook=18_08.xlsx&amp;sheet=A0&amp;row=841&amp;col=7&amp;number=0&amp;sourceID=14","0")</f>
        <v>0</v>
      </c>
    </row>
    <row r="842" spans="1:7">
      <c r="A842" s="3">
        <v>18</v>
      </c>
      <c r="B842" s="3">
        <v>8</v>
      </c>
      <c r="C842" s="3">
        <v>66</v>
      </c>
      <c r="D842" s="3">
        <v>13</v>
      </c>
      <c r="E842" s="3">
        <v>308.458</v>
      </c>
      <c r="F842" s="4" t="str">
        <f>HYPERLINK("http://141.218.60.56/~jnz1568/getInfo.php?workbook=18_08.xlsx&amp;sheet=A0&amp;row=842&amp;col=6&amp;number=29000&amp;sourceID=14","29000")</f>
        <v>29000</v>
      </c>
      <c r="G842" s="4" t="str">
        <f>HYPERLINK("http://141.218.60.56/~jnz1568/getInfo.php?workbook=18_08.xlsx&amp;sheet=A0&amp;row=842&amp;col=7&amp;number=0&amp;sourceID=14","0")</f>
        <v>0</v>
      </c>
    </row>
    <row r="843" spans="1:7">
      <c r="A843" s="3">
        <v>18</v>
      </c>
      <c r="B843" s="3">
        <v>8</v>
      </c>
      <c r="C843" s="3">
        <v>67</v>
      </c>
      <c r="D843" s="3">
        <v>13</v>
      </c>
      <c r="E843" s="3">
        <v>316.96</v>
      </c>
      <c r="F843" s="4" t="str">
        <f>HYPERLINK("http://141.218.60.56/~jnz1568/getInfo.php?workbook=18_08.xlsx&amp;sheet=A0&amp;row=843&amp;col=6&amp;number=15280&amp;sourceID=14","15280")</f>
        <v>15280</v>
      </c>
      <c r="G843" s="4" t="str">
        <f>HYPERLINK("http://141.218.60.56/~jnz1568/getInfo.php?workbook=18_08.xlsx&amp;sheet=A0&amp;row=843&amp;col=7&amp;number=0&amp;sourceID=14","0")</f>
        <v>0</v>
      </c>
    </row>
    <row r="844" spans="1:7">
      <c r="A844" s="3">
        <v>18</v>
      </c>
      <c r="B844" s="3">
        <v>8</v>
      </c>
      <c r="C844" s="3">
        <v>68</v>
      </c>
      <c r="D844" s="3">
        <v>13</v>
      </c>
      <c r="E844" s="3">
        <v>306.964</v>
      </c>
      <c r="F844" s="4" t="str">
        <f>HYPERLINK("http://141.218.60.56/~jnz1568/getInfo.php?workbook=18_08.xlsx&amp;sheet=A0&amp;row=844&amp;col=6&amp;number=834.7&amp;sourceID=14","834.7")</f>
        <v>834.7</v>
      </c>
      <c r="G844" s="4" t="str">
        <f>HYPERLINK("http://141.218.60.56/~jnz1568/getInfo.php?workbook=18_08.xlsx&amp;sheet=A0&amp;row=844&amp;col=7&amp;number=0&amp;sourceID=14","0")</f>
        <v>0</v>
      </c>
    </row>
    <row r="845" spans="1:7">
      <c r="A845" s="3">
        <v>18</v>
      </c>
      <c r="B845" s="3">
        <v>8</v>
      </c>
      <c r="C845" s="3">
        <v>69</v>
      </c>
      <c r="D845" s="3">
        <v>13</v>
      </c>
      <c r="E845" s="3">
        <v>298.7</v>
      </c>
      <c r="F845" s="4" t="str">
        <f>HYPERLINK("http://141.218.60.56/~jnz1568/getInfo.php?workbook=18_08.xlsx&amp;sheet=A0&amp;row=845&amp;col=6&amp;number=1285&amp;sourceID=14","1285")</f>
        <v>1285</v>
      </c>
      <c r="G845" s="4" t="str">
        <f>HYPERLINK("http://141.218.60.56/~jnz1568/getInfo.php?workbook=18_08.xlsx&amp;sheet=A0&amp;row=845&amp;col=7&amp;number=0&amp;sourceID=14","0")</f>
        <v>0</v>
      </c>
    </row>
    <row r="846" spans="1:7">
      <c r="A846" s="3">
        <v>18</v>
      </c>
      <c r="B846" s="3">
        <v>8</v>
      </c>
      <c r="C846" s="3">
        <v>70</v>
      </c>
      <c r="D846" s="3">
        <v>13</v>
      </c>
      <c r="E846" s="3">
        <v>-292.876</v>
      </c>
      <c r="F846" s="4" t="str">
        <f>HYPERLINK("http://141.218.60.56/~jnz1568/getInfo.php?workbook=18_08.xlsx&amp;sheet=A0&amp;row=846&amp;col=6&amp;number=3.247&amp;sourceID=14","3.247")</f>
        <v>3.247</v>
      </c>
      <c r="G846" s="4" t="str">
        <f>HYPERLINK("http://141.218.60.56/~jnz1568/getInfo.php?workbook=18_08.xlsx&amp;sheet=A0&amp;row=846&amp;col=7&amp;number=0&amp;sourceID=14","0")</f>
        <v>0</v>
      </c>
    </row>
    <row r="847" spans="1:7">
      <c r="A847" s="3">
        <v>18</v>
      </c>
      <c r="B847" s="3">
        <v>8</v>
      </c>
      <c r="C847" s="3">
        <v>71</v>
      </c>
      <c r="D847" s="3">
        <v>13</v>
      </c>
      <c r="E847" s="3">
        <v>288.856</v>
      </c>
      <c r="F847" s="4" t="str">
        <f>HYPERLINK("http://141.218.60.56/~jnz1568/getInfo.php?workbook=18_08.xlsx&amp;sheet=A0&amp;row=847&amp;col=6&amp;number=43060&amp;sourceID=14","43060")</f>
        <v>43060</v>
      </c>
      <c r="G847" s="4" t="str">
        <f>HYPERLINK("http://141.218.60.56/~jnz1568/getInfo.php?workbook=18_08.xlsx&amp;sheet=A0&amp;row=847&amp;col=7&amp;number=0&amp;sourceID=14","0")</f>
        <v>0</v>
      </c>
    </row>
    <row r="848" spans="1:7">
      <c r="A848" s="3">
        <v>18</v>
      </c>
      <c r="B848" s="3">
        <v>8</v>
      </c>
      <c r="C848" s="3">
        <v>72</v>
      </c>
      <c r="D848" s="3">
        <v>13</v>
      </c>
      <c r="E848" s="3">
        <v>298.7</v>
      </c>
      <c r="F848" s="4" t="str">
        <f>HYPERLINK("http://141.218.60.56/~jnz1568/getInfo.php?workbook=18_08.xlsx&amp;sheet=A0&amp;row=848&amp;col=6&amp;number=1480&amp;sourceID=14","1480")</f>
        <v>1480</v>
      </c>
      <c r="G848" s="4" t="str">
        <f>HYPERLINK("http://141.218.60.56/~jnz1568/getInfo.php?workbook=18_08.xlsx&amp;sheet=A0&amp;row=848&amp;col=7&amp;number=0&amp;sourceID=14","0")</f>
        <v>0</v>
      </c>
    </row>
    <row r="849" spans="1:7">
      <c r="A849" s="3">
        <v>18</v>
      </c>
      <c r="B849" s="3">
        <v>8</v>
      </c>
      <c r="C849" s="3">
        <v>73</v>
      </c>
      <c r="D849" s="3">
        <v>13</v>
      </c>
      <c r="E849" s="3">
        <v>288.856</v>
      </c>
      <c r="F849" s="4" t="str">
        <f>HYPERLINK("http://141.218.60.56/~jnz1568/getInfo.php?workbook=18_08.xlsx&amp;sheet=A0&amp;row=849&amp;col=6&amp;number=19990&amp;sourceID=14","19990")</f>
        <v>19990</v>
      </c>
      <c r="G849" s="4" t="str">
        <f>HYPERLINK("http://141.218.60.56/~jnz1568/getInfo.php?workbook=18_08.xlsx&amp;sheet=A0&amp;row=849&amp;col=7&amp;number=0&amp;sourceID=14","0")</f>
        <v>0</v>
      </c>
    </row>
    <row r="850" spans="1:7">
      <c r="A850" s="3">
        <v>18</v>
      </c>
      <c r="B850" s="3">
        <v>8</v>
      </c>
      <c r="C850" s="3">
        <v>74</v>
      </c>
      <c r="D850" s="3">
        <v>13</v>
      </c>
      <c r="E850" s="3">
        <v>279.124</v>
      </c>
      <c r="F850" s="4" t="str">
        <f>HYPERLINK("http://141.218.60.56/~jnz1568/getInfo.php?workbook=18_08.xlsx&amp;sheet=A0&amp;row=850&amp;col=6&amp;number=378.5&amp;sourceID=14","378.5")</f>
        <v>378.5</v>
      </c>
      <c r="G850" s="4" t="str">
        <f>HYPERLINK("http://141.218.60.56/~jnz1568/getInfo.php?workbook=18_08.xlsx&amp;sheet=A0&amp;row=850&amp;col=7&amp;number=0&amp;sourceID=14","0")</f>
        <v>0</v>
      </c>
    </row>
    <row r="851" spans="1:7">
      <c r="A851" s="3">
        <v>18</v>
      </c>
      <c r="B851" s="3">
        <v>8</v>
      </c>
      <c r="C851" s="3">
        <v>75</v>
      </c>
      <c r="D851" s="3">
        <v>13</v>
      </c>
      <c r="E851" s="3">
        <v>-274.329</v>
      </c>
      <c r="F851" s="4" t="str">
        <f>HYPERLINK("http://141.218.60.56/~jnz1568/getInfo.php?workbook=18_08.xlsx&amp;sheet=A0&amp;row=851&amp;col=6&amp;number=3663&amp;sourceID=14","3663")</f>
        <v>3663</v>
      </c>
      <c r="G851" s="4" t="str">
        <f>HYPERLINK("http://141.218.60.56/~jnz1568/getInfo.php?workbook=18_08.xlsx&amp;sheet=A0&amp;row=851&amp;col=7&amp;number=0&amp;sourceID=14","0")</f>
        <v>0</v>
      </c>
    </row>
    <row r="852" spans="1:7">
      <c r="A852" s="3">
        <v>18</v>
      </c>
      <c r="B852" s="3">
        <v>8</v>
      </c>
      <c r="C852" s="3">
        <v>77</v>
      </c>
      <c r="D852" s="3">
        <v>13</v>
      </c>
      <c r="E852" s="3">
        <v>279.098</v>
      </c>
      <c r="F852" s="4" t="str">
        <f>HYPERLINK("http://141.218.60.56/~jnz1568/getInfo.php?workbook=18_08.xlsx&amp;sheet=A0&amp;row=852&amp;col=6&amp;number=1072&amp;sourceID=14","1072")</f>
        <v>1072</v>
      </c>
      <c r="G852" s="4" t="str">
        <f>HYPERLINK("http://141.218.60.56/~jnz1568/getInfo.php?workbook=18_08.xlsx&amp;sheet=A0&amp;row=852&amp;col=7&amp;number=0&amp;sourceID=14","0")</f>
        <v>0</v>
      </c>
    </row>
    <row r="853" spans="1:7">
      <c r="A853" s="3">
        <v>18</v>
      </c>
      <c r="B853" s="3">
        <v>8</v>
      </c>
      <c r="C853" s="3">
        <v>78</v>
      </c>
      <c r="D853" s="3">
        <v>13</v>
      </c>
      <c r="E853" s="3">
        <v>-273.711</v>
      </c>
      <c r="F853" s="4" t="str">
        <f>HYPERLINK("http://141.218.60.56/~jnz1568/getInfo.php?workbook=18_08.xlsx&amp;sheet=A0&amp;row=853&amp;col=6&amp;number=0.05743&amp;sourceID=14","0.05743")</f>
        <v>0.05743</v>
      </c>
      <c r="G853" s="4" t="str">
        <f>HYPERLINK("http://141.218.60.56/~jnz1568/getInfo.php?workbook=18_08.xlsx&amp;sheet=A0&amp;row=853&amp;col=7&amp;number=0&amp;sourceID=14","0")</f>
        <v>0</v>
      </c>
    </row>
    <row r="854" spans="1:7">
      <c r="A854" s="3">
        <v>18</v>
      </c>
      <c r="B854" s="3">
        <v>8</v>
      </c>
      <c r="C854" s="3">
        <v>79</v>
      </c>
      <c r="D854" s="3">
        <v>13</v>
      </c>
      <c r="E854" s="3">
        <v>-271.492</v>
      </c>
      <c r="F854" s="4" t="str">
        <f>HYPERLINK("http://141.218.60.56/~jnz1568/getInfo.php?workbook=18_08.xlsx&amp;sheet=A0&amp;row=854&amp;col=6&amp;number=860.7&amp;sourceID=14","860.7")</f>
        <v>860.7</v>
      </c>
      <c r="G854" s="4" t="str">
        <f>HYPERLINK("http://141.218.60.56/~jnz1568/getInfo.php?workbook=18_08.xlsx&amp;sheet=A0&amp;row=854&amp;col=7&amp;number=0&amp;sourceID=14","0")</f>
        <v>0</v>
      </c>
    </row>
    <row r="855" spans="1:7">
      <c r="A855" s="3">
        <v>18</v>
      </c>
      <c r="B855" s="3">
        <v>8</v>
      </c>
      <c r="C855" s="3">
        <v>80</v>
      </c>
      <c r="D855" s="3">
        <v>13</v>
      </c>
      <c r="E855" s="3">
        <v>-270.071</v>
      </c>
      <c r="F855" s="4" t="str">
        <f>HYPERLINK("http://141.218.60.56/~jnz1568/getInfo.php?workbook=18_08.xlsx&amp;sheet=A0&amp;row=855&amp;col=6&amp;number=1218&amp;sourceID=14","1218")</f>
        <v>1218</v>
      </c>
      <c r="G855" s="4" t="str">
        <f>HYPERLINK("http://141.218.60.56/~jnz1568/getInfo.php?workbook=18_08.xlsx&amp;sheet=A0&amp;row=855&amp;col=7&amp;number=0&amp;sourceID=14","0")</f>
        <v>0</v>
      </c>
    </row>
    <row r="856" spans="1:7">
      <c r="A856" s="3">
        <v>18</v>
      </c>
      <c r="B856" s="3">
        <v>8</v>
      </c>
      <c r="C856" s="3">
        <v>81</v>
      </c>
      <c r="D856" s="3">
        <v>13</v>
      </c>
      <c r="E856" s="3">
        <v>264.412</v>
      </c>
      <c r="F856" s="4" t="str">
        <f>HYPERLINK("http://141.218.60.56/~jnz1568/getInfo.php?workbook=18_08.xlsx&amp;sheet=A0&amp;row=856&amp;col=6&amp;number=1178&amp;sourceID=14","1178")</f>
        <v>1178</v>
      </c>
      <c r="G856" s="4" t="str">
        <f>HYPERLINK("http://141.218.60.56/~jnz1568/getInfo.php?workbook=18_08.xlsx&amp;sheet=A0&amp;row=856&amp;col=7&amp;number=0&amp;sourceID=14","0")</f>
        <v>0</v>
      </c>
    </row>
    <row r="857" spans="1:7">
      <c r="A857" s="3">
        <v>18</v>
      </c>
      <c r="B857" s="3">
        <v>8</v>
      </c>
      <c r="C857" s="3">
        <v>82</v>
      </c>
      <c r="D857" s="3">
        <v>13</v>
      </c>
      <c r="E857" s="3">
        <v>261.728</v>
      </c>
      <c r="F857" s="4" t="str">
        <f>HYPERLINK("http://141.218.60.56/~jnz1568/getInfo.php?workbook=18_08.xlsx&amp;sheet=A0&amp;row=857&amp;col=6&amp;number=0.7825&amp;sourceID=14","0.7825")</f>
        <v>0.7825</v>
      </c>
      <c r="G857" s="4" t="str">
        <f>HYPERLINK("http://141.218.60.56/~jnz1568/getInfo.php?workbook=18_08.xlsx&amp;sheet=A0&amp;row=857&amp;col=7&amp;number=0&amp;sourceID=14","0")</f>
        <v>0</v>
      </c>
    </row>
    <row r="858" spans="1:7">
      <c r="A858" s="3">
        <v>18</v>
      </c>
      <c r="B858" s="3">
        <v>8</v>
      </c>
      <c r="C858" s="3">
        <v>83</v>
      </c>
      <c r="D858" s="3">
        <v>13</v>
      </c>
      <c r="E858" s="3">
        <v>255.189</v>
      </c>
      <c r="F858" s="4" t="str">
        <f>HYPERLINK("http://141.218.60.56/~jnz1568/getInfo.php?workbook=18_08.xlsx&amp;sheet=A0&amp;row=858&amp;col=6&amp;number=136.5&amp;sourceID=14","136.5")</f>
        <v>136.5</v>
      </c>
      <c r="G858" s="4" t="str">
        <f>HYPERLINK("http://141.218.60.56/~jnz1568/getInfo.php?workbook=18_08.xlsx&amp;sheet=A0&amp;row=858&amp;col=7&amp;number=0&amp;sourceID=14","0")</f>
        <v>0</v>
      </c>
    </row>
    <row r="859" spans="1:7">
      <c r="A859" s="3">
        <v>18</v>
      </c>
      <c r="B859" s="3">
        <v>8</v>
      </c>
      <c r="C859" s="3">
        <v>84</v>
      </c>
      <c r="D859" s="3">
        <v>13</v>
      </c>
      <c r="E859" s="3">
        <v>261.529</v>
      </c>
      <c r="F859" s="4" t="str">
        <f>HYPERLINK("http://141.218.60.56/~jnz1568/getInfo.php?workbook=18_08.xlsx&amp;sheet=A0&amp;row=859&amp;col=6&amp;number=354.7&amp;sourceID=14","354.7")</f>
        <v>354.7</v>
      </c>
      <c r="G859" s="4" t="str">
        <f>HYPERLINK("http://141.218.60.56/~jnz1568/getInfo.php?workbook=18_08.xlsx&amp;sheet=A0&amp;row=859&amp;col=7&amp;number=0&amp;sourceID=14","0")</f>
        <v>0</v>
      </c>
    </row>
    <row r="860" spans="1:7">
      <c r="A860" s="3">
        <v>18</v>
      </c>
      <c r="B860" s="3">
        <v>8</v>
      </c>
      <c r="C860" s="3">
        <v>85</v>
      </c>
      <c r="D860" s="3">
        <v>13</v>
      </c>
      <c r="E860" s="3">
        <v>251.511</v>
      </c>
      <c r="F860" s="4" t="str">
        <f>HYPERLINK("http://141.218.60.56/~jnz1568/getInfo.php?workbook=18_08.xlsx&amp;sheet=A0&amp;row=860&amp;col=6&amp;number=300.4&amp;sourceID=14","300.4")</f>
        <v>300.4</v>
      </c>
      <c r="G860" s="4" t="str">
        <f>HYPERLINK("http://141.218.60.56/~jnz1568/getInfo.php?workbook=18_08.xlsx&amp;sheet=A0&amp;row=860&amp;col=7&amp;number=0&amp;sourceID=14","0")</f>
        <v>0</v>
      </c>
    </row>
    <row r="861" spans="1:7">
      <c r="A861" s="3">
        <v>18</v>
      </c>
      <c r="B861" s="3">
        <v>8</v>
      </c>
      <c r="C861" s="3">
        <v>86</v>
      </c>
      <c r="D861" s="3">
        <v>13</v>
      </c>
      <c r="E861" s="3">
        <v>233.483</v>
      </c>
      <c r="F861" s="4" t="str">
        <f>HYPERLINK("http://141.218.60.56/~jnz1568/getInfo.php?workbook=18_08.xlsx&amp;sheet=A0&amp;row=861&amp;col=6&amp;number=549.5&amp;sourceID=14","549.5")</f>
        <v>549.5</v>
      </c>
      <c r="G861" s="4" t="str">
        <f>HYPERLINK("http://141.218.60.56/~jnz1568/getInfo.php?workbook=18_08.xlsx&amp;sheet=A0&amp;row=861&amp;col=7&amp;number=0&amp;sourceID=14","0")</f>
        <v>0</v>
      </c>
    </row>
    <row r="862" spans="1:7">
      <c r="A862" s="3">
        <v>18</v>
      </c>
      <c r="B862" s="3">
        <v>8</v>
      </c>
      <c r="C862" s="3">
        <v>16</v>
      </c>
      <c r="D862" s="3">
        <v>14</v>
      </c>
      <c r="E862" s="3">
        <v>6360.918</v>
      </c>
      <c r="F862" s="4" t="str">
        <f>HYPERLINK("http://141.218.60.56/~jnz1568/getInfo.php?workbook=18_08.xlsx&amp;sheet=A0&amp;row=862&amp;col=6&amp;number=0.0003128&amp;sourceID=14","0.0003128")</f>
        <v>0.0003128</v>
      </c>
      <c r="G862" s="4" t="str">
        <f>HYPERLINK("http://141.218.60.56/~jnz1568/getInfo.php?workbook=18_08.xlsx&amp;sheet=A0&amp;row=862&amp;col=7&amp;number=0&amp;sourceID=14","0")</f>
        <v>0</v>
      </c>
    </row>
    <row r="863" spans="1:7">
      <c r="A863" s="3">
        <v>18</v>
      </c>
      <c r="B863" s="3">
        <v>8</v>
      </c>
      <c r="C863" s="3">
        <v>17</v>
      </c>
      <c r="D863" s="3">
        <v>14</v>
      </c>
      <c r="E863" s="3">
        <v>3258.178</v>
      </c>
      <c r="F863" s="4" t="str">
        <f>HYPERLINK("http://141.218.60.56/~jnz1568/getInfo.php?workbook=18_08.xlsx&amp;sheet=A0&amp;row=863&amp;col=6&amp;number=2928&amp;sourceID=14","2928")</f>
        <v>2928</v>
      </c>
      <c r="G863" s="4" t="str">
        <f>HYPERLINK("http://141.218.60.56/~jnz1568/getInfo.php?workbook=18_08.xlsx&amp;sheet=A0&amp;row=863&amp;col=7&amp;number=0&amp;sourceID=14","0")</f>
        <v>0</v>
      </c>
    </row>
    <row r="864" spans="1:7">
      <c r="A864" s="3">
        <v>18</v>
      </c>
      <c r="B864" s="3">
        <v>8</v>
      </c>
      <c r="C864" s="3">
        <v>18</v>
      </c>
      <c r="D864" s="3">
        <v>14</v>
      </c>
      <c r="E864" s="3">
        <v>3143.764</v>
      </c>
      <c r="F864" s="4" t="str">
        <f>HYPERLINK("http://141.218.60.56/~jnz1568/getInfo.php?workbook=18_08.xlsx&amp;sheet=A0&amp;row=864&amp;col=6&amp;number=7272&amp;sourceID=14","7272")</f>
        <v>7272</v>
      </c>
      <c r="G864" s="4" t="str">
        <f>HYPERLINK("http://141.218.60.56/~jnz1568/getInfo.php?workbook=18_08.xlsx&amp;sheet=A0&amp;row=864&amp;col=7&amp;number=0&amp;sourceID=14","0")</f>
        <v>0</v>
      </c>
    </row>
    <row r="865" spans="1:7">
      <c r="A865" s="3">
        <v>18</v>
      </c>
      <c r="B865" s="3">
        <v>8</v>
      </c>
      <c r="C865" s="3">
        <v>19</v>
      </c>
      <c r="D865" s="3">
        <v>14</v>
      </c>
      <c r="E865" s="3">
        <v>2923.549</v>
      </c>
      <c r="F865" s="4" t="str">
        <f>HYPERLINK("http://141.218.60.56/~jnz1568/getInfo.php?workbook=18_08.xlsx&amp;sheet=A0&amp;row=865&amp;col=6&amp;number=97.29&amp;sourceID=14","97.29")</f>
        <v>97.29</v>
      </c>
      <c r="G865" s="4" t="str">
        <f>HYPERLINK("http://141.218.60.56/~jnz1568/getInfo.php?workbook=18_08.xlsx&amp;sheet=A0&amp;row=865&amp;col=7&amp;number=0&amp;sourceID=14","0")</f>
        <v>0</v>
      </c>
    </row>
    <row r="866" spans="1:7">
      <c r="A866" s="3">
        <v>18</v>
      </c>
      <c r="B866" s="3">
        <v>8</v>
      </c>
      <c r="C866" s="3">
        <v>20</v>
      </c>
      <c r="D866" s="3">
        <v>14</v>
      </c>
      <c r="E866" s="3">
        <v>-1595.684</v>
      </c>
      <c r="F866" s="4" t="str">
        <f>HYPERLINK("http://141.218.60.56/~jnz1568/getInfo.php?workbook=18_08.xlsx&amp;sheet=A0&amp;row=866&amp;col=6&amp;number=6580000&amp;sourceID=14","6580000")</f>
        <v>6580000</v>
      </c>
      <c r="G866" s="4" t="str">
        <f>HYPERLINK("http://141.218.60.56/~jnz1568/getInfo.php?workbook=18_08.xlsx&amp;sheet=A0&amp;row=866&amp;col=7&amp;number=0&amp;sourceID=14","0")</f>
        <v>0</v>
      </c>
    </row>
    <row r="867" spans="1:7">
      <c r="A867" s="3">
        <v>18</v>
      </c>
      <c r="B867" s="3">
        <v>8</v>
      </c>
      <c r="C867" s="3">
        <v>21</v>
      </c>
      <c r="D867" s="3">
        <v>14</v>
      </c>
      <c r="E867" s="3">
        <v>-1564.585</v>
      </c>
      <c r="F867" s="4" t="str">
        <f>HYPERLINK("http://141.218.60.56/~jnz1568/getInfo.php?workbook=18_08.xlsx&amp;sheet=A0&amp;row=867&amp;col=6&amp;number=5098000&amp;sourceID=14","5098000")</f>
        <v>5098000</v>
      </c>
      <c r="G867" s="4" t="str">
        <f>HYPERLINK("http://141.218.60.56/~jnz1568/getInfo.php?workbook=18_08.xlsx&amp;sheet=A0&amp;row=867&amp;col=7&amp;number=0&amp;sourceID=14","0")</f>
        <v>0</v>
      </c>
    </row>
    <row r="868" spans="1:7">
      <c r="A868" s="3">
        <v>18</v>
      </c>
      <c r="B868" s="3">
        <v>8</v>
      </c>
      <c r="C868" s="3">
        <v>22</v>
      </c>
      <c r="D868" s="3">
        <v>14</v>
      </c>
      <c r="E868" s="3">
        <v>-1551.396</v>
      </c>
      <c r="F868" s="4" t="str">
        <f>HYPERLINK("http://141.218.60.56/~jnz1568/getInfo.php?workbook=18_08.xlsx&amp;sheet=A0&amp;row=868&amp;col=6&amp;number=0.0006584&amp;sourceID=14","0.0006584")</f>
        <v>0.0006584</v>
      </c>
      <c r="G868" s="4" t="str">
        <f>HYPERLINK("http://141.218.60.56/~jnz1568/getInfo.php?workbook=18_08.xlsx&amp;sheet=A0&amp;row=868&amp;col=7&amp;number=0&amp;sourceID=14","0")</f>
        <v>0</v>
      </c>
    </row>
    <row r="869" spans="1:7">
      <c r="A869" s="3">
        <v>18</v>
      </c>
      <c r="B869" s="3">
        <v>8</v>
      </c>
      <c r="C869" s="3">
        <v>23</v>
      </c>
      <c r="D869" s="3">
        <v>14</v>
      </c>
      <c r="E869" s="3">
        <v>-2026.91</v>
      </c>
      <c r="F869" s="4" t="str">
        <f>HYPERLINK("http://141.218.60.56/~jnz1568/getInfo.php?workbook=18_08.xlsx&amp;sheet=A0&amp;row=869&amp;col=6&amp;number=0.3638&amp;sourceID=14","0.3638")</f>
        <v>0.3638</v>
      </c>
      <c r="G869" s="4" t="str">
        <f>HYPERLINK("http://141.218.60.56/~jnz1568/getInfo.php?workbook=18_08.xlsx&amp;sheet=A0&amp;row=869&amp;col=7&amp;number=0&amp;sourceID=14","0")</f>
        <v>0</v>
      </c>
    </row>
    <row r="870" spans="1:7">
      <c r="A870" s="3">
        <v>18</v>
      </c>
      <c r="B870" s="3">
        <v>8</v>
      </c>
      <c r="C870" s="3">
        <v>24</v>
      </c>
      <c r="D870" s="3">
        <v>14</v>
      </c>
      <c r="E870" s="3">
        <v>-1964.081</v>
      </c>
      <c r="F870" s="4" t="str">
        <f>HYPERLINK("http://141.218.60.56/~jnz1568/getInfo.php?workbook=18_08.xlsx&amp;sheet=A0&amp;row=870&amp;col=6&amp;number=8.219&amp;sourceID=14","8.219")</f>
        <v>8.219</v>
      </c>
      <c r="G870" s="4" t="str">
        <f>HYPERLINK("http://141.218.60.56/~jnz1568/getInfo.php?workbook=18_08.xlsx&amp;sheet=A0&amp;row=870&amp;col=7&amp;number=0&amp;sourceID=14","0")</f>
        <v>0</v>
      </c>
    </row>
    <row r="871" spans="1:7">
      <c r="A871" s="3">
        <v>18</v>
      </c>
      <c r="B871" s="3">
        <v>8</v>
      </c>
      <c r="C871" s="3">
        <v>25</v>
      </c>
      <c r="D871" s="3">
        <v>14</v>
      </c>
      <c r="E871" s="3">
        <v>1773.05</v>
      </c>
      <c r="F871" s="4" t="str">
        <f>HYPERLINK("http://141.218.60.56/~jnz1568/getInfo.php?workbook=18_08.xlsx&amp;sheet=A0&amp;row=871&amp;col=6&amp;number=159.4&amp;sourceID=14","159.4")</f>
        <v>159.4</v>
      </c>
      <c r="G871" s="4" t="str">
        <f>HYPERLINK("http://141.218.60.56/~jnz1568/getInfo.php?workbook=18_08.xlsx&amp;sheet=A0&amp;row=871&amp;col=7&amp;number=0&amp;sourceID=14","0")</f>
        <v>0</v>
      </c>
    </row>
    <row r="872" spans="1:7">
      <c r="A872" s="3">
        <v>18</v>
      </c>
      <c r="B872" s="3">
        <v>8</v>
      </c>
      <c r="C872" s="3">
        <v>26</v>
      </c>
      <c r="D872" s="3">
        <v>14</v>
      </c>
      <c r="E872" s="3">
        <v>1628.903</v>
      </c>
      <c r="F872" s="4" t="str">
        <f>HYPERLINK("http://141.218.60.56/~jnz1568/getInfo.php?workbook=18_08.xlsx&amp;sheet=A0&amp;row=872&amp;col=6&amp;number=761.4&amp;sourceID=14","761.4")</f>
        <v>761.4</v>
      </c>
      <c r="G872" s="4" t="str">
        <f>HYPERLINK("http://141.218.60.56/~jnz1568/getInfo.php?workbook=18_08.xlsx&amp;sheet=A0&amp;row=872&amp;col=7&amp;number=0&amp;sourceID=14","0")</f>
        <v>0</v>
      </c>
    </row>
    <row r="873" spans="1:7">
      <c r="A873" s="3">
        <v>18</v>
      </c>
      <c r="B873" s="3">
        <v>8</v>
      </c>
      <c r="C873" s="3">
        <v>27</v>
      </c>
      <c r="D873" s="3">
        <v>14</v>
      </c>
      <c r="E873" s="3">
        <v>-765.586</v>
      </c>
      <c r="F873" s="4" t="str">
        <f>HYPERLINK("http://141.218.60.56/~jnz1568/getInfo.php?workbook=18_08.xlsx&amp;sheet=A0&amp;row=873&amp;col=6&amp;number=88690000&amp;sourceID=14","88690000")</f>
        <v>88690000</v>
      </c>
      <c r="G873" s="4" t="str">
        <f>HYPERLINK("http://141.218.60.56/~jnz1568/getInfo.php?workbook=18_08.xlsx&amp;sheet=A0&amp;row=873&amp;col=7&amp;number=0&amp;sourceID=14","0")</f>
        <v>0</v>
      </c>
    </row>
    <row r="874" spans="1:7">
      <c r="A874" s="3">
        <v>18</v>
      </c>
      <c r="B874" s="3">
        <v>8</v>
      </c>
      <c r="C874" s="3">
        <v>28</v>
      </c>
      <c r="D874" s="3">
        <v>14</v>
      </c>
      <c r="E874" s="3">
        <v>-785.578</v>
      </c>
      <c r="F874" s="4" t="str">
        <f>HYPERLINK("http://141.218.60.56/~jnz1568/getInfo.php?workbook=18_08.xlsx&amp;sheet=A0&amp;row=874&amp;col=6&amp;number=894900000&amp;sourceID=14","894900000")</f>
        <v>894900000</v>
      </c>
      <c r="G874" s="4" t="str">
        <f>HYPERLINK("http://141.218.60.56/~jnz1568/getInfo.php?workbook=18_08.xlsx&amp;sheet=A0&amp;row=874&amp;col=7&amp;number=0&amp;sourceID=14","0")</f>
        <v>0</v>
      </c>
    </row>
    <row r="875" spans="1:7">
      <c r="A875" s="3">
        <v>18</v>
      </c>
      <c r="B875" s="3">
        <v>8</v>
      </c>
      <c r="C875" s="3">
        <v>29</v>
      </c>
      <c r="D875" s="3">
        <v>14</v>
      </c>
      <c r="E875" s="3">
        <v>-761.261</v>
      </c>
      <c r="F875" s="4" t="str">
        <f>HYPERLINK("http://141.218.60.56/~jnz1568/getInfo.php?workbook=18_08.xlsx&amp;sheet=A0&amp;row=875&amp;col=6&amp;number=8697000&amp;sourceID=14","8697000")</f>
        <v>8697000</v>
      </c>
      <c r="G875" s="4" t="str">
        <f>HYPERLINK("http://141.218.60.56/~jnz1568/getInfo.php?workbook=18_08.xlsx&amp;sheet=A0&amp;row=875&amp;col=7&amp;number=0&amp;sourceID=14","0")</f>
        <v>0</v>
      </c>
    </row>
    <row r="876" spans="1:7">
      <c r="A876" s="3">
        <v>18</v>
      </c>
      <c r="B876" s="3">
        <v>8</v>
      </c>
      <c r="C876" s="3">
        <v>30</v>
      </c>
      <c r="D876" s="3">
        <v>14</v>
      </c>
      <c r="E876" s="3">
        <v>-842.172</v>
      </c>
      <c r="F876" s="4" t="str">
        <f>HYPERLINK("http://141.218.60.56/~jnz1568/getInfo.php?workbook=18_08.xlsx&amp;sheet=A0&amp;row=876&amp;col=6&amp;number=212200000&amp;sourceID=14","212200000")</f>
        <v>212200000</v>
      </c>
      <c r="G876" s="4" t="str">
        <f>HYPERLINK("http://141.218.60.56/~jnz1568/getInfo.php?workbook=18_08.xlsx&amp;sheet=A0&amp;row=876&amp;col=7&amp;number=0&amp;sourceID=14","0")</f>
        <v>0</v>
      </c>
    </row>
    <row r="877" spans="1:7">
      <c r="A877" s="3">
        <v>18</v>
      </c>
      <c r="B877" s="3">
        <v>8</v>
      </c>
      <c r="C877" s="3">
        <v>31</v>
      </c>
      <c r="D877" s="3">
        <v>14</v>
      </c>
      <c r="E877" s="3">
        <v>-727.155</v>
      </c>
      <c r="F877" s="4" t="str">
        <f>HYPERLINK("http://141.218.60.56/~jnz1568/getInfo.php?workbook=18_08.xlsx&amp;sheet=A0&amp;row=877&amp;col=6&amp;number=26780000&amp;sourceID=14","26780000")</f>
        <v>26780000</v>
      </c>
      <c r="G877" s="4" t="str">
        <f>HYPERLINK("http://141.218.60.56/~jnz1568/getInfo.php?workbook=18_08.xlsx&amp;sheet=A0&amp;row=877&amp;col=7&amp;number=0&amp;sourceID=14","0")</f>
        <v>0</v>
      </c>
    </row>
    <row r="878" spans="1:7">
      <c r="A878" s="3">
        <v>18</v>
      </c>
      <c r="B878" s="3">
        <v>8</v>
      </c>
      <c r="C878" s="3">
        <v>32</v>
      </c>
      <c r="D878" s="3">
        <v>14</v>
      </c>
      <c r="E878" s="3">
        <v>-712.103</v>
      </c>
      <c r="F878" s="4" t="str">
        <f>HYPERLINK("http://141.218.60.56/~jnz1568/getInfo.php?workbook=18_08.xlsx&amp;sheet=A0&amp;row=878&amp;col=6&amp;number=1649000000&amp;sourceID=14","1649000000")</f>
        <v>1649000000</v>
      </c>
      <c r="G878" s="4" t="str">
        <f>HYPERLINK("http://141.218.60.56/~jnz1568/getInfo.php?workbook=18_08.xlsx&amp;sheet=A0&amp;row=878&amp;col=7&amp;number=0&amp;sourceID=14","0")</f>
        <v>0</v>
      </c>
    </row>
    <row r="879" spans="1:7">
      <c r="A879" s="3">
        <v>18</v>
      </c>
      <c r="B879" s="3">
        <v>8</v>
      </c>
      <c r="C879" s="3">
        <v>33</v>
      </c>
      <c r="D879" s="3">
        <v>14</v>
      </c>
      <c r="E879" s="3">
        <v>-696.853</v>
      </c>
      <c r="F879" s="4" t="str">
        <f>HYPERLINK("http://141.218.60.56/~jnz1568/getInfo.php?workbook=18_08.xlsx&amp;sheet=A0&amp;row=879&amp;col=6&amp;number=0.08147&amp;sourceID=14","0.08147")</f>
        <v>0.08147</v>
      </c>
      <c r="G879" s="4" t="str">
        <f>HYPERLINK("http://141.218.60.56/~jnz1568/getInfo.php?workbook=18_08.xlsx&amp;sheet=A0&amp;row=879&amp;col=7&amp;number=0&amp;sourceID=14","0")</f>
        <v>0</v>
      </c>
    </row>
    <row r="880" spans="1:7">
      <c r="A880" s="3">
        <v>18</v>
      </c>
      <c r="B880" s="3">
        <v>8</v>
      </c>
      <c r="C880" s="3">
        <v>34</v>
      </c>
      <c r="D880" s="3">
        <v>14</v>
      </c>
      <c r="E880" s="3">
        <v>-681.648</v>
      </c>
      <c r="F880" s="4" t="str">
        <f>HYPERLINK("http://141.218.60.56/~jnz1568/getInfo.php?workbook=18_08.xlsx&amp;sheet=A0&amp;row=880&amp;col=6&amp;number=12020000&amp;sourceID=14","12020000")</f>
        <v>12020000</v>
      </c>
      <c r="G880" s="4" t="str">
        <f>HYPERLINK("http://141.218.60.56/~jnz1568/getInfo.php?workbook=18_08.xlsx&amp;sheet=A0&amp;row=880&amp;col=7&amp;number=0&amp;sourceID=14","0")</f>
        <v>0</v>
      </c>
    </row>
    <row r="881" spans="1:7">
      <c r="A881" s="3">
        <v>18</v>
      </c>
      <c r="B881" s="3">
        <v>8</v>
      </c>
      <c r="C881" s="3">
        <v>35</v>
      </c>
      <c r="D881" s="3">
        <v>14</v>
      </c>
      <c r="E881" s="3">
        <v>-555.567</v>
      </c>
      <c r="F881" s="4" t="str">
        <f>HYPERLINK("http://141.218.60.56/~jnz1568/getInfo.php?workbook=18_08.xlsx&amp;sheet=A0&amp;row=881&amp;col=6&amp;number=0.7615&amp;sourceID=14","0.7615")</f>
        <v>0.7615</v>
      </c>
      <c r="G881" s="4" t="str">
        <f>HYPERLINK("http://141.218.60.56/~jnz1568/getInfo.php?workbook=18_08.xlsx&amp;sheet=A0&amp;row=881&amp;col=7&amp;number=0&amp;sourceID=14","0")</f>
        <v>0</v>
      </c>
    </row>
    <row r="882" spans="1:7">
      <c r="A882" s="3">
        <v>18</v>
      </c>
      <c r="B882" s="3">
        <v>8</v>
      </c>
      <c r="C882" s="3">
        <v>36</v>
      </c>
      <c r="D882" s="3">
        <v>14</v>
      </c>
      <c r="E882" s="3">
        <v>-526.934</v>
      </c>
      <c r="F882" s="4" t="str">
        <f>HYPERLINK("http://141.218.60.56/~jnz1568/getInfo.php?workbook=18_08.xlsx&amp;sheet=A0&amp;row=882&amp;col=6&amp;number=1394000000&amp;sourceID=14","1394000000")</f>
        <v>1394000000</v>
      </c>
      <c r="G882" s="4" t="str">
        <f>HYPERLINK("http://141.218.60.56/~jnz1568/getInfo.php?workbook=18_08.xlsx&amp;sheet=A0&amp;row=882&amp;col=7&amp;number=0&amp;sourceID=14","0")</f>
        <v>0</v>
      </c>
    </row>
    <row r="883" spans="1:7">
      <c r="A883" s="3">
        <v>18</v>
      </c>
      <c r="B883" s="3">
        <v>8</v>
      </c>
      <c r="C883" s="3">
        <v>37</v>
      </c>
      <c r="D883" s="3">
        <v>14</v>
      </c>
      <c r="E883" s="3">
        <v>551.615</v>
      </c>
      <c r="F883" s="4" t="str">
        <f>HYPERLINK("http://141.218.60.56/~jnz1568/getInfo.php?workbook=18_08.xlsx&amp;sheet=A0&amp;row=883&amp;col=6&amp;number=576700000&amp;sourceID=14","576700000")</f>
        <v>576700000</v>
      </c>
      <c r="G883" s="4" t="str">
        <f>HYPERLINK("http://141.218.60.56/~jnz1568/getInfo.php?workbook=18_08.xlsx&amp;sheet=A0&amp;row=883&amp;col=7&amp;number=0&amp;sourceID=14","0")</f>
        <v>0</v>
      </c>
    </row>
    <row r="884" spans="1:7">
      <c r="A884" s="3">
        <v>18</v>
      </c>
      <c r="B884" s="3">
        <v>8</v>
      </c>
      <c r="C884" s="3">
        <v>38</v>
      </c>
      <c r="D884" s="3">
        <v>14</v>
      </c>
      <c r="E884" s="3">
        <v>-494.474</v>
      </c>
      <c r="F884" s="4" t="str">
        <f>HYPERLINK("http://141.218.60.56/~jnz1568/getInfo.php?workbook=18_08.xlsx&amp;sheet=A0&amp;row=884&amp;col=6&amp;number=0.7393&amp;sourceID=14","0.7393")</f>
        <v>0.7393</v>
      </c>
      <c r="G884" s="4" t="str">
        <f>HYPERLINK("http://141.218.60.56/~jnz1568/getInfo.php?workbook=18_08.xlsx&amp;sheet=A0&amp;row=884&amp;col=7&amp;number=0&amp;sourceID=14","0")</f>
        <v>0</v>
      </c>
    </row>
    <row r="885" spans="1:7">
      <c r="A885" s="3">
        <v>18</v>
      </c>
      <c r="B885" s="3">
        <v>8</v>
      </c>
      <c r="C885" s="3">
        <v>39</v>
      </c>
      <c r="D885" s="3">
        <v>14</v>
      </c>
      <c r="E885" s="3">
        <v>-494.245</v>
      </c>
      <c r="F885" s="4" t="str">
        <f>HYPERLINK("http://141.218.60.56/~jnz1568/getInfo.php?workbook=18_08.xlsx&amp;sheet=A0&amp;row=885&amp;col=6&amp;number=1.514&amp;sourceID=14","1.514")</f>
        <v>1.514</v>
      </c>
      <c r="G885" s="4" t="str">
        <f>HYPERLINK("http://141.218.60.56/~jnz1568/getInfo.php?workbook=18_08.xlsx&amp;sheet=A0&amp;row=885&amp;col=7&amp;number=0&amp;sourceID=14","0")</f>
        <v>0</v>
      </c>
    </row>
    <row r="886" spans="1:7">
      <c r="A886" s="3">
        <v>18</v>
      </c>
      <c r="B886" s="3">
        <v>8</v>
      </c>
      <c r="C886" s="3">
        <v>40</v>
      </c>
      <c r="D886" s="3">
        <v>14</v>
      </c>
      <c r="E886" s="3">
        <v>519.567</v>
      </c>
      <c r="F886" s="4" t="str">
        <f>HYPERLINK("http://141.218.60.56/~jnz1568/getInfo.php?workbook=18_08.xlsx&amp;sheet=A0&amp;row=886&amp;col=6&amp;number=0.4892&amp;sourceID=14","0.4892")</f>
        <v>0.4892</v>
      </c>
      <c r="G886" s="4" t="str">
        <f>HYPERLINK("http://141.218.60.56/~jnz1568/getInfo.php?workbook=18_08.xlsx&amp;sheet=A0&amp;row=886&amp;col=7&amp;number=0&amp;sourceID=14","0")</f>
        <v>0</v>
      </c>
    </row>
    <row r="887" spans="1:7">
      <c r="A887" s="3">
        <v>18</v>
      </c>
      <c r="B887" s="3">
        <v>8</v>
      </c>
      <c r="C887" s="3">
        <v>41</v>
      </c>
      <c r="D887" s="3">
        <v>14</v>
      </c>
      <c r="E887" s="3">
        <v>-493.271</v>
      </c>
      <c r="F887" s="4" t="str">
        <f>HYPERLINK("http://141.218.60.56/~jnz1568/getInfo.php?workbook=18_08.xlsx&amp;sheet=A0&amp;row=887&amp;col=6&amp;number=1.831&amp;sourceID=14","1.831")</f>
        <v>1.831</v>
      </c>
      <c r="G887" s="4" t="str">
        <f>HYPERLINK("http://141.218.60.56/~jnz1568/getInfo.php?workbook=18_08.xlsx&amp;sheet=A0&amp;row=887&amp;col=7&amp;number=0&amp;sourceID=14","0")</f>
        <v>0</v>
      </c>
    </row>
    <row r="888" spans="1:7">
      <c r="A888" s="3">
        <v>18</v>
      </c>
      <c r="B888" s="3">
        <v>8</v>
      </c>
      <c r="C888" s="3">
        <v>42</v>
      </c>
      <c r="D888" s="3">
        <v>14</v>
      </c>
      <c r="E888" s="3">
        <v>-492.319</v>
      </c>
      <c r="F888" s="4" t="str">
        <f>HYPERLINK("http://141.218.60.56/~jnz1568/getInfo.php?workbook=18_08.xlsx&amp;sheet=A0&amp;row=888&amp;col=6&amp;number=0.2355&amp;sourceID=14","0.2355")</f>
        <v>0.2355</v>
      </c>
      <c r="G888" s="4" t="str">
        <f>HYPERLINK("http://141.218.60.56/~jnz1568/getInfo.php?workbook=18_08.xlsx&amp;sheet=A0&amp;row=888&amp;col=7&amp;number=0&amp;sourceID=14","0")</f>
        <v>0</v>
      </c>
    </row>
    <row r="889" spans="1:7">
      <c r="A889" s="3">
        <v>18</v>
      </c>
      <c r="B889" s="3">
        <v>8</v>
      </c>
      <c r="C889" s="3">
        <v>43</v>
      </c>
      <c r="D889" s="3">
        <v>14</v>
      </c>
      <c r="E889" s="3">
        <v>-526.228</v>
      </c>
      <c r="F889" s="4" t="str">
        <f>HYPERLINK("http://141.218.60.56/~jnz1568/getInfo.php?workbook=18_08.xlsx&amp;sheet=A0&amp;row=889&amp;col=6&amp;number=110500&amp;sourceID=14","110500")</f>
        <v>110500</v>
      </c>
      <c r="G889" s="4" t="str">
        <f>HYPERLINK("http://141.218.60.56/~jnz1568/getInfo.php?workbook=18_08.xlsx&amp;sheet=A0&amp;row=889&amp;col=7&amp;number=0&amp;sourceID=14","0")</f>
        <v>0</v>
      </c>
    </row>
    <row r="890" spans="1:7">
      <c r="A890" s="3">
        <v>18</v>
      </c>
      <c r="B890" s="3">
        <v>8</v>
      </c>
      <c r="C890" s="3">
        <v>44</v>
      </c>
      <c r="D890" s="3">
        <v>14</v>
      </c>
      <c r="E890" s="3">
        <v>-578.288</v>
      </c>
      <c r="F890" s="4" t="str">
        <f>HYPERLINK("http://141.218.60.56/~jnz1568/getInfo.php?workbook=18_08.xlsx&amp;sheet=A0&amp;row=890&amp;col=6&amp;number=972400000&amp;sourceID=14","972400000")</f>
        <v>972400000</v>
      </c>
      <c r="G890" s="4" t="str">
        <f>HYPERLINK("http://141.218.60.56/~jnz1568/getInfo.php?workbook=18_08.xlsx&amp;sheet=A0&amp;row=890&amp;col=7&amp;number=0&amp;sourceID=14","0")</f>
        <v>0</v>
      </c>
    </row>
    <row r="891" spans="1:7">
      <c r="A891" s="3">
        <v>18</v>
      </c>
      <c r="B891" s="3">
        <v>8</v>
      </c>
      <c r="C891" s="3">
        <v>45</v>
      </c>
      <c r="D891" s="3">
        <v>14</v>
      </c>
      <c r="E891" s="3">
        <v>-531.66</v>
      </c>
      <c r="F891" s="4" t="str">
        <f>HYPERLINK("http://141.218.60.56/~jnz1568/getInfo.php?workbook=18_08.xlsx&amp;sheet=A0&amp;row=891&amp;col=6&amp;number=5671000&amp;sourceID=14","5671000")</f>
        <v>5671000</v>
      </c>
      <c r="G891" s="4" t="str">
        <f>HYPERLINK("http://141.218.60.56/~jnz1568/getInfo.php?workbook=18_08.xlsx&amp;sheet=A0&amp;row=891&amp;col=7&amp;number=0&amp;sourceID=14","0")</f>
        <v>0</v>
      </c>
    </row>
    <row r="892" spans="1:7">
      <c r="A892" s="3">
        <v>18</v>
      </c>
      <c r="B892" s="3">
        <v>8</v>
      </c>
      <c r="C892" s="3">
        <v>46</v>
      </c>
      <c r="D892" s="3">
        <v>14</v>
      </c>
      <c r="E892" s="3">
        <v>-502.678</v>
      </c>
      <c r="F892" s="4" t="str">
        <f>HYPERLINK("http://141.218.60.56/~jnz1568/getInfo.php?workbook=18_08.xlsx&amp;sheet=A0&amp;row=892&amp;col=6&amp;number=168700000&amp;sourceID=14","168700000")</f>
        <v>168700000</v>
      </c>
      <c r="G892" s="4" t="str">
        <f>HYPERLINK("http://141.218.60.56/~jnz1568/getInfo.php?workbook=18_08.xlsx&amp;sheet=A0&amp;row=892&amp;col=7&amp;number=0&amp;sourceID=14","0")</f>
        <v>0</v>
      </c>
    </row>
    <row r="893" spans="1:7">
      <c r="A893" s="3">
        <v>18</v>
      </c>
      <c r="B893" s="3">
        <v>8</v>
      </c>
      <c r="C893" s="3">
        <v>47</v>
      </c>
      <c r="D893" s="3">
        <v>14</v>
      </c>
      <c r="E893" s="3">
        <v>-516.466</v>
      </c>
      <c r="F893" s="4" t="str">
        <f>HYPERLINK("http://141.218.60.56/~jnz1568/getInfo.php?workbook=18_08.xlsx&amp;sheet=A0&amp;row=893&amp;col=6&amp;number=22210000&amp;sourceID=14","22210000")</f>
        <v>22210000</v>
      </c>
      <c r="G893" s="4" t="str">
        <f>HYPERLINK("http://141.218.60.56/~jnz1568/getInfo.php?workbook=18_08.xlsx&amp;sheet=A0&amp;row=893&amp;col=7&amp;number=0&amp;sourceID=14","0")</f>
        <v>0</v>
      </c>
    </row>
    <row r="894" spans="1:7">
      <c r="A894" s="3">
        <v>18</v>
      </c>
      <c r="B894" s="3">
        <v>8</v>
      </c>
      <c r="C894" s="3">
        <v>48</v>
      </c>
      <c r="D894" s="3">
        <v>14</v>
      </c>
      <c r="E894" s="3">
        <v>-492.193</v>
      </c>
      <c r="F894" s="4" t="str">
        <f>HYPERLINK("http://141.218.60.56/~jnz1568/getInfo.php?workbook=18_08.xlsx&amp;sheet=A0&amp;row=894&amp;col=6&amp;number=52190000&amp;sourceID=14","52190000")</f>
        <v>52190000</v>
      </c>
      <c r="G894" s="4" t="str">
        <f>HYPERLINK("http://141.218.60.56/~jnz1568/getInfo.php?workbook=18_08.xlsx&amp;sheet=A0&amp;row=894&amp;col=7&amp;number=0&amp;sourceID=14","0")</f>
        <v>0</v>
      </c>
    </row>
    <row r="895" spans="1:7">
      <c r="A895" s="3">
        <v>18</v>
      </c>
      <c r="B895" s="3">
        <v>8</v>
      </c>
      <c r="C895" s="3">
        <v>49</v>
      </c>
      <c r="D895" s="3">
        <v>14</v>
      </c>
      <c r="E895" s="3">
        <v>-467.996</v>
      </c>
      <c r="F895" s="4" t="str">
        <f>HYPERLINK("http://141.218.60.56/~jnz1568/getInfo.php?workbook=18_08.xlsx&amp;sheet=A0&amp;row=895&amp;col=6&amp;number=7682000&amp;sourceID=14","7682000")</f>
        <v>7682000</v>
      </c>
      <c r="G895" s="4" t="str">
        <f>HYPERLINK("http://141.218.60.56/~jnz1568/getInfo.php?workbook=18_08.xlsx&amp;sheet=A0&amp;row=895&amp;col=7&amp;number=0&amp;sourceID=14","0")</f>
        <v>0</v>
      </c>
    </row>
    <row r="896" spans="1:7">
      <c r="A896" s="3">
        <v>18</v>
      </c>
      <c r="B896" s="3">
        <v>8</v>
      </c>
      <c r="C896" s="3">
        <v>50</v>
      </c>
      <c r="D896" s="3">
        <v>14</v>
      </c>
      <c r="E896" s="3">
        <v>-461.727</v>
      </c>
      <c r="F896" s="4" t="str">
        <f>HYPERLINK("http://141.218.60.56/~jnz1568/getInfo.php?workbook=18_08.xlsx&amp;sheet=A0&amp;row=896&amp;col=6&amp;number=113000000&amp;sourceID=14","113000000")</f>
        <v>113000000</v>
      </c>
      <c r="G896" s="4" t="str">
        <f>HYPERLINK("http://141.218.60.56/~jnz1568/getInfo.php?workbook=18_08.xlsx&amp;sheet=A0&amp;row=896&amp;col=7&amp;number=0&amp;sourceID=14","0")</f>
        <v>0</v>
      </c>
    </row>
    <row r="897" spans="1:7">
      <c r="A897" s="3">
        <v>18</v>
      </c>
      <c r="B897" s="3">
        <v>8</v>
      </c>
      <c r="C897" s="3">
        <v>51</v>
      </c>
      <c r="D897" s="3">
        <v>14</v>
      </c>
      <c r="E897" s="3">
        <v>420.493</v>
      </c>
      <c r="F897" s="4" t="str">
        <f>HYPERLINK("http://141.218.60.56/~jnz1568/getInfo.php?workbook=18_08.xlsx&amp;sheet=A0&amp;row=897&amp;col=6&amp;number=103.1&amp;sourceID=14","103.1")</f>
        <v>103.1</v>
      </c>
      <c r="G897" s="4" t="str">
        <f>HYPERLINK("http://141.218.60.56/~jnz1568/getInfo.php?workbook=18_08.xlsx&amp;sheet=A0&amp;row=897&amp;col=7&amp;number=0&amp;sourceID=14","0")</f>
        <v>0</v>
      </c>
    </row>
    <row r="898" spans="1:7">
      <c r="A898" s="3">
        <v>18</v>
      </c>
      <c r="B898" s="3">
        <v>8</v>
      </c>
      <c r="C898" s="3">
        <v>52</v>
      </c>
      <c r="D898" s="3">
        <v>14</v>
      </c>
      <c r="E898" s="3">
        <v>422.613</v>
      </c>
      <c r="F898" s="4" t="str">
        <f>HYPERLINK("http://141.218.60.56/~jnz1568/getInfo.php?workbook=18_08.xlsx&amp;sheet=A0&amp;row=898&amp;col=6&amp;number=466&amp;sourceID=14","466")</f>
        <v>466</v>
      </c>
      <c r="G898" s="4" t="str">
        <f>HYPERLINK("http://141.218.60.56/~jnz1568/getInfo.php?workbook=18_08.xlsx&amp;sheet=A0&amp;row=898&amp;col=7&amp;number=0&amp;sourceID=14","0")</f>
        <v>0</v>
      </c>
    </row>
    <row r="899" spans="1:7">
      <c r="A899" s="3">
        <v>18</v>
      </c>
      <c r="B899" s="3">
        <v>8</v>
      </c>
      <c r="C899" s="3">
        <v>53</v>
      </c>
      <c r="D899" s="3">
        <v>14</v>
      </c>
      <c r="E899" s="3">
        <v>-458.816</v>
      </c>
      <c r="F899" s="4" t="str">
        <f>HYPERLINK("http://141.218.60.56/~jnz1568/getInfo.php?workbook=18_08.xlsx&amp;sheet=A0&amp;row=899&amp;col=6&amp;number=0.2049&amp;sourceID=14","0.2049")</f>
        <v>0.2049</v>
      </c>
      <c r="G899" s="4" t="str">
        <f>HYPERLINK("http://141.218.60.56/~jnz1568/getInfo.php?workbook=18_08.xlsx&amp;sheet=A0&amp;row=899&amp;col=7&amp;number=0&amp;sourceID=14","0")</f>
        <v>0</v>
      </c>
    </row>
    <row r="900" spans="1:7">
      <c r="A900" s="3">
        <v>18</v>
      </c>
      <c r="B900" s="3">
        <v>8</v>
      </c>
      <c r="C900" s="3">
        <v>54</v>
      </c>
      <c r="D900" s="3">
        <v>14</v>
      </c>
      <c r="E900" s="3">
        <v>420.493</v>
      </c>
      <c r="F900" s="4" t="str">
        <f>HYPERLINK("http://141.218.60.56/~jnz1568/getInfo.php?workbook=18_08.xlsx&amp;sheet=A0&amp;row=900&amp;col=6&amp;number=720.1&amp;sourceID=14","720.1")</f>
        <v>720.1</v>
      </c>
      <c r="G900" s="4" t="str">
        <f>HYPERLINK("http://141.218.60.56/~jnz1568/getInfo.php?workbook=18_08.xlsx&amp;sheet=A0&amp;row=900&amp;col=7&amp;number=0&amp;sourceID=14","0")</f>
        <v>0</v>
      </c>
    </row>
    <row r="901" spans="1:7">
      <c r="A901" s="3">
        <v>18</v>
      </c>
      <c r="B901" s="3">
        <v>8</v>
      </c>
      <c r="C901" s="3">
        <v>55</v>
      </c>
      <c r="D901" s="3">
        <v>14</v>
      </c>
      <c r="E901" s="3">
        <v>-403.901</v>
      </c>
      <c r="F901" s="4" t="str">
        <f>HYPERLINK("http://141.218.60.56/~jnz1568/getInfo.php?workbook=18_08.xlsx&amp;sheet=A0&amp;row=901&amp;col=6&amp;number=25850000&amp;sourceID=14","25850000")</f>
        <v>25850000</v>
      </c>
      <c r="G901" s="4" t="str">
        <f>HYPERLINK("http://141.218.60.56/~jnz1568/getInfo.php?workbook=18_08.xlsx&amp;sheet=A0&amp;row=901&amp;col=7&amp;number=0&amp;sourceID=14","0")</f>
        <v>0</v>
      </c>
    </row>
    <row r="902" spans="1:7">
      <c r="A902" s="3">
        <v>18</v>
      </c>
      <c r="B902" s="3">
        <v>8</v>
      </c>
      <c r="C902" s="3">
        <v>56</v>
      </c>
      <c r="D902" s="3">
        <v>14</v>
      </c>
      <c r="E902" s="3">
        <v>333.758</v>
      </c>
      <c r="F902" s="4" t="str">
        <f>HYPERLINK("http://141.218.60.56/~jnz1568/getInfo.php?workbook=18_08.xlsx&amp;sheet=A0&amp;row=902&amp;col=6&amp;number=18390&amp;sourceID=14","18390")</f>
        <v>18390</v>
      </c>
      <c r="G902" s="4" t="str">
        <f>HYPERLINK("http://141.218.60.56/~jnz1568/getInfo.php?workbook=18_08.xlsx&amp;sheet=A0&amp;row=902&amp;col=7&amp;number=0&amp;sourceID=14","0")</f>
        <v>0</v>
      </c>
    </row>
    <row r="903" spans="1:7">
      <c r="A903" s="3">
        <v>18</v>
      </c>
      <c r="B903" s="3">
        <v>8</v>
      </c>
      <c r="C903" s="3">
        <v>57</v>
      </c>
      <c r="D903" s="3">
        <v>14</v>
      </c>
      <c r="E903" s="3">
        <v>-334.361</v>
      </c>
      <c r="F903" s="4" t="str">
        <f>HYPERLINK("http://141.218.60.56/~jnz1568/getInfo.php?workbook=18_08.xlsx&amp;sheet=A0&amp;row=903&amp;col=6&amp;number=30190&amp;sourceID=14","30190")</f>
        <v>30190</v>
      </c>
      <c r="G903" s="4" t="str">
        <f>HYPERLINK("http://141.218.60.56/~jnz1568/getInfo.php?workbook=18_08.xlsx&amp;sheet=A0&amp;row=903&amp;col=7&amp;number=0&amp;sourceID=14","0")</f>
        <v>0</v>
      </c>
    </row>
    <row r="904" spans="1:7">
      <c r="A904" s="3">
        <v>18</v>
      </c>
      <c r="B904" s="3">
        <v>8</v>
      </c>
      <c r="C904" s="3">
        <v>58</v>
      </c>
      <c r="D904" s="3">
        <v>14</v>
      </c>
      <c r="E904" s="3">
        <v>-331.342</v>
      </c>
      <c r="F904" s="4" t="str">
        <f>HYPERLINK("http://141.218.60.56/~jnz1568/getInfo.php?workbook=18_08.xlsx&amp;sheet=A0&amp;row=904&amp;col=6&amp;number=1602&amp;sourceID=14","1602")</f>
        <v>1602</v>
      </c>
      <c r="G904" s="4" t="str">
        <f>HYPERLINK("http://141.218.60.56/~jnz1568/getInfo.php?workbook=18_08.xlsx&amp;sheet=A0&amp;row=904&amp;col=7&amp;number=0&amp;sourceID=14","0")</f>
        <v>0</v>
      </c>
    </row>
    <row r="905" spans="1:7">
      <c r="A905" s="3">
        <v>18</v>
      </c>
      <c r="B905" s="3">
        <v>8</v>
      </c>
      <c r="C905" s="3">
        <v>59</v>
      </c>
      <c r="D905" s="3">
        <v>14</v>
      </c>
      <c r="E905" s="3">
        <v>-329.805</v>
      </c>
      <c r="F905" s="4" t="str">
        <f>HYPERLINK("http://141.218.60.56/~jnz1568/getInfo.php?workbook=18_08.xlsx&amp;sheet=A0&amp;row=905&amp;col=6&amp;number=12.55&amp;sourceID=14","12.55")</f>
        <v>12.55</v>
      </c>
      <c r="G905" s="4" t="str">
        <f>HYPERLINK("http://141.218.60.56/~jnz1568/getInfo.php?workbook=18_08.xlsx&amp;sheet=A0&amp;row=905&amp;col=7&amp;number=0&amp;sourceID=14","0")</f>
        <v>0</v>
      </c>
    </row>
    <row r="906" spans="1:7">
      <c r="A906" s="3">
        <v>18</v>
      </c>
      <c r="B906" s="3">
        <v>8</v>
      </c>
      <c r="C906" s="3">
        <v>60</v>
      </c>
      <c r="D906" s="3">
        <v>14</v>
      </c>
      <c r="E906" s="3">
        <v>-322.392</v>
      </c>
      <c r="F906" s="4" t="str">
        <f>HYPERLINK("http://141.218.60.56/~jnz1568/getInfo.php?workbook=18_08.xlsx&amp;sheet=A0&amp;row=906&amp;col=6&amp;number=3542&amp;sourceID=14","3542")</f>
        <v>3542</v>
      </c>
      <c r="G906" s="4" t="str">
        <f>HYPERLINK("http://141.218.60.56/~jnz1568/getInfo.php?workbook=18_08.xlsx&amp;sheet=A0&amp;row=906&amp;col=7&amp;number=0&amp;sourceID=14","0")</f>
        <v>0</v>
      </c>
    </row>
    <row r="907" spans="1:7">
      <c r="A907" s="3">
        <v>18</v>
      </c>
      <c r="B907" s="3">
        <v>8</v>
      </c>
      <c r="C907" s="3">
        <v>61</v>
      </c>
      <c r="D907" s="3">
        <v>14</v>
      </c>
      <c r="E907" s="3">
        <v>-320.734</v>
      </c>
      <c r="F907" s="4" t="str">
        <f>HYPERLINK("http://141.218.60.56/~jnz1568/getInfo.php?workbook=18_08.xlsx&amp;sheet=A0&amp;row=907&amp;col=6&amp;number=59880&amp;sourceID=14","59880")</f>
        <v>59880</v>
      </c>
      <c r="G907" s="4" t="str">
        <f>HYPERLINK("http://141.218.60.56/~jnz1568/getInfo.php?workbook=18_08.xlsx&amp;sheet=A0&amp;row=907&amp;col=7&amp;number=0&amp;sourceID=14","0")</f>
        <v>0</v>
      </c>
    </row>
    <row r="908" spans="1:7">
      <c r="A908" s="3">
        <v>18</v>
      </c>
      <c r="B908" s="3">
        <v>8</v>
      </c>
      <c r="C908" s="3">
        <v>63</v>
      </c>
      <c r="D908" s="3">
        <v>14</v>
      </c>
      <c r="E908" s="3">
        <v>-315.501</v>
      </c>
      <c r="F908" s="4" t="str">
        <f>HYPERLINK("http://141.218.60.56/~jnz1568/getInfo.php?workbook=18_08.xlsx&amp;sheet=A0&amp;row=908&amp;col=6&amp;number=33.52&amp;sourceID=14","33.52")</f>
        <v>33.52</v>
      </c>
      <c r="G908" s="4" t="str">
        <f>HYPERLINK("http://141.218.60.56/~jnz1568/getInfo.php?workbook=18_08.xlsx&amp;sheet=A0&amp;row=908&amp;col=7&amp;number=0&amp;sourceID=14","0")</f>
        <v>0</v>
      </c>
    </row>
    <row r="909" spans="1:7">
      <c r="A909" s="3">
        <v>18</v>
      </c>
      <c r="B909" s="3">
        <v>8</v>
      </c>
      <c r="C909" s="3">
        <v>64</v>
      </c>
      <c r="D909" s="3">
        <v>14</v>
      </c>
      <c r="E909" s="3">
        <v>309.31</v>
      </c>
      <c r="F909" s="4" t="str">
        <f>HYPERLINK("http://141.218.60.56/~jnz1568/getInfo.php?workbook=18_08.xlsx&amp;sheet=A0&amp;row=909&amp;col=6&amp;number=12940&amp;sourceID=14","12940")</f>
        <v>12940</v>
      </c>
      <c r="G909" s="4" t="str">
        <f>HYPERLINK("http://141.218.60.56/~jnz1568/getInfo.php?workbook=18_08.xlsx&amp;sheet=A0&amp;row=909&amp;col=7&amp;number=0&amp;sourceID=14","0")</f>
        <v>0</v>
      </c>
    </row>
    <row r="910" spans="1:7">
      <c r="A910" s="3">
        <v>18</v>
      </c>
      <c r="B910" s="3">
        <v>8</v>
      </c>
      <c r="C910" s="3">
        <v>65</v>
      </c>
      <c r="D910" s="3">
        <v>14</v>
      </c>
      <c r="E910" s="3">
        <v>-334.872</v>
      </c>
      <c r="F910" s="4" t="str">
        <f>HYPERLINK("http://141.218.60.56/~jnz1568/getInfo.php?workbook=18_08.xlsx&amp;sheet=A0&amp;row=910&amp;col=6&amp;number=0.1471&amp;sourceID=14","0.1471")</f>
        <v>0.1471</v>
      </c>
      <c r="G910" s="4" t="str">
        <f>HYPERLINK("http://141.218.60.56/~jnz1568/getInfo.php?workbook=18_08.xlsx&amp;sheet=A0&amp;row=910&amp;col=7&amp;number=0&amp;sourceID=14","0")</f>
        <v>0</v>
      </c>
    </row>
    <row r="911" spans="1:7">
      <c r="A911" s="3">
        <v>18</v>
      </c>
      <c r="B911" s="3">
        <v>8</v>
      </c>
      <c r="C911" s="3">
        <v>66</v>
      </c>
      <c r="D911" s="3">
        <v>14</v>
      </c>
      <c r="E911" s="3">
        <v>309.668</v>
      </c>
      <c r="F911" s="4" t="str">
        <f>HYPERLINK("http://141.218.60.56/~jnz1568/getInfo.php?workbook=18_08.xlsx&amp;sheet=A0&amp;row=911&amp;col=6&amp;number=24940&amp;sourceID=14","24940")</f>
        <v>24940</v>
      </c>
      <c r="G911" s="4" t="str">
        <f>HYPERLINK("http://141.218.60.56/~jnz1568/getInfo.php?workbook=18_08.xlsx&amp;sheet=A0&amp;row=911&amp;col=7&amp;number=0&amp;sourceID=14","0")</f>
        <v>0</v>
      </c>
    </row>
    <row r="912" spans="1:7">
      <c r="A912" s="3">
        <v>18</v>
      </c>
      <c r="B912" s="3">
        <v>8</v>
      </c>
      <c r="C912" s="3">
        <v>67</v>
      </c>
      <c r="D912" s="3">
        <v>14</v>
      </c>
      <c r="E912" s="3">
        <v>318.238</v>
      </c>
      <c r="F912" s="4" t="str">
        <f>HYPERLINK("http://141.218.60.56/~jnz1568/getInfo.php?workbook=18_08.xlsx&amp;sheet=A0&amp;row=912&amp;col=6&amp;number=20540&amp;sourceID=14","20540")</f>
        <v>20540</v>
      </c>
      <c r="G912" s="4" t="str">
        <f>HYPERLINK("http://141.218.60.56/~jnz1568/getInfo.php?workbook=18_08.xlsx&amp;sheet=A0&amp;row=912&amp;col=7&amp;number=0&amp;sourceID=14","0")</f>
        <v>0</v>
      </c>
    </row>
    <row r="913" spans="1:7">
      <c r="A913" s="3">
        <v>18</v>
      </c>
      <c r="B913" s="3">
        <v>8</v>
      </c>
      <c r="C913" s="3">
        <v>68</v>
      </c>
      <c r="D913" s="3">
        <v>14</v>
      </c>
      <c r="E913" s="3">
        <v>308.163</v>
      </c>
      <c r="F913" s="4" t="str">
        <f>HYPERLINK("http://141.218.60.56/~jnz1568/getInfo.php?workbook=18_08.xlsx&amp;sheet=A0&amp;row=913&amp;col=6&amp;number=18610&amp;sourceID=14","18610")</f>
        <v>18610</v>
      </c>
      <c r="G913" s="4" t="str">
        <f>HYPERLINK("http://141.218.60.56/~jnz1568/getInfo.php?workbook=18_08.xlsx&amp;sheet=A0&amp;row=913&amp;col=7&amp;number=0&amp;sourceID=14","0")</f>
        <v>0</v>
      </c>
    </row>
    <row r="914" spans="1:7">
      <c r="A914" s="3">
        <v>18</v>
      </c>
      <c r="B914" s="3">
        <v>8</v>
      </c>
      <c r="C914" s="3">
        <v>69</v>
      </c>
      <c r="D914" s="3">
        <v>14</v>
      </c>
      <c r="E914" s="3">
        <v>299.835</v>
      </c>
      <c r="F914" s="4" t="str">
        <f>HYPERLINK("http://141.218.60.56/~jnz1568/getInfo.php?workbook=18_08.xlsx&amp;sheet=A0&amp;row=914&amp;col=6&amp;number=13880&amp;sourceID=14","13880")</f>
        <v>13880</v>
      </c>
      <c r="G914" s="4" t="str">
        <f>HYPERLINK("http://141.218.60.56/~jnz1568/getInfo.php?workbook=18_08.xlsx&amp;sheet=A0&amp;row=914&amp;col=7&amp;number=0&amp;sourceID=14","0")</f>
        <v>0</v>
      </c>
    </row>
    <row r="915" spans="1:7">
      <c r="A915" s="3">
        <v>18</v>
      </c>
      <c r="B915" s="3">
        <v>8</v>
      </c>
      <c r="C915" s="3">
        <v>70</v>
      </c>
      <c r="D915" s="3">
        <v>14</v>
      </c>
      <c r="E915" s="3">
        <v>-293.453</v>
      </c>
      <c r="F915" s="4" t="str">
        <f>HYPERLINK("http://141.218.60.56/~jnz1568/getInfo.php?workbook=18_08.xlsx&amp;sheet=A0&amp;row=915&amp;col=6&amp;number=95750&amp;sourceID=14","95750")</f>
        <v>95750</v>
      </c>
      <c r="G915" s="4" t="str">
        <f>HYPERLINK("http://141.218.60.56/~jnz1568/getInfo.php?workbook=18_08.xlsx&amp;sheet=A0&amp;row=915&amp;col=7&amp;number=0&amp;sourceID=14","0")</f>
        <v>0</v>
      </c>
    </row>
    <row r="916" spans="1:7">
      <c r="A916" s="3">
        <v>18</v>
      </c>
      <c r="B916" s="3">
        <v>8</v>
      </c>
      <c r="C916" s="3">
        <v>71</v>
      </c>
      <c r="D916" s="3">
        <v>14</v>
      </c>
      <c r="E916" s="3">
        <v>289.917</v>
      </c>
      <c r="F916" s="4" t="str">
        <f>HYPERLINK("http://141.218.60.56/~jnz1568/getInfo.php?workbook=18_08.xlsx&amp;sheet=A0&amp;row=916&amp;col=6&amp;number=11900&amp;sourceID=14","11900")</f>
        <v>11900</v>
      </c>
      <c r="G916" s="4" t="str">
        <f>HYPERLINK("http://141.218.60.56/~jnz1568/getInfo.php?workbook=18_08.xlsx&amp;sheet=A0&amp;row=916&amp;col=7&amp;number=0&amp;sourceID=14","0")</f>
        <v>0</v>
      </c>
    </row>
    <row r="917" spans="1:7">
      <c r="A917" s="3">
        <v>18</v>
      </c>
      <c r="B917" s="3">
        <v>8</v>
      </c>
      <c r="C917" s="3">
        <v>72</v>
      </c>
      <c r="D917" s="3">
        <v>14</v>
      </c>
      <c r="E917" s="3">
        <v>299.835</v>
      </c>
      <c r="F917" s="4" t="str">
        <f>HYPERLINK("http://141.218.60.56/~jnz1568/getInfo.php?workbook=18_08.xlsx&amp;sheet=A0&amp;row=917&amp;col=6&amp;number=3978&amp;sourceID=14","3978")</f>
        <v>3978</v>
      </c>
      <c r="G917" s="4" t="str">
        <f>HYPERLINK("http://141.218.60.56/~jnz1568/getInfo.php?workbook=18_08.xlsx&amp;sheet=A0&amp;row=917&amp;col=7&amp;number=0&amp;sourceID=14","0")</f>
        <v>0</v>
      </c>
    </row>
    <row r="918" spans="1:7">
      <c r="A918" s="3">
        <v>18</v>
      </c>
      <c r="B918" s="3">
        <v>8</v>
      </c>
      <c r="C918" s="3">
        <v>73</v>
      </c>
      <c r="D918" s="3">
        <v>14</v>
      </c>
      <c r="E918" s="3">
        <v>289.917</v>
      </c>
      <c r="F918" s="4" t="str">
        <f>HYPERLINK("http://141.218.60.56/~jnz1568/getInfo.php?workbook=18_08.xlsx&amp;sheet=A0&amp;row=918&amp;col=6&amp;number=30740&amp;sourceID=14","30740")</f>
        <v>30740</v>
      </c>
      <c r="G918" s="4" t="str">
        <f>HYPERLINK("http://141.218.60.56/~jnz1568/getInfo.php?workbook=18_08.xlsx&amp;sheet=A0&amp;row=918&amp;col=7&amp;number=0&amp;sourceID=14","0")</f>
        <v>0</v>
      </c>
    </row>
    <row r="919" spans="1:7">
      <c r="A919" s="3">
        <v>18</v>
      </c>
      <c r="B919" s="3">
        <v>8</v>
      </c>
      <c r="C919" s="3">
        <v>74</v>
      </c>
      <c r="D919" s="3">
        <v>14</v>
      </c>
      <c r="E919" s="3">
        <v>280.114</v>
      </c>
      <c r="F919" s="4" t="str">
        <f>HYPERLINK("http://141.218.60.56/~jnz1568/getInfo.php?workbook=18_08.xlsx&amp;sheet=A0&amp;row=919&amp;col=6&amp;number=255.3&amp;sourceID=14","255.3")</f>
        <v>255.3</v>
      </c>
      <c r="G919" s="4" t="str">
        <f>HYPERLINK("http://141.218.60.56/~jnz1568/getInfo.php?workbook=18_08.xlsx&amp;sheet=A0&amp;row=919&amp;col=7&amp;number=0&amp;sourceID=14","0")</f>
        <v>0</v>
      </c>
    </row>
    <row r="920" spans="1:7">
      <c r="A920" s="3">
        <v>18</v>
      </c>
      <c r="B920" s="3">
        <v>8</v>
      </c>
      <c r="C920" s="3">
        <v>75</v>
      </c>
      <c r="D920" s="3">
        <v>14</v>
      </c>
      <c r="E920" s="3">
        <v>-274.835</v>
      </c>
      <c r="F920" s="4" t="str">
        <f>HYPERLINK("http://141.218.60.56/~jnz1568/getInfo.php?workbook=18_08.xlsx&amp;sheet=A0&amp;row=920&amp;col=6&amp;number=3321&amp;sourceID=14","3321")</f>
        <v>3321</v>
      </c>
      <c r="G920" s="4" t="str">
        <f>HYPERLINK("http://141.218.60.56/~jnz1568/getInfo.php?workbook=18_08.xlsx&amp;sheet=A0&amp;row=920&amp;col=7&amp;number=0&amp;sourceID=14","0")</f>
        <v>0</v>
      </c>
    </row>
    <row r="921" spans="1:7">
      <c r="A921" s="3">
        <v>18</v>
      </c>
      <c r="B921" s="3">
        <v>8</v>
      </c>
      <c r="C921" s="3">
        <v>76</v>
      </c>
      <c r="D921" s="3">
        <v>14</v>
      </c>
      <c r="E921" s="3">
        <v>-274.646</v>
      </c>
      <c r="F921" s="4" t="str">
        <f>HYPERLINK("http://141.218.60.56/~jnz1568/getInfo.php?workbook=18_08.xlsx&amp;sheet=A0&amp;row=921&amp;col=6&amp;number=1464&amp;sourceID=14","1464")</f>
        <v>1464</v>
      </c>
      <c r="G921" s="4" t="str">
        <f>HYPERLINK("http://141.218.60.56/~jnz1568/getInfo.php?workbook=18_08.xlsx&amp;sheet=A0&amp;row=921&amp;col=7&amp;number=0&amp;sourceID=14","0")</f>
        <v>0</v>
      </c>
    </row>
    <row r="922" spans="1:7">
      <c r="A922" s="3">
        <v>18</v>
      </c>
      <c r="B922" s="3">
        <v>8</v>
      </c>
      <c r="C922" s="3">
        <v>77</v>
      </c>
      <c r="D922" s="3">
        <v>14</v>
      </c>
      <c r="E922" s="3">
        <v>280.089</v>
      </c>
      <c r="F922" s="4" t="str">
        <f>HYPERLINK("http://141.218.60.56/~jnz1568/getInfo.php?workbook=18_08.xlsx&amp;sheet=A0&amp;row=922&amp;col=6&amp;number=4392&amp;sourceID=14","4392")</f>
        <v>4392</v>
      </c>
      <c r="G922" s="4" t="str">
        <f>HYPERLINK("http://141.218.60.56/~jnz1568/getInfo.php?workbook=18_08.xlsx&amp;sheet=A0&amp;row=922&amp;col=7&amp;number=0&amp;sourceID=14","0")</f>
        <v>0</v>
      </c>
    </row>
    <row r="923" spans="1:7">
      <c r="A923" s="3">
        <v>18</v>
      </c>
      <c r="B923" s="3">
        <v>8</v>
      </c>
      <c r="C923" s="3">
        <v>78</v>
      </c>
      <c r="D923" s="3">
        <v>14</v>
      </c>
      <c r="E923" s="3">
        <v>-274.215</v>
      </c>
      <c r="F923" s="4" t="str">
        <f>HYPERLINK("http://141.218.60.56/~jnz1568/getInfo.php?workbook=18_08.xlsx&amp;sheet=A0&amp;row=923&amp;col=6&amp;number=63.99&amp;sourceID=14","63.99")</f>
        <v>63.99</v>
      </c>
      <c r="G923" s="4" t="str">
        <f>HYPERLINK("http://141.218.60.56/~jnz1568/getInfo.php?workbook=18_08.xlsx&amp;sheet=A0&amp;row=923&amp;col=7&amp;number=0&amp;sourceID=14","0")</f>
        <v>0</v>
      </c>
    </row>
    <row r="924" spans="1:7">
      <c r="A924" s="3">
        <v>18</v>
      </c>
      <c r="B924" s="3">
        <v>8</v>
      </c>
      <c r="C924" s="3">
        <v>79</v>
      </c>
      <c r="D924" s="3">
        <v>14</v>
      </c>
      <c r="E924" s="3">
        <v>-271.988</v>
      </c>
      <c r="F924" s="4" t="str">
        <f>HYPERLINK("http://141.218.60.56/~jnz1568/getInfo.php?workbook=18_08.xlsx&amp;sheet=A0&amp;row=924&amp;col=6&amp;number=2014&amp;sourceID=14","2014")</f>
        <v>2014</v>
      </c>
      <c r="G924" s="4" t="str">
        <f>HYPERLINK("http://141.218.60.56/~jnz1568/getInfo.php?workbook=18_08.xlsx&amp;sheet=A0&amp;row=924&amp;col=7&amp;number=0&amp;sourceID=14","0")</f>
        <v>0</v>
      </c>
    </row>
    <row r="925" spans="1:7">
      <c r="A925" s="3">
        <v>18</v>
      </c>
      <c r="B925" s="3">
        <v>8</v>
      </c>
      <c r="C925" s="3">
        <v>80</v>
      </c>
      <c r="D925" s="3">
        <v>14</v>
      </c>
      <c r="E925" s="3">
        <v>-270.562</v>
      </c>
      <c r="F925" s="4" t="str">
        <f>HYPERLINK("http://141.218.60.56/~jnz1568/getInfo.php?workbook=18_08.xlsx&amp;sheet=A0&amp;row=925&amp;col=6&amp;number=2512&amp;sourceID=14","2512")</f>
        <v>2512</v>
      </c>
      <c r="G925" s="4" t="str">
        <f>HYPERLINK("http://141.218.60.56/~jnz1568/getInfo.php?workbook=18_08.xlsx&amp;sheet=A0&amp;row=925&amp;col=7&amp;number=0&amp;sourceID=14","0")</f>
        <v>0</v>
      </c>
    </row>
    <row r="926" spans="1:7">
      <c r="A926" s="3">
        <v>18</v>
      </c>
      <c r="B926" s="3">
        <v>8</v>
      </c>
      <c r="C926" s="3">
        <v>81</v>
      </c>
      <c r="D926" s="3">
        <v>14</v>
      </c>
      <c r="E926" s="3">
        <v>265.301</v>
      </c>
      <c r="F926" s="4" t="str">
        <f>HYPERLINK("http://141.218.60.56/~jnz1568/getInfo.php?workbook=18_08.xlsx&amp;sheet=A0&amp;row=926&amp;col=6&amp;number=14.78&amp;sourceID=14","14.78")</f>
        <v>14.78</v>
      </c>
      <c r="G926" s="4" t="str">
        <f>HYPERLINK("http://141.218.60.56/~jnz1568/getInfo.php?workbook=18_08.xlsx&amp;sheet=A0&amp;row=926&amp;col=7&amp;number=0&amp;sourceID=14","0")</f>
        <v>0</v>
      </c>
    </row>
    <row r="927" spans="1:7">
      <c r="A927" s="3">
        <v>18</v>
      </c>
      <c r="B927" s="3">
        <v>8</v>
      </c>
      <c r="C927" s="3">
        <v>82</v>
      </c>
      <c r="D927" s="3">
        <v>14</v>
      </c>
      <c r="E927" s="3">
        <v>262.599</v>
      </c>
      <c r="F927" s="4" t="str">
        <f>HYPERLINK("http://141.218.60.56/~jnz1568/getInfo.php?workbook=18_08.xlsx&amp;sheet=A0&amp;row=927&amp;col=6&amp;number=74.9&amp;sourceID=14","74.9")</f>
        <v>74.9</v>
      </c>
      <c r="G927" s="4" t="str">
        <f>HYPERLINK("http://141.218.60.56/~jnz1568/getInfo.php?workbook=18_08.xlsx&amp;sheet=A0&amp;row=927&amp;col=7&amp;number=0&amp;sourceID=14","0")</f>
        <v>0</v>
      </c>
    </row>
    <row r="928" spans="1:7">
      <c r="A928" s="3">
        <v>18</v>
      </c>
      <c r="B928" s="3">
        <v>8</v>
      </c>
      <c r="C928" s="3">
        <v>83</v>
      </c>
      <c r="D928" s="3">
        <v>14</v>
      </c>
      <c r="E928" s="3">
        <v>256.016</v>
      </c>
      <c r="F928" s="4" t="str">
        <f>HYPERLINK("http://141.218.60.56/~jnz1568/getInfo.php?workbook=18_08.xlsx&amp;sheet=A0&amp;row=928&amp;col=6&amp;number=318.1&amp;sourceID=14","318.1")</f>
        <v>318.1</v>
      </c>
      <c r="G928" s="4" t="str">
        <f>HYPERLINK("http://141.218.60.56/~jnz1568/getInfo.php?workbook=18_08.xlsx&amp;sheet=A0&amp;row=928&amp;col=7&amp;number=0&amp;sourceID=14","0")</f>
        <v>0</v>
      </c>
    </row>
    <row r="929" spans="1:7">
      <c r="A929" s="3">
        <v>18</v>
      </c>
      <c r="B929" s="3">
        <v>8</v>
      </c>
      <c r="C929" s="3">
        <v>84</v>
      </c>
      <c r="D929" s="3">
        <v>14</v>
      </c>
      <c r="E929" s="3">
        <v>262.398</v>
      </c>
      <c r="F929" s="4" t="str">
        <f>HYPERLINK("http://141.218.60.56/~jnz1568/getInfo.php?workbook=18_08.xlsx&amp;sheet=A0&amp;row=929&amp;col=6&amp;number=544.6&amp;sourceID=14","544.6")</f>
        <v>544.6</v>
      </c>
      <c r="G929" s="4" t="str">
        <f>HYPERLINK("http://141.218.60.56/~jnz1568/getInfo.php?workbook=18_08.xlsx&amp;sheet=A0&amp;row=929&amp;col=7&amp;number=0&amp;sourceID=14","0")</f>
        <v>0</v>
      </c>
    </row>
    <row r="930" spans="1:7">
      <c r="A930" s="3">
        <v>18</v>
      </c>
      <c r="B930" s="3">
        <v>8</v>
      </c>
      <c r="C930" s="3">
        <v>85</v>
      </c>
      <c r="D930" s="3">
        <v>14</v>
      </c>
      <c r="E930" s="3">
        <v>252.315</v>
      </c>
      <c r="F930" s="4" t="str">
        <f>HYPERLINK("http://141.218.60.56/~jnz1568/getInfo.php?workbook=18_08.xlsx&amp;sheet=A0&amp;row=930&amp;col=6&amp;number=105.2&amp;sourceID=14","105.2")</f>
        <v>105.2</v>
      </c>
      <c r="G930" s="4" t="str">
        <f>HYPERLINK("http://141.218.60.56/~jnz1568/getInfo.php?workbook=18_08.xlsx&amp;sheet=A0&amp;row=930&amp;col=7&amp;number=0&amp;sourceID=14","0")</f>
        <v>0</v>
      </c>
    </row>
    <row r="931" spans="1:7">
      <c r="A931" s="3">
        <v>18</v>
      </c>
      <c r="B931" s="3">
        <v>8</v>
      </c>
      <c r="C931" s="3">
        <v>86</v>
      </c>
      <c r="D931" s="3">
        <v>14</v>
      </c>
      <c r="E931" s="3">
        <v>234.176</v>
      </c>
      <c r="F931" s="4" t="str">
        <f>HYPERLINK("http://141.218.60.56/~jnz1568/getInfo.php?workbook=18_08.xlsx&amp;sheet=A0&amp;row=931&amp;col=6&amp;number=84.82&amp;sourceID=14","84.82")</f>
        <v>84.82</v>
      </c>
      <c r="G931" s="4" t="str">
        <f>HYPERLINK("http://141.218.60.56/~jnz1568/getInfo.php?workbook=18_08.xlsx&amp;sheet=A0&amp;row=931&amp;col=7&amp;number=0&amp;sourceID=14","0")</f>
        <v>0</v>
      </c>
    </row>
    <row r="932" spans="1:7">
      <c r="A932" s="3">
        <v>18</v>
      </c>
      <c r="B932" s="3">
        <v>8</v>
      </c>
      <c r="C932" s="3">
        <v>16</v>
      </c>
      <c r="D932" s="3">
        <v>15</v>
      </c>
      <c r="E932" s="3">
        <v>6918.5</v>
      </c>
      <c r="F932" s="4" t="str">
        <f>HYPERLINK("http://141.218.60.56/~jnz1568/getInfo.php?workbook=18_08.xlsx&amp;sheet=A0&amp;row=932&amp;col=6&amp;number=2.334&amp;sourceID=14","2.334")</f>
        <v>2.334</v>
      </c>
      <c r="G932" s="4" t="str">
        <f>HYPERLINK("http://141.218.60.56/~jnz1568/getInfo.php?workbook=18_08.xlsx&amp;sheet=A0&amp;row=932&amp;col=7&amp;number=0&amp;sourceID=14","0")</f>
        <v>0</v>
      </c>
    </row>
    <row r="933" spans="1:7">
      <c r="A933" s="3">
        <v>18</v>
      </c>
      <c r="B933" s="3">
        <v>8</v>
      </c>
      <c r="C933" s="3">
        <v>17</v>
      </c>
      <c r="D933" s="3">
        <v>15</v>
      </c>
      <c r="E933" s="3">
        <v>3398.471</v>
      </c>
      <c r="F933" s="4" t="str">
        <f>HYPERLINK("http://141.218.60.56/~jnz1568/getInfo.php?workbook=18_08.xlsx&amp;sheet=A0&amp;row=933&amp;col=6&amp;number=5.223e-08&amp;sourceID=14","5.223e-08")</f>
        <v>5.223e-08</v>
      </c>
      <c r="G933" s="4" t="str">
        <f>HYPERLINK("http://141.218.60.56/~jnz1568/getInfo.php?workbook=18_08.xlsx&amp;sheet=A0&amp;row=933&amp;col=7&amp;number=0&amp;sourceID=14","0")</f>
        <v>0</v>
      </c>
    </row>
    <row r="934" spans="1:7">
      <c r="A934" s="3">
        <v>18</v>
      </c>
      <c r="B934" s="3">
        <v>8</v>
      </c>
      <c r="C934" s="3">
        <v>18</v>
      </c>
      <c r="D934" s="3">
        <v>15</v>
      </c>
      <c r="E934" s="3">
        <v>3274.18</v>
      </c>
      <c r="F934" s="4" t="str">
        <f>HYPERLINK("http://141.218.60.56/~jnz1568/getInfo.php?workbook=18_08.xlsx&amp;sheet=A0&amp;row=934&amp;col=6&amp;number=13580&amp;sourceID=14","13580")</f>
        <v>13580</v>
      </c>
      <c r="G934" s="4" t="str">
        <f>HYPERLINK("http://141.218.60.56/~jnz1568/getInfo.php?workbook=18_08.xlsx&amp;sheet=A0&amp;row=934&amp;col=7&amp;number=0&amp;sourceID=14","0")</f>
        <v>0</v>
      </c>
    </row>
    <row r="935" spans="1:7">
      <c r="A935" s="3">
        <v>18</v>
      </c>
      <c r="B935" s="3">
        <v>8</v>
      </c>
      <c r="C935" s="3">
        <v>19</v>
      </c>
      <c r="D935" s="3">
        <v>15</v>
      </c>
      <c r="E935" s="3">
        <v>3036.007</v>
      </c>
      <c r="F935" s="4" t="str">
        <f>HYPERLINK("http://141.218.60.56/~jnz1568/getInfo.php?workbook=18_08.xlsx&amp;sheet=A0&amp;row=935&amp;col=6&amp;number=3576&amp;sourceID=14","3576")</f>
        <v>3576</v>
      </c>
      <c r="G935" s="4" t="str">
        <f>HYPERLINK("http://141.218.60.56/~jnz1568/getInfo.php?workbook=18_08.xlsx&amp;sheet=A0&amp;row=935&amp;col=7&amp;number=0&amp;sourceID=14","0")</f>
        <v>0</v>
      </c>
    </row>
    <row r="936" spans="1:7">
      <c r="A936" s="3">
        <v>18</v>
      </c>
      <c r="B936" s="3">
        <v>8</v>
      </c>
      <c r="C936" s="3">
        <v>20</v>
      </c>
      <c r="D936" s="3">
        <v>15</v>
      </c>
      <c r="E936" s="3">
        <v>-1674.625</v>
      </c>
      <c r="F936" s="4" t="str">
        <f>HYPERLINK("http://141.218.60.56/~jnz1568/getInfo.php?workbook=18_08.xlsx&amp;sheet=A0&amp;row=936&amp;col=6&amp;number=0.0002568&amp;sourceID=14","0.0002568")</f>
        <v>0.0002568</v>
      </c>
      <c r="G936" s="4" t="str">
        <f>HYPERLINK("http://141.218.60.56/~jnz1568/getInfo.php?workbook=18_08.xlsx&amp;sheet=A0&amp;row=936&amp;col=7&amp;number=0&amp;sourceID=14","0")</f>
        <v>0</v>
      </c>
    </row>
    <row r="937" spans="1:7">
      <c r="A937" s="3">
        <v>18</v>
      </c>
      <c r="B937" s="3">
        <v>8</v>
      </c>
      <c r="C937" s="3">
        <v>21</v>
      </c>
      <c r="D937" s="3">
        <v>15</v>
      </c>
      <c r="E937" s="3">
        <v>-1640.406</v>
      </c>
      <c r="F937" s="4" t="str">
        <f>HYPERLINK("http://141.218.60.56/~jnz1568/getInfo.php?workbook=18_08.xlsx&amp;sheet=A0&amp;row=937&amp;col=6&amp;number=10650000&amp;sourceID=14","10650000")</f>
        <v>10650000</v>
      </c>
      <c r="G937" s="4" t="str">
        <f>HYPERLINK("http://141.218.60.56/~jnz1568/getInfo.php?workbook=18_08.xlsx&amp;sheet=A0&amp;row=937&amp;col=7&amp;number=0&amp;sourceID=14","0")</f>
        <v>0</v>
      </c>
    </row>
    <row r="938" spans="1:7">
      <c r="A938" s="3">
        <v>18</v>
      </c>
      <c r="B938" s="3">
        <v>8</v>
      </c>
      <c r="C938" s="3">
        <v>24</v>
      </c>
      <c r="D938" s="3">
        <v>15</v>
      </c>
      <c r="E938" s="3">
        <v>-2085.061</v>
      </c>
      <c r="F938" s="4" t="str">
        <f>HYPERLINK("http://141.218.60.56/~jnz1568/getInfo.php?workbook=18_08.xlsx&amp;sheet=A0&amp;row=938&amp;col=6&amp;number=0.1499&amp;sourceID=14","0.1499")</f>
        <v>0.1499</v>
      </c>
      <c r="G938" s="4" t="str">
        <f>HYPERLINK("http://141.218.60.56/~jnz1568/getInfo.php?workbook=18_08.xlsx&amp;sheet=A0&amp;row=938&amp;col=7&amp;number=0&amp;sourceID=14","0")</f>
        <v>0</v>
      </c>
    </row>
    <row r="939" spans="1:7">
      <c r="A939" s="3">
        <v>18</v>
      </c>
      <c r="B939" s="3">
        <v>8</v>
      </c>
      <c r="C939" s="3">
        <v>25</v>
      </c>
      <c r="D939" s="3">
        <v>15</v>
      </c>
      <c r="E939" s="3">
        <v>1813.796</v>
      </c>
      <c r="F939" s="4" t="str">
        <f>HYPERLINK("http://141.218.60.56/~jnz1568/getInfo.php?workbook=18_08.xlsx&amp;sheet=A0&amp;row=939&amp;col=6&amp;number=189.3&amp;sourceID=14","189.3")</f>
        <v>189.3</v>
      </c>
      <c r="G939" s="4" t="str">
        <f>HYPERLINK("http://141.218.60.56/~jnz1568/getInfo.php?workbook=18_08.xlsx&amp;sheet=A0&amp;row=939&amp;col=7&amp;number=0&amp;sourceID=14","0")</f>
        <v>0</v>
      </c>
    </row>
    <row r="940" spans="1:7">
      <c r="A940" s="3">
        <v>18</v>
      </c>
      <c r="B940" s="3">
        <v>8</v>
      </c>
      <c r="C940" s="3">
        <v>26</v>
      </c>
      <c r="D940" s="3">
        <v>15</v>
      </c>
      <c r="E940" s="3">
        <v>1663.229</v>
      </c>
      <c r="F940" s="4" t="str">
        <f>HYPERLINK("http://141.218.60.56/~jnz1568/getInfo.php?workbook=18_08.xlsx&amp;sheet=A0&amp;row=940&amp;col=6&amp;number=0.05664&amp;sourceID=14","0.05664")</f>
        <v>0.05664</v>
      </c>
      <c r="G940" s="4" t="str">
        <f>HYPERLINK("http://141.218.60.56/~jnz1568/getInfo.php?workbook=18_08.xlsx&amp;sheet=A0&amp;row=940&amp;col=7&amp;number=0&amp;sourceID=14","0")</f>
        <v>0</v>
      </c>
    </row>
    <row r="941" spans="1:7">
      <c r="A941" s="3">
        <v>18</v>
      </c>
      <c r="B941" s="3">
        <v>8</v>
      </c>
      <c r="C941" s="3">
        <v>27</v>
      </c>
      <c r="D941" s="3">
        <v>15</v>
      </c>
      <c r="E941" s="3">
        <v>-783.302</v>
      </c>
      <c r="F941" s="4" t="str">
        <f>HYPERLINK("http://141.218.60.56/~jnz1568/getInfo.php?workbook=18_08.xlsx&amp;sheet=A0&amp;row=941&amp;col=6&amp;number=0.1294&amp;sourceID=14","0.1294")</f>
        <v>0.1294</v>
      </c>
      <c r="G941" s="4" t="str">
        <f>HYPERLINK("http://141.218.60.56/~jnz1568/getInfo.php?workbook=18_08.xlsx&amp;sheet=A0&amp;row=941&amp;col=7&amp;number=0&amp;sourceID=14","0")</f>
        <v>0</v>
      </c>
    </row>
    <row r="942" spans="1:7">
      <c r="A942" s="3">
        <v>18</v>
      </c>
      <c r="B942" s="3">
        <v>8</v>
      </c>
      <c r="C942" s="3">
        <v>28</v>
      </c>
      <c r="D942" s="3">
        <v>15</v>
      </c>
      <c r="E942" s="3">
        <v>-804.242</v>
      </c>
      <c r="F942" s="4" t="str">
        <f>HYPERLINK("http://141.218.60.56/~jnz1568/getInfo.php?workbook=18_08.xlsx&amp;sheet=A0&amp;row=942&amp;col=6&amp;number=191000000&amp;sourceID=14","191000000")</f>
        <v>191000000</v>
      </c>
      <c r="G942" s="4" t="str">
        <f>HYPERLINK("http://141.218.60.56/~jnz1568/getInfo.php?workbook=18_08.xlsx&amp;sheet=A0&amp;row=942&amp;col=7&amp;number=0&amp;sourceID=14","0")</f>
        <v>0</v>
      </c>
    </row>
    <row r="943" spans="1:7">
      <c r="A943" s="3">
        <v>18</v>
      </c>
      <c r="B943" s="3">
        <v>8</v>
      </c>
      <c r="C943" s="3">
        <v>29</v>
      </c>
      <c r="D943" s="3">
        <v>15</v>
      </c>
      <c r="E943" s="3">
        <v>-778.775</v>
      </c>
      <c r="F943" s="4" t="str">
        <f>HYPERLINK("http://141.218.60.56/~jnz1568/getInfo.php?workbook=18_08.xlsx&amp;sheet=A0&amp;row=943&amp;col=6&amp;number=1136000000&amp;sourceID=14","1136000000")</f>
        <v>1136000000</v>
      </c>
      <c r="G943" s="4" t="str">
        <f>HYPERLINK("http://141.218.60.56/~jnz1568/getInfo.php?workbook=18_08.xlsx&amp;sheet=A0&amp;row=943&amp;col=7&amp;number=0&amp;sourceID=14","0")</f>
        <v>0</v>
      </c>
    </row>
    <row r="944" spans="1:7">
      <c r="A944" s="3">
        <v>18</v>
      </c>
      <c r="B944" s="3">
        <v>8</v>
      </c>
      <c r="C944" s="3">
        <v>30</v>
      </c>
      <c r="D944" s="3">
        <v>15</v>
      </c>
      <c r="E944" s="3">
        <v>-863.66</v>
      </c>
      <c r="F944" s="4" t="str">
        <f>HYPERLINK("http://141.218.60.56/~jnz1568/getInfo.php?workbook=18_08.xlsx&amp;sheet=A0&amp;row=944&amp;col=6&amp;number=0.01182&amp;sourceID=14","0.01182")</f>
        <v>0.01182</v>
      </c>
      <c r="G944" s="4" t="str">
        <f>HYPERLINK("http://141.218.60.56/~jnz1568/getInfo.php?workbook=18_08.xlsx&amp;sheet=A0&amp;row=944&amp;col=7&amp;number=0&amp;sourceID=14","0")</f>
        <v>0</v>
      </c>
    </row>
    <row r="945" spans="1:7">
      <c r="A945" s="3">
        <v>18</v>
      </c>
      <c r="B945" s="3">
        <v>8</v>
      </c>
      <c r="C945" s="3">
        <v>31</v>
      </c>
      <c r="D945" s="3">
        <v>15</v>
      </c>
      <c r="E945" s="3">
        <v>-743.118</v>
      </c>
      <c r="F945" s="4" t="str">
        <f>HYPERLINK("http://141.218.60.56/~jnz1568/getInfo.php?workbook=18_08.xlsx&amp;sheet=A0&amp;row=945&amp;col=6&amp;number=2013000&amp;sourceID=14","2013000")</f>
        <v>2013000</v>
      </c>
      <c r="G945" s="4" t="str">
        <f>HYPERLINK("http://141.218.60.56/~jnz1568/getInfo.php?workbook=18_08.xlsx&amp;sheet=A0&amp;row=945&amp;col=7&amp;number=0&amp;sourceID=14","0")</f>
        <v>0</v>
      </c>
    </row>
    <row r="946" spans="1:7">
      <c r="A946" s="3">
        <v>18</v>
      </c>
      <c r="B946" s="3">
        <v>8</v>
      </c>
      <c r="C946" s="3">
        <v>32</v>
      </c>
      <c r="D946" s="3">
        <v>15</v>
      </c>
      <c r="E946" s="3">
        <v>-727.405</v>
      </c>
      <c r="F946" s="4" t="str">
        <f>HYPERLINK("http://141.218.60.56/~jnz1568/getInfo.php?workbook=18_08.xlsx&amp;sheet=A0&amp;row=946&amp;col=6&amp;number=2205000&amp;sourceID=14","2205000")</f>
        <v>2205000</v>
      </c>
      <c r="G946" s="4" t="str">
        <f>HYPERLINK("http://141.218.60.56/~jnz1568/getInfo.php?workbook=18_08.xlsx&amp;sheet=A0&amp;row=946&amp;col=7&amp;number=0&amp;sourceID=14","0")</f>
        <v>0</v>
      </c>
    </row>
    <row r="947" spans="1:7">
      <c r="A947" s="3">
        <v>18</v>
      </c>
      <c r="B947" s="3">
        <v>8</v>
      </c>
      <c r="C947" s="3">
        <v>33</v>
      </c>
      <c r="D947" s="3">
        <v>15</v>
      </c>
      <c r="E947" s="3">
        <v>-711.5</v>
      </c>
      <c r="F947" s="4" t="str">
        <f>HYPERLINK("http://141.218.60.56/~jnz1568/getInfo.php?workbook=18_08.xlsx&amp;sheet=A0&amp;row=947&amp;col=6&amp;number=1692000000&amp;sourceID=14","1692000000")</f>
        <v>1692000000</v>
      </c>
      <c r="G947" s="4" t="str">
        <f>HYPERLINK("http://141.218.60.56/~jnz1568/getInfo.php?workbook=18_08.xlsx&amp;sheet=A0&amp;row=947&amp;col=7&amp;number=0&amp;sourceID=14","0")</f>
        <v>0</v>
      </c>
    </row>
    <row r="948" spans="1:7">
      <c r="A948" s="3">
        <v>18</v>
      </c>
      <c r="B948" s="3">
        <v>8</v>
      </c>
      <c r="C948" s="3">
        <v>34</v>
      </c>
      <c r="D948" s="3">
        <v>15</v>
      </c>
      <c r="E948" s="3">
        <v>-695.657</v>
      </c>
      <c r="F948" s="4" t="str">
        <f>HYPERLINK("http://141.218.60.56/~jnz1568/getInfo.php?workbook=18_08.xlsx&amp;sheet=A0&amp;row=948&amp;col=6&amp;number=7795000&amp;sourceID=14","7795000")</f>
        <v>7795000</v>
      </c>
      <c r="G948" s="4" t="str">
        <f>HYPERLINK("http://141.218.60.56/~jnz1568/getInfo.php?workbook=18_08.xlsx&amp;sheet=A0&amp;row=948&amp;col=7&amp;number=0&amp;sourceID=14","0")</f>
        <v>0</v>
      </c>
    </row>
    <row r="949" spans="1:7">
      <c r="A949" s="3">
        <v>18</v>
      </c>
      <c r="B949" s="3">
        <v>8</v>
      </c>
      <c r="C949" s="3">
        <v>36</v>
      </c>
      <c r="D949" s="3">
        <v>15</v>
      </c>
      <c r="E949" s="3">
        <v>-535.267</v>
      </c>
      <c r="F949" s="4" t="str">
        <f>HYPERLINK("http://141.218.60.56/~jnz1568/getInfo.php?workbook=18_08.xlsx&amp;sheet=A0&amp;row=949&amp;col=6&amp;number=0.1527&amp;sourceID=14","0.1527")</f>
        <v>0.1527</v>
      </c>
      <c r="G949" s="4" t="str">
        <f>HYPERLINK("http://141.218.60.56/~jnz1568/getInfo.php?workbook=18_08.xlsx&amp;sheet=A0&amp;row=949&amp;col=7&amp;number=0&amp;sourceID=14","0")</f>
        <v>0</v>
      </c>
    </row>
    <row r="950" spans="1:7">
      <c r="A950" s="3">
        <v>18</v>
      </c>
      <c r="B950" s="3">
        <v>8</v>
      </c>
      <c r="C950" s="3">
        <v>37</v>
      </c>
      <c r="D950" s="3">
        <v>15</v>
      </c>
      <c r="E950" s="3">
        <v>555.497</v>
      </c>
      <c r="F950" s="4" t="str">
        <f>HYPERLINK("http://141.218.60.56/~jnz1568/getInfo.php?workbook=18_08.xlsx&amp;sheet=A0&amp;row=950&amp;col=6&amp;number=2205000000&amp;sourceID=14","2205000000")</f>
        <v>2205000000</v>
      </c>
      <c r="G950" s="4" t="str">
        <f>HYPERLINK("http://141.218.60.56/~jnz1568/getInfo.php?workbook=18_08.xlsx&amp;sheet=A0&amp;row=950&amp;col=7&amp;number=0&amp;sourceID=14","0")</f>
        <v>0</v>
      </c>
    </row>
    <row r="951" spans="1:7">
      <c r="A951" s="3">
        <v>18</v>
      </c>
      <c r="B951" s="3">
        <v>8</v>
      </c>
      <c r="C951" s="3">
        <v>39</v>
      </c>
      <c r="D951" s="3">
        <v>15</v>
      </c>
      <c r="E951" s="3">
        <v>-501.569</v>
      </c>
      <c r="F951" s="4" t="str">
        <f>HYPERLINK("http://141.218.60.56/~jnz1568/getInfo.php?workbook=18_08.xlsx&amp;sheet=A0&amp;row=951&amp;col=6&amp;number=0.2885&amp;sourceID=14","0.2885")</f>
        <v>0.2885</v>
      </c>
      <c r="G951" s="4" t="str">
        <f>HYPERLINK("http://141.218.60.56/~jnz1568/getInfo.php?workbook=18_08.xlsx&amp;sheet=A0&amp;row=951&amp;col=7&amp;number=0&amp;sourceID=14","0")</f>
        <v>0</v>
      </c>
    </row>
    <row r="952" spans="1:7">
      <c r="A952" s="3">
        <v>18</v>
      </c>
      <c r="B952" s="3">
        <v>8</v>
      </c>
      <c r="C952" s="3">
        <v>40</v>
      </c>
      <c r="D952" s="3">
        <v>15</v>
      </c>
      <c r="E952" s="3">
        <v>523.01</v>
      </c>
      <c r="F952" s="4" t="str">
        <f>HYPERLINK("http://141.218.60.56/~jnz1568/getInfo.php?workbook=18_08.xlsx&amp;sheet=A0&amp;row=952&amp;col=6&amp;number=1.032&amp;sourceID=14","1.032")</f>
        <v>1.032</v>
      </c>
      <c r="G952" s="4" t="str">
        <f>HYPERLINK("http://141.218.60.56/~jnz1568/getInfo.php?workbook=18_08.xlsx&amp;sheet=A0&amp;row=952&amp;col=7&amp;number=0&amp;sourceID=14","0")</f>
        <v>0</v>
      </c>
    </row>
    <row r="953" spans="1:7">
      <c r="A953" s="3">
        <v>18</v>
      </c>
      <c r="B953" s="3">
        <v>8</v>
      </c>
      <c r="C953" s="3">
        <v>41</v>
      </c>
      <c r="D953" s="3">
        <v>15</v>
      </c>
      <c r="E953" s="3">
        <v>-500.565</v>
      </c>
      <c r="F953" s="4" t="str">
        <f>HYPERLINK("http://141.218.60.56/~jnz1568/getInfo.php?workbook=18_08.xlsx&amp;sheet=A0&amp;row=953&amp;col=6&amp;number=0.4546&amp;sourceID=14","0.4546")</f>
        <v>0.4546</v>
      </c>
      <c r="G953" s="4" t="str">
        <f>HYPERLINK("http://141.218.60.56/~jnz1568/getInfo.php?workbook=18_08.xlsx&amp;sheet=A0&amp;row=953&amp;col=7&amp;number=0&amp;sourceID=14","0")</f>
        <v>0</v>
      </c>
    </row>
    <row r="954" spans="1:7">
      <c r="A954" s="3">
        <v>18</v>
      </c>
      <c r="B954" s="3">
        <v>8</v>
      </c>
      <c r="C954" s="3">
        <v>42</v>
      </c>
      <c r="D954" s="3">
        <v>15</v>
      </c>
      <c r="E954" s="3">
        <v>-499.585</v>
      </c>
      <c r="F954" s="4" t="str">
        <f>HYPERLINK("http://141.218.60.56/~jnz1568/getInfo.php?workbook=18_08.xlsx&amp;sheet=A0&amp;row=954&amp;col=6&amp;number=2.654&amp;sourceID=14","2.654")</f>
        <v>2.654</v>
      </c>
      <c r="G954" s="4" t="str">
        <f>HYPERLINK("http://141.218.60.56/~jnz1568/getInfo.php?workbook=18_08.xlsx&amp;sheet=A0&amp;row=954&amp;col=7&amp;number=0&amp;sourceID=14","0")</f>
        <v>0</v>
      </c>
    </row>
    <row r="955" spans="1:7">
      <c r="A955" s="3">
        <v>18</v>
      </c>
      <c r="B955" s="3">
        <v>8</v>
      </c>
      <c r="C955" s="3">
        <v>43</v>
      </c>
      <c r="D955" s="3">
        <v>15</v>
      </c>
      <c r="E955" s="3">
        <v>-534.537</v>
      </c>
      <c r="F955" s="4" t="str">
        <f>HYPERLINK("http://141.218.60.56/~jnz1568/getInfo.php?workbook=18_08.xlsx&amp;sheet=A0&amp;row=955&amp;col=6&amp;number=616200000&amp;sourceID=14","616200000")</f>
        <v>616200000</v>
      </c>
      <c r="G955" s="4" t="str">
        <f>HYPERLINK("http://141.218.60.56/~jnz1568/getInfo.php?workbook=18_08.xlsx&amp;sheet=A0&amp;row=955&amp;col=7&amp;number=0&amp;sourceID=14","0")</f>
        <v>0</v>
      </c>
    </row>
    <row r="956" spans="1:7">
      <c r="A956" s="3">
        <v>18</v>
      </c>
      <c r="B956" s="3">
        <v>8</v>
      </c>
      <c r="C956" s="3">
        <v>44</v>
      </c>
      <c r="D956" s="3">
        <v>15</v>
      </c>
      <c r="E956" s="3">
        <v>-588.339</v>
      </c>
      <c r="F956" s="4" t="str">
        <f>HYPERLINK("http://141.218.60.56/~jnz1568/getInfo.php?workbook=18_08.xlsx&amp;sheet=A0&amp;row=956&amp;col=6&amp;number=0.08967&amp;sourceID=14","0.08967")</f>
        <v>0.08967</v>
      </c>
      <c r="G956" s="4" t="str">
        <f>HYPERLINK("http://141.218.60.56/~jnz1568/getInfo.php?workbook=18_08.xlsx&amp;sheet=A0&amp;row=956&amp;col=7&amp;number=0&amp;sourceID=14","0")</f>
        <v>0</v>
      </c>
    </row>
    <row r="957" spans="1:7">
      <c r="A957" s="3">
        <v>18</v>
      </c>
      <c r="B957" s="3">
        <v>8</v>
      </c>
      <c r="C957" s="3">
        <v>45</v>
      </c>
      <c r="D957" s="3">
        <v>15</v>
      </c>
      <c r="E957" s="3">
        <v>-540.143</v>
      </c>
      <c r="F957" s="4" t="str">
        <f>HYPERLINK("http://141.218.60.56/~jnz1568/getInfo.php?workbook=18_08.xlsx&amp;sheet=A0&amp;row=957&amp;col=6&amp;number=0.0323&amp;sourceID=14","0.0323")</f>
        <v>0.0323</v>
      </c>
      <c r="G957" s="4" t="str">
        <f>HYPERLINK("http://141.218.60.56/~jnz1568/getInfo.php?workbook=18_08.xlsx&amp;sheet=A0&amp;row=957&amp;col=7&amp;number=0&amp;sourceID=14","0")</f>
        <v>0</v>
      </c>
    </row>
    <row r="958" spans="1:7">
      <c r="A958" s="3">
        <v>18</v>
      </c>
      <c r="B958" s="3">
        <v>8</v>
      </c>
      <c r="C958" s="3">
        <v>46</v>
      </c>
      <c r="D958" s="3">
        <v>15</v>
      </c>
      <c r="E958" s="3">
        <v>-510.255</v>
      </c>
      <c r="F958" s="4" t="str">
        <f>HYPERLINK("http://141.218.60.56/~jnz1568/getInfo.php?workbook=18_08.xlsx&amp;sheet=A0&amp;row=958&amp;col=6&amp;number=62110000&amp;sourceID=14","62110000")</f>
        <v>62110000</v>
      </c>
      <c r="G958" s="4" t="str">
        <f>HYPERLINK("http://141.218.60.56/~jnz1568/getInfo.php?workbook=18_08.xlsx&amp;sheet=A0&amp;row=958&amp;col=7&amp;number=0&amp;sourceID=14","0")</f>
        <v>0</v>
      </c>
    </row>
    <row r="959" spans="1:7">
      <c r="A959" s="3">
        <v>18</v>
      </c>
      <c r="B959" s="3">
        <v>8</v>
      </c>
      <c r="C959" s="3">
        <v>47</v>
      </c>
      <c r="D959" s="3">
        <v>15</v>
      </c>
      <c r="E959" s="3">
        <v>-524.468</v>
      </c>
      <c r="F959" s="4" t="str">
        <f>HYPERLINK("http://141.218.60.56/~jnz1568/getInfo.php?workbook=18_08.xlsx&amp;sheet=A0&amp;row=959&amp;col=6&amp;number=187700000&amp;sourceID=14","187700000")</f>
        <v>187700000</v>
      </c>
      <c r="G959" s="4" t="str">
        <f>HYPERLINK("http://141.218.60.56/~jnz1568/getInfo.php?workbook=18_08.xlsx&amp;sheet=A0&amp;row=959&amp;col=7&amp;number=0&amp;sourceID=14","0")</f>
        <v>0</v>
      </c>
    </row>
    <row r="960" spans="1:7">
      <c r="A960" s="3">
        <v>18</v>
      </c>
      <c r="B960" s="3">
        <v>8</v>
      </c>
      <c r="C960" s="3">
        <v>48</v>
      </c>
      <c r="D960" s="3">
        <v>15</v>
      </c>
      <c r="E960" s="3">
        <v>-499.455</v>
      </c>
      <c r="F960" s="4" t="str">
        <f>HYPERLINK("http://141.218.60.56/~jnz1568/getInfo.php?workbook=18_08.xlsx&amp;sheet=A0&amp;row=960&amp;col=6&amp;number=0.2642&amp;sourceID=14","0.2642")</f>
        <v>0.2642</v>
      </c>
      <c r="G960" s="4" t="str">
        <f>HYPERLINK("http://141.218.60.56/~jnz1568/getInfo.php?workbook=18_08.xlsx&amp;sheet=A0&amp;row=960&amp;col=7&amp;number=0&amp;sourceID=14","0")</f>
        <v>0</v>
      </c>
    </row>
    <row r="961" spans="1:7">
      <c r="A961" s="3">
        <v>18</v>
      </c>
      <c r="B961" s="3">
        <v>8</v>
      </c>
      <c r="C961" s="3">
        <v>49</v>
      </c>
      <c r="D961" s="3">
        <v>15</v>
      </c>
      <c r="E961" s="3">
        <v>-474.557</v>
      </c>
      <c r="F961" s="4" t="str">
        <f>HYPERLINK("http://141.218.60.56/~jnz1568/getInfo.php?workbook=18_08.xlsx&amp;sheet=A0&amp;row=961&amp;col=6&amp;number=16820000&amp;sourceID=14","16820000")</f>
        <v>16820000</v>
      </c>
      <c r="G961" s="4" t="str">
        <f>HYPERLINK("http://141.218.60.56/~jnz1568/getInfo.php?workbook=18_08.xlsx&amp;sheet=A0&amp;row=961&amp;col=7&amp;number=0&amp;sourceID=14","0")</f>
        <v>0</v>
      </c>
    </row>
    <row r="962" spans="1:7">
      <c r="A962" s="3">
        <v>18</v>
      </c>
      <c r="B962" s="3">
        <v>8</v>
      </c>
      <c r="C962" s="3">
        <v>50</v>
      </c>
      <c r="D962" s="3">
        <v>15</v>
      </c>
      <c r="E962" s="3">
        <v>-468.112</v>
      </c>
      <c r="F962" s="4" t="str">
        <f>HYPERLINK("http://141.218.60.56/~jnz1568/getInfo.php?workbook=18_08.xlsx&amp;sheet=A0&amp;row=962&amp;col=6&amp;number=0.04244&amp;sourceID=14","0.04244")</f>
        <v>0.04244</v>
      </c>
      <c r="G962" s="4" t="str">
        <f>HYPERLINK("http://141.218.60.56/~jnz1568/getInfo.php?workbook=18_08.xlsx&amp;sheet=A0&amp;row=962&amp;col=7&amp;number=0&amp;sourceID=14","0")</f>
        <v>0</v>
      </c>
    </row>
    <row r="963" spans="1:7">
      <c r="A963" s="3">
        <v>18</v>
      </c>
      <c r="B963" s="3">
        <v>8</v>
      </c>
      <c r="C963" s="3">
        <v>51</v>
      </c>
      <c r="D963" s="3">
        <v>15</v>
      </c>
      <c r="E963" s="3">
        <v>422.745</v>
      </c>
      <c r="F963" s="4" t="str">
        <f>HYPERLINK("http://141.218.60.56/~jnz1568/getInfo.php?workbook=18_08.xlsx&amp;sheet=A0&amp;row=963&amp;col=6&amp;number=450.3&amp;sourceID=14","450.3")</f>
        <v>450.3</v>
      </c>
      <c r="G963" s="4" t="str">
        <f>HYPERLINK("http://141.218.60.56/~jnz1568/getInfo.php?workbook=18_08.xlsx&amp;sheet=A0&amp;row=963&amp;col=7&amp;number=0&amp;sourceID=14","0")</f>
        <v>0</v>
      </c>
    </row>
    <row r="964" spans="1:7">
      <c r="A964" s="3">
        <v>18</v>
      </c>
      <c r="B964" s="3">
        <v>8</v>
      </c>
      <c r="C964" s="3">
        <v>52</v>
      </c>
      <c r="D964" s="3">
        <v>15</v>
      </c>
      <c r="E964" s="3">
        <v>424.888</v>
      </c>
      <c r="F964" s="4" t="str">
        <f>HYPERLINK("http://141.218.60.56/~jnz1568/getInfo.php?workbook=18_08.xlsx&amp;sheet=A0&amp;row=964&amp;col=6&amp;number=70.98&amp;sourceID=14","70.98")</f>
        <v>70.98</v>
      </c>
      <c r="G964" s="4" t="str">
        <f>HYPERLINK("http://141.218.60.56/~jnz1568/getInfo.php?workbook=18_08.xlsx&amp;sheet=A0&amp;row=964&amp;col=7&amp;number=0&amp;sourceID=14","0")</f>
        <v>0</v>
      </c>
    </row>
    <row r="965" spans="1:7">
      <c r="A965" s="3">
        <v>18</v>
      </c>
      <c r="B965" s="3">
        <v>8</v>
      </c>
      <c r="C965" s="3">
        <v>54</v>
      </c>
      <c r="D965" s="3">
        <v>15</v>
      </c>
      <c r="E965" s="3">
        <v>422.745</v>
      </c>
      <c r="F965" s="4" t="str">
        <f>HYPERLINK("http://141.218.60.56/~jnz1568/getInfo.php?workbook=18_08.xlsx&amp;sheet=A0&amp;row=965&amp;col=6&amp;number=857&amp;sourceID=14","857")</f>
        <v>857</v>
      </c>
      <c r="G965" s="4" t="str">
        <f>HYPERLINK("http://141.218.60.56/~jnz1568/getInfo.php?workbook=18_08.xlsx&amp;sheet=A0&amp;row=965&amp;col=7&amp;number=0&amp;sourceID=14","0")</f>
        <v>0</v>
      </c>
    </row>
    <row r="966" spans="1:7">
      <c r="A966" s="3">
        <v>18</v>
      </c>
      <c r="B966" s="3">
        <v>8</v>
      </c>
      <c r="C966" s="3">
        <v>55</v>
      </c>
      <c r="D966" s="3">
        <v>15</v>
      </c>
      <c r="E966" s="3">
        <v>-408.778</v>
      </c>
      <c r="F966" s="4" t="str">
        <f>HYPERLINK("http://141.218.60.56/~jnz1568/getInfo.php?workbook=18_08.xlsx&amp;sheet=A0&amp;row=966&amp;col=6&amp;number=20120000&amp;sourceID=14","20120000")</f>
        <v>20120000</v>
      </c>
      <c r="G966" s="4" t="str">
        <f>HYPERLINK("http://141.218.60.56/~jnz1568/getInfo.php?workbook=18_08.xlsx&amp;sheet=A0&amp;row=966&amp;col=7&amp;number=0&amp;sourceID=14","0")</f>
        <v>0</v>
      </c>
    </row>
    <row r="967" spans="1:7">
      <c r="A967" s="3">
        <v>18</v>
      </c>
      <c r="B967" s="3">
        <v>8</v>
      </c>
      <c r="C967" s="3">
        <v>56</v>
      </c>
      <c r="D967" s="3">
        <v>15</v>
      </c>
      <c r="E967" s="3">
        <v>335.176</v>
      </c>
      <c r="F967" s="4" t="str">
        <f>HYPERLINK("http://141.218.60.56/~jnz1568/getInfo.php?workbook=18_08.xlsx&amp;sheet=A0&amp;row=967&amp;col=6&amp;number=1918&amp;sourceID=14","1918")</f>
        <v>1918</v>
      </c>
      <c r="G967" s="4" t="str">
        <f>HYPERLINK("http://141.218.60.56/~jnz1568/getInfo.php?workbook=18_08.xlsx&amp;sheet=A0&amp;row=967&amp;col=7&amp;number=0&amp;sourceID=14","0")</f>
        <v>0</v>
      </c>
    </row>
    <row r="968" spans="1:7">
      <c r="A968" s="3">
        <v>18</v>
      </c>
      <c r="B968" s="3">
        <v>8</v>
      </c>
      <c r="C968" s="3">
        <v>57</v>
      </c>
      <c r="D968" s="3">
        <v>15</v>
      </c>
      <c r="E968" s="3">
        <v>-337.697</v>
      </c>
      <c r="F968" s="4" t="str">
        <f>HYPERLINK("http://141.218.60.56/~jnz1568/getInfo.php?workbook=18_08.xlsx&amp;sheet=A0&amp;row=968&amp;col=6&amp;number=13590&amp;sourceID=14","13590")</f>
        <v>13590</v>
      </c>
      <c r="G968" s="4" t="str">
        <f>HYPERLINK("http://141.218.60.56/~jnz1568/getInfo.php?workbook=18_08.xlsx&amp;sheet=A0&amp;row=968&amp;col=7&amp;number=0&amp;sourceID=14","0")</f>
        <v>0</v>
      </c>
    </row>
    <row r="969" spans="1:7">
      <c r="A969" s="3">
        <v>18</v>
      </c>
      <c r="B969" s="3">
        <v>8</v>
      </c>
      <c r="C969" s="3">
        <v>59</v>
      </c>
      <c r="D969" s="3">
        <v>15</v>
      </c>
      <c r="E969" s="3">
        <v>-333.05</v>
      </c>
      <c r="F969" s="4" t="str">
        <f>HYPERLINK("http://141.218.60.56/~jnz1568/getInfo.php?workbook=18_08.xlsx&amp;sheet=A0&amp;row=969&amp;col=6&amp;number=44920&amp;sourceID=14","44920")</f>
        <v>44920</v>
      </c>
      <c r="G969" s="4" t="str">
        <f>HYPERLINK("http://141.218.60.56/~jnz1568/getInfo.php?workbook=18_08.xlsx&amp;sheet=A0&amp;row=969&amp;col=7&amp;number=0&amp;sourceID=14","0")</f>
        <v>0</v>
      </c>
    </row>
    <row r="970" spans="1:7">
      <c r="A970" s="3">
        <v>18</v>
      </c>
      <c r="B970" s="3">
        <v>8</v>
      </c>
      <c r="C970" s="3">
        <v>60</v>
      </c>
      <c r="D970" s="3">
        <v>15</v>
      </c>
      <c r="E970" s="3">
        <v>-325.492</v>
      </c>
      <c r="F970" s="4" t="str">
        <f>HYPERLINK("http://141.218.60.56/~jnz1568/getInfo.php?workbook=18_08.xlsx&amp;sheet=A0&amp;row=970&amp;col=6&amp;number=27.38&amp;sourceID=14","27.38")</f>
        <v>27.38</v>
      </c>
      <c r="G970" s="4" t="str">
        <f>HYPERLINK("http://141.218.60.56/~jnz1568/getInfo.php?workbook=18_08.xlsx&amp;sheet=A0&amp;row=970&amp;col=7&amp;number=0&amp;sourceID=14","0")</f>
        <v>0</v>
      </c>
    </row>
    <row r="971" spans="1:7">
      <c r="A971" s="3">
        <v>18</v>
      </c>
      <c r="B971" s="3">
        <v>8</v>
      </c>
      <c r="C971" s="3">
        <v>61</v>
      </c>
      <c r="D971" s="3">
        <v>15</v>
      </c>
      <c r="E971" s="3">
        <v>-323.802</v>
      </c>
      <c r="F971" s="4" t="str">
        <f>HYPERLINK("http://141.218.60.56/~jnz1568/getInfo.php?workbook=18_08.xlsx&amp;sheet=A0&amp;row=971&amp;col=6&amp;number=15.31&amp;sourceID=14","15.31")</f>
        <v>15.31</v>
      </c>
      <c r="G971" s="4" t="str">
        <f>HYPERLINK("http://141.218.60.56/~jnz1568/getInfo.php?workbook=18_08.xlsx&amp;sheet=A0&amp;row=971&amp;col=7&amp;number=0&amp;sourceID=14","0")</f>
        <v>0</v>
      </c>
    </row>
    <row r="972" spans="1:7">
      <c r="A972" s="3">
        <v>18</v>
      </c>
      <c r="B972" s="3">
        <v>8</v>
      </c>
      <c r="C972" s="3">
        <v>62</v>
      </c>
      <c r="D972" s="3">
        <v>15</v>
      </c>
      <c r="E972" s="3">
        <v>-321.707</v>
      </c>
      <c r="F972" s="4" t="str">
        <f>HYPERLINK("http://141.218.60.56/~jnz1568/getInfo.php?workbook=18_08.xlsx&amp;sheet=A0&amp;row=972&amp;col=6&amp;number=60130&amp;sourceID=14","60130")</f>
        <v>60130</v>
      </c>
      <c r="G972" s="4" t="str">
        <f>HYPERLINK("http://141.218.60.56/~jnz1568/getInfo.php?workbook=18_08.xlsx&amp;sheet=A0&amp;row=972&amp;col=7&amp;number=0&amp;sourceID=14","0")</f>
        <v>0</v>
      </c>
    </row>
    <row r="973" spans="1:7">
      <c r="A973" s="3">
        <v>18</v>
      </c>
      <c r="B973" s="3">
        <v>8</v>
      </c>
      <c r="C973" s="3">
        <v>63</v>
      </c>
      <c r="D973" s="3">
        <v>15</v>
      </c>
      <c r="E973" s="3">
        <v>-318.469</v>
      </c>
      <c r="F973" s="4" t="str">
        <f>HYPERLINK("http://141.218.60.56/~jnz1568/getInfo.php?workbook=18_08.xlsx&amp;sheet=A0&amp;row=973&amp;col=6&amp;number=2742&amp;sourceID=14","2742")</f>
        <v>2742</v>
      </c>
      <c r="G973" s="4" t="str">
        <f>HYPERLINK("http://141.218.60.56/~jnz1568/getInfo.php?workbook=18_08.xlsx&amp;sheet=A0&amp;row=973&amp;col=7&amp;number=0&amp;sourceID=14","0")</f>
        <v>0</v>
      </c>
    </row>
    <row r="974" spans="1:7">
      <c r="A974" s="3">
        <v>18</v>
      </c>
      <c r="B974" s="3">
        <v>8</v>
      </c>
      <c r="C974" s="3">
        <v>64</v>
      </c>
      <c r="D974" s="3">
        <v>15</v>
      </c>
      <c r="E974" s="3">
        <v>310.527</v>
      </c>
      <c r="F974" s="4" t="str">
        <f>HYPERLINK("http://141.218.60.56/~jnz1568/getInfo.php?workbook=18_08.xlsx&amp;sheet=A0&amp;row=974&amp;col=6&amp;number=3899&amp;sourceID=14","3899")</f>
        <v>3899</v>
      </c>
      <c r="G974" s="4" t="str">
        <f>HYPERLINK("http://141.218.60.56/~jnz1568/getInfo.php?workbook=18_08.xlsx&amp;sheet=A0&amp;row=974&amp;col=7&amp;number=0&amp;sourceID=14","0")</f>
        <v>0</v>
      </c>
    </row>
    <row r="975" spans="1:7">
      <c r="A975" s="3">
        <v>18</v>
      </c>
      <c r="B975" s="3">
        <v>8</v>
      </c>
      <c r="C975" s="3">
        <v>66</v>
      </c>
      <c r="D975" s="3">
        <v>15</v>
      </c>
      <c r="E975" s="3">
        <v>310.888</v>
      </c>
      <c r="F975" s="4" t="str">
        <f>HYPERLINK("http://141.218.60.56/~jnz1568/getInfo.php?workbook=18_08.xlsx&amp;sheet=A0&amp;row=975&amp;col=6&amp;number=12100&amp;sourceID=14","12100")</f>
        <v>12100</v>
      </c>
      <c r="G975" s="4" t="str">
        <f>HYPERLINK("http://141.218.60.56/~jnz1568/getInfo.php?workbook=18_08.xlsx&amp;sheet=A0&amp;row=975&amp;col=7&amp;number=0&amp;sourceID=14","0")</f>
        <v>0</v>
      </c>
    </row>
    <row r="976" spans="1:7">
      <c r="A976" s="3">
        <v>18</v>
      </c>
      <c r="B976" s="3">
        <v>8</v>
      </c>
      <c r="C976" s="3">
        <v>67</v>
      </c>
      <c r="D976" s="3">
        <v>15</v>
      </c>
      <c r="E976" s="3">
        <v>319.527</v>
      </c>
      <c r="F976" s="4" t="str">
        <f>HYPERLINK("http://141.218.60.56/~jnz1568/getInfo.php?workbook=18_08.xlsx&amp;sheet=A0&amp;row=976&amp;col=6&amp;number=292.7&amp;sourceID=14","292.7")</f>
        <v>292.7</v>
      </c>
      <c r="G976" s="4" t="str">
        <f>HYPERLINK("http://141.218.60.56/~jnz1568/getInfo.php?workbook=18_08.xlsx&amp;sheet=A0&amp;row=976&amp;col=7&amp;number=0&amp;sourceID=14","0")</f>
        <v>0</v>
      </c>
    </row>
    <row r="977" spans="1:7">
      <c r="A977" s="3">
        <v>18</v>
      </c>
      <c r="B977" s="3">
        <v>8</v>
      </c>
      <c r="C977" s="3">
        <v>68</v>
      </c>
      <c r="D977" s="3">
        <v>15</v>
      </c>
      <c r="E977" s="3">
        <v>309.371</v>
      </c>
      <c r="F977" s="4" t="str">
        <f>HYPERLINK("http://141.218.60.56/~jnz1568/getInfo.php?workbook=18_08.xlsx&amp;sheet=A0&amp;row=977&amp;col=6&amp;number=47700&amp;sourceID=14","47700")</f>
        <v>47700</v>
      </c>
      <c r="G977" s="4" t="str">
        <f>HYPERLINK("http://141.218.60.56/~jnz1568/getInfo.php?workbook=18_08.xlsx&amp;sheet=A0&amp;row=977&amp;col=7&amp;number=0&amp;sourceID=14","0")</f>
        <v>0</v>
      </c>
    </row>
    <row r="978" spans="1:7">
      <c r="A978" s="3">
        <v>18</v>
      </c>
      <c r="B978" s="3">
        <v>8</v>
      </c>
      <c r="C978" s="3">
        <v>69</v>
      </c>
      <c r="D978" s="3">
        <v>15</v>
      </c>
      <c r="E978" s="3">
        <v>300.978</v>
      </c>
      <c r="F978" s="4" t="str">
        <f>HYPERLINK("http://141.218.60.56/~jnz1568/getInfo.php?workbook=18_08.xlsx&amp;sheet=A0&amp;row=978&amp;col=6&amp;number=58540&amp;sourceID=14","58540")</f>
        <v>58540</v>
      </c>
      <c r="G978" s="4" t="str">
        <f>HYPERLINK("http://141.218.60.56/~jnz1568/getInfo.php?workbook=18_08.xlsx&amp;sheet=A0&amp;row=978&amp;col=7&amp;number=0&amp;sourceID=14","0")</f>
        <v>0</v>
      </c>
    </row>
    <row r="979" spans="1:7">
      <c r="A979" s="3">
        <v>18</v>
      </c>
      <c r="B979" s="3">
        <v>8</v>
      </c>
      <c r="C979" s="3">
        <v>71</v>
      </c>
      <c r="D979" s="3">
        <v>15</v>
      </c>
      <c r="E979" s="3">
        <v>290.986</v>
      </c>
      <c r="F979" s="4" t="str">
        <f>HYPERLINK("http://141.218.60.56/~jnz1568/getInfo.php?workbook=18_08.xlsx&amp;sheet=A0&amp;row=979&amp;col=6&amp;number=43500&amp;sourceID=14","43500")</f>
        <v>43500</v>
      </c>
      <c r="G979" s="4" t="str">
        <f>HYPERLINK("http://141.218.60.56/~jnz1568/getInfo.php?workbook=18_08.xlsx&amp;sheet=A0&amp;row=979&amp;col=7&amp;number=0&amp;sourceID=14","0")</f>
        <v>0</v>
      </c>
    </row>
    <row r="980" spans="1:7">
      <c r="A980" s="3">
        <v>18</v>
      </c>
      <c r="B980" s="3">
        <v>8</v>
      </c>
      <c r="C980" s="3">
        <v>72</v>
      </c>
      <c r="D980" s="3">
        <v>15</v>
      </c>
      <c r="E980" s="3">
        <v>300.978</v>
      </c>
      <c r="F980" s="4" t="str">
        <f>HYPERLINK("http://141.218.60.56/~jnz1568/getInfo.php?workbook=18_08.xlsx&amp;sheet=A0&amp;row=980&amp;col=6&amp;number=4592&amp;sourceID=14","4592")</f>
        <v>4592</v>
      </c>
      <c r="G980" s="4" t="str">
        <f>HYPERLINK("http://141.218.60.56/~jnz1568/getInfo.php?workbook=18_08.xlsx&amp;sheet=A0&amp;row=980&amp;col=7&amp;number=0&amp;sourceID=14","0")</f>
        <v>0</v>
      </c>
    </row>
    <row r="981" spans="1:7">
      <c r="A981" s="3">
        <v>18</v>
      </c>
      <c r="B981" s="3">
        <v>8</v>
      </c>
      <c r="C981" s="3">
        <v>73</v>
      </c>
      <c r="D981" s="3">
        <v>15</v>
      </c>
      <c r="E981" s="3">
        <v>290.986</v>
      </c>
      <c r="F981" s="4" t="str">
        <f>HYPERLINK("http://141.218.60.56/~jnz1568/getInfo.php?workbook=18_08.xlsx&amp;sheet=A0&amp;row=981&amp;col=6&amp;number=48050&amp;sourceID=14","48050")</f>
        <v>48050</v>
      </c>
      <c r="G981" s="4" t="str">
        <f>HYPERLINK("http://141.218.60.56/~jnz1568/getInfo.php?workbook=18_08.xlsx&amp;sheet=A0&amp;row=981&amp;col=7&amp;number=0&amp;sourceID=14","0")</f>
        <v>0</v>
      </c>
    </row>
    <row r="982" spans="1:7">
      <c r="A982" s="3">
        <v>18</v>
      </c>
      <c r="B982" s="3">
        <v>8</v>
      </c>
      <c r="C982" s="3">
        <v>74</v>
      </c>
      <c r="D982" s="3">
        <v>15</v>
      </c>
      <c r="E982" s="3">
        <v>281.112</v>
      </c>
      <c r="F982" s="4" t="str">
        <f>HYPERLINK("http://141.218.60.56/~jnz1568/getInfo.php?workbook=18_08.xlsx&amp;sheet=A0&amp;row=982&amp;col=6&amp;number=2408&amp;sourceID=14","2408")</f>
        <v>2408</v>
      </c>
      <c r="G982" s="4" t="str">
        <f>HYPERLINK("http://141.218.60.56/~jnz1568/getInfo.php?workbook=18_08.xlsx&amp;sheet=A0&amp;row=982&amp;col=7&amp;number=0&amp;sourceID=14","0")</f>
        <v>0</v>
      </c>
    </row>
    <row r="983" spans="1:7">
      <c r="A983" s="3">
        <v>18</v>
      </c>
      <c r="B983" s="3">
        <v>8</v>
      </c>
      <c r="C983" s="3">
        <v>75</v>
      </c>
      <c r="D983" s="3">
        <v>15</v>
      </c>
      <c r="E983" s="3">
        <v>-277.085</v>
      </c>
      <c r="F983" s="4" t="str">
        <f>HYPERLINK("http://141.218.60.56/~jnz1568/getInfo.php?workbook=18_08.xlsx&amp;sheet=A0&amp;row=983&amp;col=6&amp;number=5.742&amp;sourceID=14","5.742")</f>
        <v>5.742</v>
      </c>
      <c r="G983" s="4" t="str">
        <f>HYPERLINK("http://141.218.60.56/~jnz1568/getInfo.php?workbook=18_08.xlsx&amp;sheet=A0&amp;row=983&amp;col=7&amp;number=0&amp;sourceID=14","0")</f>
        <v>0</v>
      </c>
    </row>
    <row r="984" spans="1:7">
      <c r="A984" s="3">
        <v>18</v>
      </c>
      <c r="B984" s="3">
        <v>8</v>
      </c>
      <c r="C984" s="3">
        <v>76</v>
      </c>
      <c r="D984" s="3">
        <v>15</v>
      </c>
      <c r="E984" s="3">
        <v>-276.892</v>
      </c>
      <c r="F984" s="4" t="str">
        <f>HYPERLINK("http://141.218.60.56/~jnz1568/getInfo.php?workbook=18_08.xlsx&amp;sheet=A0&amp;row=984&amp;col=6&amp;number=7945&amp;sourceID=14","7945")</f>
        <v>7945</v>
      </c>
      <c r="G984" s="4" t="str">
        <f>HYPERLINK("http://141.218.60.56/~jnz1568/getInfo.php?workbook=18_08.xlsx&amp;sheet=A0&amp;row=984&amp;col=7&amp;number=0&amp;sourceID=14","0")</f>
        <v>0</v>
      </c>
    </row>
    <row r="985" spans="1:7">
      <c r="A985" s="3">
        <v>18</v>
      </c>
      <c r="B985" s="3">
        <v>8</v>
      </c>
      <c r="C985" s="3">
        <v>77</v>
      </c>
      <c r="D985" s="3">
        <v>15</v>
      </c>
      <c r="E985" s="3">
        <v>281.086</v>
      </c>
      <c r="F985" s="4" t="str">
        <f>HYPERLINK("http://141.218.60.56/~jnz1568/getInfo.php?workbook=18_08.xlsx&amp;sheet=A0&amp;row=985&amp;col=6&amp;number=596.5&amp;sourceID=14","596.5")</f>
        <v>596.5</v>
      </c>
      <c r="G985" s="4" t="str">
        <f>HYPERLINK("http://141.218.60.56/~jnz1568/getInfo.php?workbook=18_08.xlsx&amp;sheet=A0&amp;row=985&amp;col=7&amp;number=0&amp;sourceID=14","0")</f>
        <v>0</v>
      </c>
    </row>
    <row r="986" spans="1:7">
      <c r="A986" s="3">
        <v>18</v>
      </c>
      <c r="B986" s="3">
        <v>8</v>
      </c>
      <c r="C986" s="3">
        <v>79</v>
      </c>
      <c r="D986" s="3">
        <v>15</v>
      </c>
      <c r="E986" s="3">
        <v>-274.191</v>
      </c>
      <c r="F986" s="4" t="str">
        <f>HYPERLINK("http://141.218.60.56/~jnz1568/getInfo.php?workbook=18_08.xlsx&amp;sheet=A0&amp;row=986&amp;col=6&amp;number=8173&amp;sourceID=14","8173")</f>
        <v>8173</v>
      </c>
      <c r="G986" s="4" t="str">
        <f>HYPERLINK("http://141.218.60.56/~jnz1568/getInfo.php?workbook=18_08.xlsx&amp;sheet=A0&amp;row=986&amp;col=7&amp;number=0&amp;sourceID=14","0")</f>
        <v>0</v>
      </c>
    </row>
    <row r="987" spans="1:7">
      <c r="A987" s="3">
        <v>18</v>
      </c>
      <c r="B987" s="3">
        <v>8</v>
      </c>
      <c r="C987" s="3">
        <v>80</v>
      </c>
      <c r="D987" s="3">
        <v>15</v>
      </c>
      <c r="E987" s="3">
        <v>-272.742</v>
      </c>
      <c r="F987" s="4" t="str">
        <f>HYPERLINK("http://141.218.60.56/~jnz1568/getInfo.php?workbook=18_08.xlsx&amp;sheet=A0&amp;row=987&amp;col=6&amp;number=6829&amp;sourceID=14","6829")</f>
        <v>6829</v>
      </c>
      <c r="G987" s="4" t="str">
        <f>HYPERLINK("http://141.218.60.56/~jnz1568/getInfo.php?workbook=18_08.xlsx&amp;sheet=A0&amp;row=987&amp;col=7&amp;number=0&amp;sourceID=14","0")</f>
        <v>0</v>
      </c>
    </row>
    <row r="988" spans="1:7">
      <c r="A988" s="3">
        <v>18</v>
      </c>
      <c r="B988" s="3">
        <v>8</v>
      </c>
      <c r="C988" s="3">
        <v>81</v>
      </c>
      <c r="D988" s="3">
        <v>15</v>
      </c>
      <c r="E988" s="3">
        <v>266.196</v>
      </c>
      <c r="F988" s="4" t="str">
        <f>HYPERLINK("http://141.218.60.56/~jnz1568/getInfo.php?workbook=18_08.xlsx&amp;sheet=A0&amp;row=988&amp;col=6&amp;number=19.29&amp;sourceID=14","19.29")</f>
        <v>19.29</v>
      </c>
      <c r="G988" s="4" t="str">
        <f>HYPERLINK("http://141.218.60.56/~jnz1568/getInfo.php?workbook=18_08.xlsx&amp;sheet=A0&amp;row=988&amp;col=7&amp;number=0&amp;sourceID=14","0")</f>
        <v>0</v>
      </c>
    </row>
    <row r="989" spans="1:7">
      <c r="A989" s="3">
        <v>18</v>
      </c>
      <c r="B989" s="3">
        <v>8</v>
      </c>
      <c r="C989" s="3">
        <v>82</v>
      </c>
      <c r="D989" s="3">
        <v>15</v>
      </c>
      <c r="E989" s="3">
        <v>263.475</v>
      </c>
      <c r="F989" s="4" t="str">
        <f>HYPERLINK("http://141.218.60.56/~jnz1568/getInfo.php?workbook=18_08.xlsx&amp;sheet=A0&amp;row=989&amp;col=6&amp;number=157.6&amp;sourceID=14","157.6")</f>
        <v>157.6</v>
      </c>
      <c r="G989" s="4" t="str">
        <f>HYPERLINK("http://141.218.60.56/~jnz1568/getInfo.php?workbook=18_08.xlsx&amp;sheet=A0&amp;row=989&amp;col=7&amp;number=0&amp;sourceID=14","0")</f>
        <v>0</v>
      </c>
    </row>
    <row r="990" spans="1:7">
      <c r="A990" s="3">
        <v>18</v>
      </c>
      <c r="B990" s="3">
        <v>8</v>
      </c>
      <c r="C990" s="3">
        <v>83</v>
      </c>
      <c r="D990" s="3">
        <v>15</v>
      </c>
      <c r="E990" s="3">
        <v>256.85</v>
      </c>
      <c r="F990" s="4" t="str">
        <f>HYPERLINK("http://141.218.60.56/~jnz1568/getInfo.php?workbook=18_08.xlsx&amp;sheet=A0&amp;row=990&amp;col=6&amp;number=0.002434&amp;sourceID=14","0.002434")</f>
        <v>0.002434</v>
      </c>
      <c r="G990" s="4" t="str">
        <f>HYPERLINK("http://141.218.60.56/~jnz1568/getInfo.php?workbook=18_08.xlsx&amp;sheet=A0&amp;row=990&amp;col=7&amp;number=0&amp;sourceID=14","0")</f>
        <v>0</v>
      </c>
    </row>
    <row r="991" spans="1:7">
      <c r="A991" s="3">
        <v>18</v>
      </c>
      <c r="B991" s="3">
        <v>8</v>
      </c>
      <c r="C991" s="3">
        <v>84</v>
      </c>
      <c r="D991" s="3">
        <v>15</v>
      </c>
      <c r="E991" s="3">
        <v>263.274</v>
      </c>
      <c r="F991" s="4" t="str">
        <f>HYPERLINK("http://141.218.60.56/~jnz1568/getInfo.php?workbook=18_08.xlsx&amp;sheet=A0&amp;row=991&amp;col=6&amp;number=109.1&amp;sourceID=14","109.1")</f>
        <v>109.1</v>
      </c>
      <c r="G991" s="4" t="str">
        <f>HYPERLINK("http://141.218.60.56/~jnz1568/getInfo.php?workbook=18_08.xlsx&amp;sheet=A0&amp;row=991&amp;col=7&amp;number=0&amp;sourceID=14","0")</f>
        <v>0</v>
      </c>
    </row>
    <row r="992" spans="1:7">
      <c r="A992" s="3">
        <v>18</v>
      </c>
      <c r="B992" s="3">
        <v>8</v>
      </c>
      <c r="C992" s="3">
        <v>85</v>
      </c>
      <c r="D992" s="3">
        <v>15</v>
      </c>
      <c r="E992" s="3">
        <v>253.124</v>
      </c>
      <c r="F992" s="4" t="str">
        <f>HYPERLINK("http://141.218.60.56/~jnz1568/getInfo.php?workbook=18_08.xlsx&amp;sheet=A0&amp;row=992&amp;col=6&amp;number=327.2&amp;sourceID=14","327.2")</f>
        <v>327.2</v>
      </c>
      <c r="G992" s="4" t="str">
        <f>HYPERLINK("http://141.218.60.56/~jnz1568/getInfo.php?workbook=18_08.xlsx&amp;sheet=A0&amp;row=992&amp;col=7&amp;number=0&amp;sourceID=14","0")</f>
        <v>0</v>
      </c>
    </row>
    <row r="993" spans="1:7">
      <c r="A993" s="3">
        <v>18</v>
      </c>
      <c r="B993" s="3">
        <v>8</v>
      </c>
      <c r="C993" s="3">
        <v>86</v>
      </c>
      <c r="D993" s="3">
        <v>15</v>
      </c>
      <c r="E993" s="3">
        <v>234.872</v>
      </c>
      <c r="F993" s="4" t="str">
        <f>HYPERLINK("http://141.218.60.56/~jnz1568/getInfo.php?workbook=18_08.xlsx&amp;sheet=A0&amp;row=993&amp;col=6&amp;number=8.796&amp;sourceID=14","8.796")</f>
        <v>8.796</v>
      </c>
      <c r="G993" s="4" t="str">
        <f>HYPERLINK("http://141.218.60.56/~jnz1568/getInfo.php?workbook=18_08.xlsx&amp;sheet=A0&amp;row=993&amp;col=7&amp;number=0&amp;sourceID=14","0")</f>
        <v>0</v>
      </c>
    </row>
    <row r="994" spans="1:7">
      <c r="A994" s="3">
        <v>18</v>
      </c>
      <c r="B994" s="3">
        <v>8</v>
      </c>
      <c r="C994" s="3">
        <v>17</v>
      </c>
      <c r="D994" s="3">
        <v>16</v>
      </c>
      <c r="E994" s="3">
        <v>6679.581</v>
      </c>
      <c r="F994" s="4" t="str">
        <f>HYPERLINK("http://141.218.60.56/~jnz1568/getInfo.php?workbook=18_08.xlsx&amp;sheet=A0&amp;row=994&amp;col=6&amp;number=236.3&amp;sourceID=14","236.3")</f>
        <v>236.3</v>
      </c>
      <c r="G994" s="4" t="str">
        <f>HYPERLINK("http://141.218.60.56/~jnz1568/getInfo.php?workbook=18_08.xlsx&amp;sheet=A0&amp;row=994&amp;col=7&amp;number=0&amp;sourceID=14","0")</f>
        <v>0</v>
      </c>
    </row>
    <row r="995" spans="1:7">
      <c r="A995" s="3">
        <v>18</v>
      </c>
      <c r="B995" s="3">
        <v>8</v>
      </c>
      <c r="C995" s="3">
        <v>18</v>
      </c>
      <c r="D995" s="3">
        <v>16</v>
      </c>
      <c r="E995" s="3">
        <v>6215.813</v>
      </c>
      <c r="F995" s="4" t="str">
        <f>HYPERLINK("http://141.218.60.56/~jnz1568/getInfo.php?workbook=18_08.xlsx&amp;sheet=A0&amp;row=995&amp;col=6&amp;number=0.6653&amp;sourceID=14","0.6653")</f>
        <v>0.6653</v>
      </c>
      <c r="G995" s="4" t="str">
        <f>HYPERLINK("http://141.218.60.56/~jnz1568/getInfo.php?workbook=18_08.xlsx&amp;sheet=A0&amp;row=995&amp;col=7&amp;number=0&amp;sourceID=14","0")</f>
        <v>0</v>
      </c>
    </row>
    <row r="996" spans="1:7">
      <c r="A996" s="3">
        <v>18</v>
      </c>
      <c r="B996" s="3">
        <v>8</v>
      </c>
      <c r="C996" s="3">
        <v>19</v>
      </c>
      <c r="D996" s="3">
        <v>16</v>
      </c>
      <c r="E996" s="3">
        <v>5410.084</v>
      </c>
      <c r="F996" s="4" t="str">
        <f>HYPERLINK("http://141.218.60.56/~jnz1568/getInfo.php?workbook=18_08.xlsx&amp;sheet=A0&amp;row=996&amp;col=6&amp;number=35.46&amp;sourceID=14","35.46")</f>
        <v>35.46</v>
      </c>
      <c r="G996" s="4" t="str">
        <f>HYPERLINK("http://141.218.60.56/~jnz1568/getInfo.php?workbook=18_08.xlsx&amp;sheet=A0&amp;row=996&amp;col=7&amp;number=0&amp;sourceID=14","0")</f>
        <v>0</v>
      </c>
    </row>
    <row r="997" spans="1:7">
      <c r="A997" s="3">
        <v>18</v>
      </c>
      <c r="B997" s="3">
        <v>8</v>
      </c>
      <c r="C997" s="3">
        <v>20</v>
      </c>
      <c r="D997" s="3">
        <v>16</v>
      </c>
      <c r="E997" s="3">
        <v>-2269.094</v>
      </c>
      <c r="F997" s="4" t="str">
        <f>HYPERLINK("http://141.218.60.56/~jnz1568/getInfo.php?workbook=18_08.xlsx&amp;sheet=A0&amp;row=997&amp;col=6&amp;number=529000&amp;sourceID=14","529000")</f>
        <v>529000</v>
      </c>
      <c r="G997" s="4" t="str">
        <f>HYPERLINK("http://141.218.60.56/~jnz1568/getInfo.php?workbook=18_08.xlsx&amp;sheet=A0&amp;row=997&amp;col=7&amp;number=0&amp;sourceID=14","0")</f>
        <v>0</v>
      </c>
    </row>
    <row r="998" spans="1:7">
      <c r="A998" s="3">
        <v>18</v>
      </c>
      <c r="B998" s="3">
        <v>8</v>
      </c>
      <c r="C998" s="3">
        <v>21</v>
      </c>
      <c r="D998" s="3">
        <v>16</v>
      </c>
      <c r="E998" s="3">
        <v>-2206.721</v>
      </c>
      <c r="F998" s="4" t="str">
        <f>HYPERLINK("http://141.218.60.56/~jnz1568/getInfo.php?workbook=18_08.xlsx&amp;sheet=A0&amp;row=998&amp;col=6&amp;number=56520&amp;sourceID=14","56520")</f>
        <v>56520</v>
      </c>
      <c r="G998" s="4" t="str">
        <f>HYPERLINK("http://141.218.60.56/~jnz1568/getInfo.php?workbook=18_08.xlsx&amp;sheet=A0&amp;row=998&amp;col=7&amp;number=0&amp;sourceID=14","0")</f>
        <v>0</v>
      </c>
    </row>
    <row r="999" spans="1:7">
      <c r="A999" s="3">
        <v>18</v>
      </c>
      <c r="B999" s="3">
        <v>8</v>
      </c>
      <c r="C999" s="3">
        <v>22</v>
      </c>
      <c r="D999" s="3">
        <v>16</v>
      </c>
      <c r="E999" s="3">
        <v>-2180.574</v>
      </c>
      <c r="F999" s="4" t="str">
        <f>HYPERLINK("http://141.218.60.56/~jnz1568/getInfo.php?workbook=18_08.xlsx&amp;sheet=A0&amp;row=999&amp;col=6&amp;number=4.907e-05&amp;sourceID=14","4.907e-05")</f>
        <v>4.907e-05</v>
      </c>
      <c r="G999" s="4" t="str">
        <f>HYPERLINK("http://141.218.60.56/~jnz1568/getInfo.php?workbook=18_08.xlsx&amp;sheet=A0&amp;row=999&amp;col=7&amp;number=0&amp;sourceID=14","0")</f>
        <v>0</v>
      </c>
    </row>
    <row r="1000" spans="1:7">
      <c r="A1000" s="3">
        <v>18</v>
      </c>
      <c r="B1000" s="3">
        <v>8</v>
      </c>
      <c r="C1000" s="3">
        <v>23</v>
      </c>
      <c r="D1000" s="3">
        <v>16</v>
      </c>
      <c r="E1000" s="3">
        <v>-3253.348</v>
      </c>
      <c r="F1000" s="4" t="str">
        <f>HYPERLINK("http://141.218.60.56/~jnz1568/getInfo.php?workbook=18_08.xlsx&amp;sheet=A0&amp;row=1000&amp;col=6&amp;number=0.0007713&amp;sourceID=14","0.0007713")</f>
        <v>0.0007713</v>
      </c>
      <c r="G1000" s="4" t="str">
        <f>HYPERLINK("http://141.218.60.56/~jnz1568/getInfo.php?workbook=18_08.xlsx&amp;sheet=A0&amp;row=1000&amp;col=7&amp;number=0&amp;sourceID=14","0")</f>
        <v>0</v>
      </c>
    </row>
    <row r="1001" spans="1:7">
      <c r="A1001" s="3">
        <v>18</v>
      </c>
      <c r="B1001" s="3">
        <v>8</v>
      </c>
      <c r="C1001" s="3">
        <v>24</v>
      </c>
      <c r="D1001" s="3">
        <v>16</v>
      </c>
      <c r="E1001" s="3">
        <v>-3094.462</v>
      </c>
      <c r="F1001" s="4" t="str">
        <f>HYPERLINK("http://141.218.60.56/~jnz1568/getInfo.php?workbook=18_08.xlsx&amp;sheet=A0&amp;row=1001&amp;col=6&amp;number=48.7&amp;sourceID=14","48.7")</f>
        <v>48.7</v>
      </c>
      <c r="G1001" s="4" t="str">
        <f>HYPERLINK("http://141.218.60.56/~jnz1568/getInfo.php?workbook=18_08.xlsx&amp;sheet=A0&amp;row=1001&amp;col=7&amp;number=0&amp;sourceID=14","0")</f>
        <v>0</v>
      </c>
    </row>
    <row r="1002" spans="1:7">
      <c r="A1002" s="3">
        <v>18</v>
      </c>
      <c r="B1002" s="3">
        <v>8</v>
      </c>
      <c r="C1002" s="3">
        <v>25</v>
      </c>
      <c r="D1002" s="3">
        <v>16</v>
      </c>
      <c r="E1002" s="3">
        <v>2458.271</v>
      </c>
      <c r="F1002" s="4" t="str">
        <f>HYPERLINK("http://141.218.60.56/~jnz1568/getInfo.php?workbook=18_08.xlsx&amp;sheet=A0&amp;row=1002&amp;col=6&amp;number=140.9&amp;sourceID=14","140.9")</f>
        <v>140.9</v>
      </c>
      <c r="G1002" s="4" t="str">
        <f>HYPERLINK("http://141.218.60.56/~jnz1568/getInfo.php?workbook=18_08.xlsx&amp;sheet=A0&amp;row=1002&amp;col=7&amp;number=0&amp;sourceID=14","0")</f>
        <v>0</v>
      </c>
    </row>
    <row r="1003" spans="1:7">
      <c r="A1003" s="3">
        <v>18</v>
      </c>
      <c r="B1003" s="3">
        <v>8</v>
      </c>
      <c r="C1003" s="3">
        <v>26</v>
      </c>
      <c r="D1003" s="3">
        <v>16</v>
      </c>
      <c r="E1003" s="3">
        <v>2189.621</v>
      </c>
      <c r="F1003" s="4" t="str">
        <f>HYPERLINK("http://141.218.60.56/~jnz1568/getInfo.php?workbook=18_08.xlsx&amp;sheet=A0&amp;row=1003&amp;col=6&amp;number=46.39&amp;sourceID=14","46.39")</f>
        <v>46.39</v>
      </c>
      <c r="G1003" s="4" t="str">
        <f>HYPERLINK("http://141.218.60.56/~jnz1568/getInfo.php?workbook=18_08.xlsx&amp;sheet=A0&amp;row=1003&amp;col=7&amp;number=0&amp;sourceID=14","0")</f>
        <v>0</v>
      </c>
    </row>
    <row r="1004" spans="1:7">
      <c r="A1004" s="3">
        <v>18</v>
      </c>
      <c r="B1004" s="3">
        <v>8</v>
      </c>
      <c r="C1004" s="3">
        <v>27</v>
      </c>
      <c r="D1004" s="3">
        <v>16</v>
      </c>
      <c r="E1004" s="3">
        <v>-892.696</v>
      </c>
      <c r="F1004" s="4" t="str">
        <f>HYPERLINK("http://141.218.60.56/~jnz1568/getInfo.php?workbook=18_08.xlsx&amp;sheet=A0&amp;row=1004&amp;col=6&amp;number=352500000&amp;sourceID=14","352500000")</f>
        <v>352500000</v>
      </c>
      <c r="G1004" s="4" t="str">
        <f>HYPERLINK("http://141.218.60.56/~jnz1568/getInfo.php?workbook=18_08.xlsx&amp;sheet=A0&amp;row=1004&amp;col=7&amp;number=0&amp;sourceID=14","0")</f>
        <v>0</v>
      </c>
    </row>
    <row r="1005" spans="1:7">
      <c r="A1005" s="3">
        <v>18</v>
      </c>
      <c r="B1005" s="3">
        <v>8</v>
      </c>
      <c r="C1005" s="3">
        <v>28</v>
      </c>
      <c r="D1005" s="3">
        <v>16</v>
      </c>
      <c r="E1005" s="3">
        <v>-919.995</v>
      </c>
      <c r="F1005" s="4" t="str">
        <f>HYPERLINK("http://141.218.60.56/~jnz1568/getInfo.php?workbook=18_08.xlsx&amp;sheet=A0&amp;row=1005&amp;col=6&amp;number=3736000&amp;sourceID=14","3736000")</f>
        <v>3736000</v>
      </c>
      <c r="G1005" s="4" t="str">
        <f>HYPERLINK("http://141.218.60.56/~jnz1568/getInfo.php?workbook=18_08.xlsx&amp;sheet=A0&amp;row=1005&amp;col=7&amp;number=0&amp;sourceID=14","0")</f>
        <v>0</v>
      </c>
    </row>
    <row r="1006" spans="1:7">
      <c r="A1006" s="3">
        <v>18</v>
      </c>
      <c r="B1006" s="3">
        <v>8</v>
      </c>
      <c r="C1006" s="3">
        <v>29</v>
      </c>
      <c r="D1006" s="3">
        <v>16</v>
      </c>
      <c r="E1006" s="3">
        <v>-886.82</v>
      </c>
      <c r="F1006" s="4" t="str">
        <f>HYPERLINK("http://141.218.60.56/~jnz1568/getInfo.php?workbook=18_08.xlsx&amp;sheet=A0&amp;row=1006&amp;col=6&amp;number=3624000&amp;sourceID=14","3624000")</f>
        <v>3624000</v>
      </c>
      <c r="G1006" s="4" t="str">
        <f>HYPERLINK("http://141.218.60.56/~jnz1568/getInfo.php?workbook=18_08.xlsx&amp;sheet=A0&amp;row=1006&amp;col=7&amp;number=0&amp;sourceID=14","0")</f>
        <v>0</v>
      </c>
    </row>
    <row r="1007" spans="1:7">
      <c r="A1007" s="3">
        <v>18</v>
      </c>
      <c r="B1007" s="3">
        <v>8</v>
      </c>
      <c r="C1007" s="3">
        <v>30</v>
      </c>
      <c r="D1007" s="3">
        <v>16</v>
      </c>
      <c r="E1007" s="3">
        <v>-998.583</v>
      </c>
      <c r="F1007" s="4" t="str">
        <f>HYPERLINK("http://141.218.60.56/~jnz1568/getInfo.php?workbook=18_08.xlsx&amp;sheet=A0&amp;row=1007&amp;col=6&amp;number=201300000&amp;sourceID=14","201300000")</f>
        <v>201300000</v>
      </c>
      <c r="G1007" s="4" t="str">
        <f>HYPERLINK("http://141.218.60.56/~jnz1568/getInfo.php?workbook=18_08.xlsx&amp;sheet=A0&amp;row=1007&amp;col=7&amp;number=0&amp;sourceID=14","0")</f>
        <v>0</v>
      </c>
    </row>
    <row r="1008" spans="1:7">
      <c r="A1008" s="3">
        <v>18</v>
      </c>
      <c r="B1008" s="3">
        <v>8</v>
      </c>
      <c r="C1008" s="3">
        <v>31</v>
      </c>
      <c r="D1008" s="3">
        <v>16</v>
      </c>
      <c r="E1008" s="3">
        <v>-840.875</v>
      </c>
      <c r="F1008" s="4" t="str">
        <f>HYPERLINK("http://141.218.60.56/~jnz1568/getInfo.php?workbook=18_08.xlsx&amp;sheet=A0&amp;row=1008&amp;col=6&amp;number=2056000&amp;sourceID=14","2056000")</f>
        <v>2056000</v>
      </c>
      <c r="G1008" s="4" t="str">
        <f>HYPERLINK("http://141.218.60.56/~jnz1568/getInfo.php?workbook=18_08.xlsx&amp;sheet=A0&amp;row=1008&amp;col=7&amp;number=0&amp;sourceID=14","0")</f>
        <v>0</v>
      </c>
    </row>
    <row r="1009" spans="1:7">
      <c r="A1009" s="3">
        <v>18</v>
      </c>
      <c r="B1009" s="3">
        <v>8</v>
      </c>
      <c r="C1009" s="3">
        <v>32</v>
      </c>
      <c r="D1009" s="3">
        <v>16</v>
      </c>
      <c r="E1009" s="3">
        <v>-820.812</v>
      </c>
      <c r="F1009" s="4" t="str">
        <f>HYPERLINK("http://141.218.60.56/~jnz1568/getInfo.php?workbook=18_08.xlsx&amp;sheet=A0&amp;row=1009&amp;col=6&amp;number=7896000&amp;sourceID=14","7896000")</f>
        <v>7896000</v>
      </c>
      <c r="G1009" s="4" t="str">
        <f>HYPERLINK("http://141.218.60.56/~jnz1568/getInfo.php?workbook=18_08.xlsx&amp;sheet=A0&amp;row=1009&amp;col=7&amp;number=0&amp;sourceID=14","0")</f>
        <v>0</v>
      </c>
    </row>
    <row r="1010" spans="1:7">
      <c r="A1010" s="3">
        <v>18</v>
      </c>
      <c r="B1010" s="3">
        <v>8</v>
      </c>
      <c r="C1010" s="3">
        <v>33</v>
      </c>
      <c r="D1010" s="3">
        <v>16</v>
      </c>
      <c r="E1010" s="3">
        <v>-800.617</v>
      </c>
      <c r="F1010" s="4" t="str">
        <f>HYPERLINK("http://141.218.60.56/~jnz1568/getInfo.php?workbook=18_08.xlsx&amp;sheet=A0&amp;row=1010&amp;col=6&amp;number=0.1039&amp;sourceID=14","0.1039")</f>
        <v>0.1039</v>
      </c>
      <c r="G1010" s="4" t="str">
        <f>HYPERLINK("http://141.218.60.56/~jnz1568/getInfo.php?workbook=18_08.xlsx&amp;sheet=A0&amp;row=1010&amp;col=7&amp;number=0&amp;sourceID=14","0")</f>
        <v>0</v>
      </c>
    </row>
    <row r="1011" spans="1:7">
      <c r="A1011" s="3">
        <v>18</v>
      </c>
      <c r="B1011" s="3">
        <v>8</v>
      </c>
      <c r="C1011" s="3">
        <v>34</v>
      </c>
      <c r="D1011" s="3">
        <v>16</v>
      </c>
      <c r="E1011" s="3">
        <v>-780.612</v>
      </c>
      <c r="F1011" s="4" t="str">
        <f>HYPERLINK("http://141.218.60.56/~jnz1568/getInfo.php?workbook=18_08.xlsx&amp;sheet=A0&amp;row=1011&amp;col=6&amp;number=1256000000&amp;sourceID=14","1256000000")</f>
        <v>1256000000</v>
      </c>
      <c r="G1011" s="4" t="str">
        <f>HYPERLINK("http://141.218.60.56/~jnz1568/getInfo.php?workbook=18_08.xlsx&amp;sheet=A0&amp;row=1011&amp;col=7&amp;number=0&amp;sourceID=14","0")</f>
        <v>0</v>
      </c>
    </row>
    <row r="1012" spans="1:7">
      <c r="A1012" s="3">
        <v>18</v>
      </c>
      <c r="B1012" s="3">
        <v>8</v>
      </c>
      <c r="C1012" s="3">
        <v>35</v>
      </c>
      <c r="D1012" s="3">
        <v>16</v>
      </c>
      <c r="E1012" s="3">
        <v>-619.588</v>
      </c>
      <c r="F1012" s="4" t="str">
        <f>HYPERLINK("http://141.218.60.56/~jnz1568/getInfo.php?workbook=18_08.xlsx&amp;sheet=A0&amp;row=1012&amp;col=6&amp;number=0.191&amp;sourceID=14","0.191")</f>
        <v>0.191</v>
      </c>
      <c r="G1012" s="4" t="str">
        <f>HYPERLINK("http://141.218.60.56/~jnz1568/getInfo.php?workbook=18_08.xlsx&amp;sheet=A0&amp;row=1012&amp;col=7&amp;number=0&amp;sourceID=14","0")</f>
        <v>0</v>
      </c>
    </row>
    <row r="1013" spans="1:7">
      <c r="A1013" s="3">
        <v>18</v>
      </c>
      <c r="B1013" s="3">
        <v>8</v>
      </c>
      <c r="C1013" s="3">
        <v>36</v>
      </c>
      <c r="D1013" s="3">
        <v>16</v>
      </c>
      <c r="E1013" s="3">
        <v>-584.186</v>
      </c>
      <c r="F1013" s="4" t="str">
        <f>HYPERLINK("http://141.218.60.56/~jnz1568/getInfo.php?workbook=18_08.xlsx&amp;sheet=A0&amp;row=1013&amp;col=6&amp;number=12010000&amp;sourceID=14","12010000")</f>
        <v>12010000</v>
      </c>
      <c r="G1013" s="4" t="str">
        <f>HYPERLINK("http://141.218.60.56/~jnz1568/getInfo.php?workbook=18_08.xlsx&amp;sheet=A0&amp;row=1013&amp;col=7&amp;number=0&amp;sourceID=14","0")</f>
        <v>0</v>
      </c>
    </row>
    <row r="1014" spans="1:7">
      <c r="A1014" s="3">
        <v>18</v>
      </c>
      <c r="B1014" s="3">
        <v>8</v>
      </c>
      <c r="C1014" s="3">
        <v>37</v>
      </c>
      <c r="D1014" s="3">
        <v>16</v>
      </c>
      <c r="E1014" s="3">
        <v>603.992</v>
      </c>
      <c r="F1014" s="4" t="str">
        <f>HYPERLINK("http://141.218.60.56/~jnz1568/getInfo.php?workbook=18_08.xlsx&amp;sheet=A0&amp;row=1014&amp;col=6&amp;number=189300000&amp;sourceID=14","189300000")</f>
        <v>189300000</v>
      </c>
      <c r="G1014" s="4" t="str">
        <f>HYPERLINK("http://141.218.60.56/~jnz1568/getInfo.php?workbook=18_08.xlsx&amp;sheet=A0&amp;row=1014&amp;col=7&amp;number=0&amp;sourceID=14","0")</f>
        <v>0</v>
      </c>
    </row>
    <row r="1015" spans="1:7">
      <c r="A1015" s="3">
        <v>18</v>
      </c>
      <c r="B1015" s="3">
        <v>8</v>
      </c>
      <c r="C1015" s="3">
        <v>38</v>
      </c>
      <c r="D1015" s="3">
        <v>16</v>
      </c>
      <c r="E1015" s="3">
        <v>-544.554</v>
      </c>
      <c r="F1015" s="4" t="str">
        <f>HYPERLINK("http://141.218.60.56/~jnz1568/getInfo.php?workbook=18_08.xlsx&amp;sheet=A0&amp;row=1015&amp;col=6&amp;number=0.03752&amp;sourceID=14","0.03752")</f>
        <v>0.03752</v>
      </c>
      <c r="G1015" s="4" t="str">
        <f>HYPERLINK("http://141.218.60.56/~jnz1568/getInfo.php?workbook=18_08.xlsx&amp;sheet=A0&amp;row=1015&amp;col=7&amp;number=0&amp;sourceID=14","0")</f>
        <v>0</v>
      </c>
    </row>
    <row r="1016" spans="1:7">
      <c r="A1016" s="3">
        <v>18</v>
      </c>
      <c r="B1016" s="3">
        <v>8</v>
      </c>
      <c r="C1016" s="3">
        <v>39</v>
      </c>
      <c r="D1016" s="3">
        <v>16</v>
      </c>
      <c r="E1016" s="3">
        <v>-544.277</v>
      </c>
      <c r="F1016" s="4" t="str">
        <f>HYPERLINK("http://141.218.60.56/~jnz1568/getInfo.php?workbook=18_08.xlsx&amp;sheet=A0&amp;row=1016&amp;col=6&amp;number=0.02326&amp;sourceID=14","0.02326")</f>
        <v>0.02326</v>
      </c>
      <c r="G1016" s="4" t="str">
        <f>HYPERLINK("http://141.218.60.56/~jnz1568/getInfo.php?workbook=18_08.xlsx&amp;sheet=A0&amp;row=1016&amp;col=7&amp;number=0&amp;sourceID=14","0")</f>
        <v>0</v>
      </c>
    </row>
    <row r="1017" spans="1:7">
      <c r="A1017" s="3">
        <v>18</v>
      </c>
      <c r="B1017" s="3">
        <v>8</v>
      </c>
      <c r="C1017" s="3">
        <v>40</v>
      </c>
      <c r="D1017" s="3">
        <v>16</v>
      </c>
      <c r="E1017" s="3">
        <v>565.78</v>
      </c>
      <c r="F1017" s="4" t="str">
        <f>HYPERLINK("http://141.218.60.56/~jnz1568/getInfo.php?workbook=18_08.xlsx&amp;sheet=A0&amp;row=1017&amp;col=6&amp;number=0.01222&amp;sourceID=14","0.01222")</f>
        <v>0.01222</v>
      </c>
      <c r="G1017" s="4" t="str">
        <f>HYPERLINK("http://141.218.60.56/~jnz1568/getInfo.php?workbook=18_08.xlsx&amp;sheet=A0&amp;row=1017&amp;col=7&amp;number=0&amp;sourceID=14","0")</f>
        <v>0</v>
      </c>
    </row>
    <row r="1018" spans="1:7">
      <c r="A1018" s="3">
        <v>18</v>
      </c>
      <c r="B1018" s="3">
        <v>8</v>
      </c>
      <c r="C1018" s="3">
        <v>41</v>
      </c>
      <c r="D1018" s="3">
        <v>16</v>
      </c>
      <c r="E1018" s="3">
        <v>-543.095</v>
      </c>
      <c r="F1018" s="4" t="str">
        <f>HYPERLINK("http://141.218.60.56/~jnz1568/getInfo.php?workbook=18_08.xlsx&amp;sheet=A0&amp;row=1018&amp;col=6&amp;number=0.03281&amp;sourceID=14","0.03281")</f>
        <v>0.03281</v>
      </c>
      <c r="G1018" s="4" t="str">
        <f>HYPERLINK("http://141.218.60.56/~jnz1568/getInfo.php?workbook=18_08.xlsx&amp;sheet=A0&amp;row=1018&amp;col=7&amp;number=0&amp;sourceID=14","0")</f>
        <v>0</v>
      </c>
    </row>
    <row r="1019" spans="1:7">
      <c r="A1019" s="3">
        <v>18</v>
      </c>
      <c r="B1019" s="3">
        <v>8</v>
      </c>
      <c r="C1019" s="3">
        <v>42</v>
      </c>
      <c r="D1019" s="3">
        <v>16</v>
      </c>
      <c r="E1019" s="3">
        <v>-541.942</v>
      </c>
      <c r="F1019" s="4" t="str">
        <f>HYPERLINK("http://141.218.60.56/~jnz1568/getInfo.php?workbook=18_08.xlsx&amp;sheet=A0&amp;row=1019&amp;col=6&amp;number=0.0307&amp;sourceID=14","0.0307")</f>
        <v>0.0307</v>
      </c>
      <c r="G1019" s="4" t="str">
        <f>HYPERLINK("http://141.218.60.56/~jnz1568/getInfo.php?workbook=18_08.xlsx&amp;sheet=A0&amp;row=1019&amp;col=7&amp;number=0&amp;sourceID=14","0")</f>
        <v>0</v>
      </c>
    </row>
    <row r="1020" spans="1:7">
      <c r="A1020" s="3">
        <v>18</v>
      </c>
      <c r="B1020" s="3">
        <v>8</v>
      </c>
      <c r="C1020" s="3">
        <v>43</v>
      </c>
      <c r="D1020" s="3">
        <v>16</v>
      </c>
      <c r="E1020" s="3">
        <v>-583.317</v>
      </c>
      <c r="F1020" s="4" t="str">
        <f>HYPERLINK("http://141.218.60.56/~jnz1568/getInfo.php?workbook=18_08.xlsx&amp;sheet=A0&amp;row=1020&amp;col=6&amp;number=237500000&amp;sourceID=14","237500000")</f>
        <v>237500000</v>
      </c>
      <c r="G1020" s="4" t="str">
        <f>HYPERLINK("http://141.218.60.56/~jnz1568/getInfo.php?workbook=18_08.xlsx&amp;sheet=A0&amp;row=1020&amp;col=7&amp;number=0&amp;sourceID=14","0")</f>
        <v>0</v>
      </c>
    </row>
    <row r="1021" spans="1:7">
      <c r="A1021" s="3">
        <v>18</v>
      </c>
      <c r="B1021" s="3">
        <v>8</v>
      </c>
      <c r="C1021" s="3">
        <v>44</v>
      </c>
      <c r="D1021" s="3">
        <v>16</v>
      </c>
      <c r="E1021" s="3">
        <v>-647.981</v>
      </c>
      <c r="F1021" s="4" t="str">
        <f>HYPERLINK("http://141.218.60.56/~jnz1568/getInfo.php?workbook=18_08.xlsx&amp;sheet=A0&amp;row=1021&amp;col=6&amp;number=101700&amp;sourceID=14","101700")</f>
        <v>101700</v>
      </c>
      <c r="G1021" s="4" t="str">
        <f>HYPERLINK("http://141.218.60.56/~jnz1568/getInfo.php?workbook=18_08.xlsx&amp;sheet=A0&amp;row=1021&amp;col=7&amp;number=0&amp;sourceID=14","0")</f>
        <v>0</v>
      </c>
    </row>
    <row r="1022" spans="1:7">
      <c r="A1022" s="3">
        <v>18</v>
      </c>
      <c r="B1022" s="3">
        <v>8</v>
      </c>
      <c r="C1022" s="3">
        <v>45</v>
      </c>
      <c r="D1022" s="3">
        <v>16</v>
      </c>
      <c r="E1022" s="3">
        <v>-590</v>
      </c>
      <c r="F1022" s="4" t="str">
        <f>HYPERLINK("http://141.218.60.56/~jnz1568/getInfo.php?workbook=18_08.xlsx&amp;sheet=A0&amp;row=1022&amp;col=6&amp;number=87830000&amp;sourceID=14","87830000")</f>
        <v>87830000</v>
      </c>
      <c r="G1022" s="4" t="str">
        <f>HYPERLINK("http://141.218.60.56/~jnz1568/getInfo.php?workbook=18_08.xlsx&amp;sheet=A0&amp;row=1022&amp;col=7&amp;number=0&amp;sourceID=14","0")</f>
        <v>0</v>
      </c>
    </row>
    <row r="1023" spans="1:7">
      <c r="A1023" s="3">
        <v>18</v>
      </c>
      <c r="B1023" s="3">
        <v>8</v>
      </c>
      <c r="C1023" s="3">
        <v>46</v>
      </c>
      <c r="D1023" s="3">
        <v>16</v>
      </c>
      <c r="E1023" s="3">
        <v>-554.52</v>
      </c>
      <c r="F1023" s="4" t="str">
        <f>HYPERLINK("http://141.218.60.56/~jnz1568/getInfo.php?workbook=18_08.xlsx&amp;sheet=A0&amp;row=1023&amp;col=6&amp;number=1643000000&amp;sourceID=14","1643000000")</f>
        <v>1643000000</v>
      </c>
      <c r="G1023" s="4" t="str">
        <f>HYPERLINK("http://141.218.60.56/~jnz1568/getInfo.php?workbook=18_08.xlsx&amp;sheet=A0&amp;row=1023&amp;col=7&amp;number=0&amp;sourceID=14","0")</f>
        <v>0</v>
      </c>
    </row>
    <row r="1024" spans="1:7">
      <c r="A1024" s="3">
        <v>18</v>
      </c>
      <c r="B1024" s="3">
        <v>8</v>
      </c>
      <c r="C1024" s="3">
        <v>47</v>
      </c>
      <c r="D1024" s="3">
        <v>16</v>
      </c>
      <c r="E1024" s="3">
        <v>-571.348</v>
      </c>
      <c r="F1024" s="4" t="str">
        <f>HYPERLINK("http://141.218.60.56/~jnz1568/getInfo.php?workbook=18_08.xlsx&amp;sheet=A0&amp;row=1024&amp;col=6&amp;number=3805000&amp;sourceID=14","3805000")</f>
        <v>3805000</v>
      </c>
      <c r="G1024" s="4" t="str">
        <f>HYPERLINK("http://141.218.60.56/~jnz1568/getInfo.php?workbook=18_08.xlsx&amp;sheet=A0&amp;row=1024&amp;col=7&amp;number=0&amp;sourceID=14","0")</f>
        <v>0</v>
      </c>
    </row>
    <row r="1025" spans="1:7">
      <c r="A1025" s="3">
        <v>18</v>
      </c>
      <c r="B1025" s="3">
        <v>8</v>
      </c>
      <c r="C1025" s="3">
        <v>48</v>
      </c>
      <c r="D1025" s="3">
        <v>16</v>
      </c>
      <c r="E1025" s="3">
        <v>-541.789</v>
      </c>
      <c r="F1025" s="4" t="str">
        <f>HYPERLINK("http://141.218.60.56/~jnz1568/getInfo.php?workbook=18_08.xlsx&amp;sheet=A0&amp;row=1025&amp;col=6&amp;number=518300000&amp;sourceID=14","518300000")</f>
        <v>518300000</v>
      </c>
      <c r="G1025" s="4" t="str">
        <f>HYPERLINK("http://141.218.60.56/~jnz1568/getInfo.php?workbook=18_08.xlsx&amp;sheet=A0&amp;row=1025&amp;col=7&amp;number=0&amp;sourceID=14","0")</f>
        <v>0</v>
      </c>
    </row>
    <row r="1026" spans="1:7">
      <c r="A1026" s="3">
        <v>18</v>
      </c>
      <c r="B1026" s="3">
        <v>8</v>
      </c>
      <c r="C1026" s="3">
        <v>49</v>
      </c>
      <c r="D1026" s="3">
        <v>16</v>
      </c>
      <c r="E1026" s="3">
        <v>-512.614</v>
      </c>
      <c r="F1026" s="4" t="str">
        <f>HYPERLINK("http://141.218.60.56/~jnz1568/getInfo.php?workbook=18_08.xlsx&amp;sheet=A0&amp;row=1026&amp;col=6&amp;number=12330000&amp;sourceID=14","12330000")</f>
        <v>12330000</v>
      </c>
      <c r="G1026" s="4" t="str">
        <f>HYPERLINK("http://141.218.60.56/~jnz1568/getInfo.php?workbook=18_08.xlsx&amp;sheet=A0&amp;row=1026&amp;col=7&amp;number=0&amp;sourceID=14","0")</f>
        <v>0</v>
      </c>
    </row>
    <row r="1027" spans="1:7">
      <c r="A1027" s="3">
        <v>18</v>
      </c>
      <c r="B1027" s="3">
        <v>8</v>
      </c>
      <c r="C1027" s="3">
        <v>50</v>
      </c>
      <c r="D1027" s="3">
        <v>16</v>
      </c>
      <c r="E1027" s="3">
        <v>-505.102</v>
      </c>
      <c r="F1027" s="4" t="str">
        <f>HYPERLINK("http://141.218.60.56/~jnz1568/getInfo.php?workbook=18_08.xlsx&amp;sheet=A0&amp;row=1027&amp;col=6&amp;number=16060000&amp;sourceID=14","16060000")</f>
        <v>16060000</v>
      </c>
      <c r="G1027" s="4" t="str">
        <f>HYPERLINK("http://141.218.60.56/~jnz1568/getInfo.php?workbook=18_08.xlsx&amp;sheet=A0&amp;row=1027&amp;col=7&amp;number=0&amp;sourceID=14","0")</f>
        <v>0</v>
      </c>
    </row>
    <row r="1028" spans="1:7">
      <c r="A1028" s="3">
        <v>18</v>
      </c>
      <c r="B1028" s="3">
        <v>8</v>
      </c>
      <c r="C1028" s="3">
        <v>51</v>
      </c>
      <c r="D1028" s="3">
        <v>16</v>
      </c>
      <c r="E1028" s="3">
        <v>450.258</v>
      </c>
      <c r="F1028" s="4" t="str">
        <f>HYPERLINK("http://141.218.60.56/~jnz1568/getInfo.php?workbook=18_08.xlsx&amp;sheet=A0&amp;row=1028&amp;col=6&amp;number=68.67&amp;sourceID=14","68.67")</f>
        <v>68.67</v>
      </c>
      <c r="G1028" s="4" t="str">
        <f>HYPERLINK("http://141.218.60.56/~jnz1568/getInfo.php?workbook=18_08.xlsx&amp;sheet=A0&amp;row=1028&amp;col=7&amp;number=0&amp;sourceID=14","0")</f>
        <v>0</v>
      </c>
    </row>
    <row r="1029" spans="1:7">
      <c r="A1029" s="3">
        <v>18</v>
      </c>
      <c r="B1029" s="3">
        <v>8</v>
      </c>
      <c r="C1029" s="3">
        <v>52</v>
      </c>
      <c r="D1029" s="3">
        <v>16</v>
      </c>
      <c r="E1029" s="3">
        <v>452.689</v>
      </c>
      <c r="F1029" s="4" t="str">
        <f>HYPERLINK("http://141.218.60.56/~jnz1568/getInfo.php?workbook=18_08.xlsx&amp;sheet=A0&amp;row=1029&amp;col=6&amp;number=43.36&amp;sourceID=14","43.36")</f>
        <v>43.36</v>
      </c>
      <c r="G1029" s="4" t="str">
        <f>HYPERLINK("http://141.218.60.56/~jnz1568/getInfo.php?workbook=18_08.xlsx&amp;sheet=A0&amp;row=1029&amp;col=7&amp;number=0&amp;sourceID=14","0")</f>
        <v>0</v>
      </c>
    </row>
    <row r="1030" spans="1:7">
      <c r="A1030" s="3">
        <v>18</v>
      </c>
      <c r="B1030" s="3">
        <v>8</v>
      </c>
      <c r="C1030" s="3">
        <v>53</v>
      </c>
      <c r="D1030" s="3">
        <v>16</v>
      </c>
      <c r="E1030" s="3">
        <v>-501.621</v>
      </c>
      <c r="F1030" s="4" t="str">
        <f>HYPERLINK("http://141.218.60.56/~jnz1568/getInfo.php?workbook=18_08.xlsx&amp;sheet=A0&amp;row=1030&amp;col=6&amp;number=0.03557&amp;sourceID=14","0.03557")</f>
        <v>0.03557</v>
      </c>
      <c r="G1030" s="4" t="str">
        <f>HYPERLINK("http://141.218.60.56/~jnz1568/getInfo.php?workbook=18_08.xlsx&amp;sheet=A0&amp;row=1030&amp;col=7&amp;number=0&amp;sourceID=14","0")</f>
        <v>0</v>
      </c>
    </row>
    <row r="1031" spans="1:7">
      <c r="A1031" s="3">
        <v>18</v>
      </c>
      <c r="B1031" s="3">
        <v>8</v>
      </c>
      <c r="C1031" s="3">
        <v>54</v>
      </c>
      <c r="D1031" s="3">
        <v>16</v>
      </c>
      <c r="E1031" s="3">
        <v>450.258</v>
      </c>
      <c r="F1031" s="4" t="str">
        <f>HYPERLINK("http://141.218.60.56/~jnz1568/getInfo.php?workbook=18_08.xlsx&amp;sheet=A0&amp;row=1031&amp;col=6&amp;number=3.071&amp;sourceID=14","3.071")</f>
        <v>3.071</v>
      </c>
      <c r="G1031" s="4" t="str">
        <f>HYPERLINK("http://141.218.60.56/~jnz1568/getInfo.php?workbook=18_08.xlsx&amp;sheet=A0&amp;row=1031&amp;col=7&amp;number=0&amp;sourceID=14","0")</f>
        <v>0</v>
      </c>
    </row>
    <row r="1032" spans="1:7">
      <c r="A1032" s="3">
        <v>18</v>
      </c>
      <c r="B1032" s="3">
        <v>8</v>
      </c>
      <c r="C1032" s="3">
        <v>55</v>
      </c>
      <c r="D1032" s="3">
        <v>16</v>
      </c>
      <c r="E1032" s="3">
        <v>-436.706</v>
      </c>
      <c r="F1032" s="4" t="str">
        <f>HYPERLINK("http://141.218.60.56/~jnz1568/getInfo.php?workbook=18_08.xlsx&amp;sheet=A0&amp;row=1032&amp;col=6&amp;number=3877000000&amp;sourceID=14","3877000000")</f>
        <v>3877000000</v>
      </c>
      <c r="G1032" s="4" t="str">
        <f>HYPERLINK("http://141.218.60.56/~jnz1568/getInfo.php?workbook=18_08.xlsx&amp;sheet=A0&amp;row=1032&amp;col=7&amp;number=0&amp;sourceID=14","0")</f>
        <v>0</v>
      </c>
    </row>
    <row r="1033" spans="1:7">
      <c r="A1033" s="3">
        <v>18</v>
      </c>
      <c r="B1033" s="3">
        <v>8</v>
      </c>
      <c r="C1033" s="3">
        <v>56</v>
      </c>
      <c r="D1033" s="3">
        <v>16</v>
      </c>
      <c r="E1033" s="3">
        <v>352.24</v>
      </c>
      <c r="F1033" s="4" t="str">
        <f>HYPERLINK("http://141.218.60.56/~jnz1568/getInfo.php?workbook=18_08.xlsx&amp;sheet=A0&amp;row=1033&amp;col=6&amp;number=22.36&amp;sourceID=14","22.36")</f>
        <v>22.36</v>
      </c>
      <c r="G1033" s="4" t="str">
        <f>HYPERLINK("http://141.218.60.56/~jnz1568/getInfo.php?workbook=18_08.xlsx&amp;sheet=A0&amp;row=1033&amp;col=7&amp;number=0&amp;sourceID=14","0")</f>
        <v>0</v>
      </c>
    </row>
    <row r="1034" spans="1:7">
      <c r="A1034" s="3">
        <v>18</v>
      </c>
      <c r="B1034" s="3">
        <v>8</v>
      </c>
      <c r="C1034" s="3">
        <v>57</v>
      </c>
      <c r="D1034" s="3">
        <v>16</v>
      </c>
      <c r="E1034" s="3">
        <v>-356.533</v>
      </c>
      <c r="F1034" s="4" t="str">
        <f>HYPERLINK("http://141.218.60.56/~jnz1568/getInfo.php?workbook=18_08.xlsx&amp;sheet=A0&amp;row=1034&amp;col=6&amp;number=45.3&amp;sourceID=14","45.3")</f>
        <v>45.3</v>
      </c>
      <c r="G1034" s="4" t="str">
        <f>HYPERLINK("http://141.218.60.56/~jnz1568/getInfo.php?workbook=18_08.xlsx&amp;sheet=A0&amp;row=1034&amp;col=7&amp;number=0&amp;sourceID=14","0")</f>
        <v>0</v>
      </c>
    </row>
    <row r="1035" spans="1:7">
      <c r="A1035" s="3">
        <v>18</v>
      </c>
      <c r="B1035" s="3">
        <v>8</v>
      </c>
      <c r="C1035" s="3">
        <v>58</v>
      </c>
      <c r="D1035" s="3">
        <v>16</v>
      </c>
      <c r="E1035" s="3">
        <v>-353.102</v>
      </c>
      <c r="F1035" s="4" t="str">
        <f>HYPERLINK("http://141.218.60.56/~jnz1568/getInfo.php?workbook=18_08.xlsx&amp;sheet=A0&amp;row=1035&amp;col=6&amp;number=35300&amp;sourceID=14","35300")</f>
        <v>35300</v>
      </c>
      <c r="G1035" s="4" t="str">
        <f>HYPERLINK("http://141.218.60.56/~jnz1568/getInfo.php?workbook=18_08.xlsx&amp;sheet=A0&amp;row=1035&amp;col=7&amp;number=0&amp;sourceID=14","0")</f>
        <v>0</v>
      </c>
    </row>
    <row r="1036" spans="1:7">
      <c r="A1036" s="3">
        <v>18</v>
      </c>
      <c r="B1036" s="3">
        <v>8</v>
      </c>
      <c r="C1036" s="3">
        <v>59</v>
      </c>
      <c r="D1036" s="3">
        <v>16</v>
      </c>
      <c r="E1036" s="3">
        <v>-351.357</v>
      </c>
      <c r="F1036" s="4" t="str">
        <f>HYPERLINK("http://141.218.60.56/~jnz1568/getInfo.php?workbook=18_08.xlsx&amp;sheet=A0&amp;row=1036&amp;col=6&amp;number=2070&amp;sourceID=14","2070")</f>
        <v>2070</v>
      </c>
      <c r="G1036" s="4" t="str">
        <f>HYPERLINK("http://141.218.60.56/~jnz1568/getInfo.php?workbook=18_08.xlsx&amp;sheet=A0&amp;row=1036&amp;col=7&amp;number=0&amp;sourceID=14","0")</f>
        <v>0</v>
      </c>
    </row>
    <row r="1037" spans="1:7">
      <c r="A1037" s="3">
        <v>18</v>
      </c>
      <c r="B1037" s="3">
        <v>8</v>
      </c>
      <c r="C1037" s="3">
        <v>60</v>
      </c>
      <c r="D1037" s="3">
        <v>16</v>
      </c>
      <c r="E1037" s="3">
        <v>-342.956</v>
      </c>
      <c r="F1037" s="4" t="str">
        <f>HYPERLINK("http://141.218.60.56/~jnz1568/getInfo.php?workbook=18_08.xlsx&amp;sheet=A0&amp;row=1037&amp;col=6&amp;number=0.2758&amp;sourceID=14","0.2758")</f>
        <v>0.2758</v>
      </c>
      <c r="G1037" s="4" t="str">
        <f>HYPERLINK("http://141.218.60.56/~jnz1568/getInfo.php?workbook=18_08.xlsx&amp;sheet=A0&amp;row=1037&amp;col=7&amp;number=0&amp;sourceID=14","0")</f>
        <v>0</v>
      </c>
    </row>
    <row r="1038" spans="1:7">
      <c r="A1038" s="3">
        <v>18</v>
      </c>
      <c r="B1038" s="3">
        <v>8</v>
      </c>
      <c r="C1038" s="3">
        <v>61</v>
      </c>
      <c r="D1038" s="3">
        <v>16</v>
      </c>
      <c r="E1038" s="3">
        <v>-341.08</v>
      </c>
      <c r="F1038" s="4" t="str">
        <f>HYPERLINK("http://141.218.60.56/~jnz1568/getInfo.php?workbook=18_08.xlsx&amp;sheet=A0&amp;row=1038&amp;col=6&amp;number=6.62&amp;sourceID=14","6.62")</f>
        <v>6.62</v>
      </c>
      <c r="G1038" s="4" t="str">
        <f>HYPERLINK("http://141.218.60.56/~jnz1568/getInfo.php?workbook=18_08.xlsx&amp;sheet=A0&amp;row=1038&amp;col=7&amp;number=0&amp;sourceID=14","0")</f>
        <v>0</v>
      </c>
    </row>
    <row r="1039" spans="1:7">
      <c r="A1039" s="3">
        <v>18</v>
      </c>
      <c r="B1039" s="3">
        <v>8</v>
      </c>
      <c r="C1039" s="3">
        <v>63</v>
      </c>
      <c r="D1039" s="3">
        <v>16</v>
      </c>
      <c r="E1039" s="3">
        <v>-335.168</v>
      </c>
      <c r="F1039" s="4" t="str">
        <f>HYPERLINK("http://141.218.60.56/~jnz1568/getInfo.php?workbook=18_08.xlsx&amp;sheet=A0&amp;row=1039&amp;col=6&amp;number=46260&amp;sourceID=14","46260")</f>
        <v>46260</v>
      </c>
      <c r="G1039" s="4" t="str">
        <f>HYPERLINK("http://141.218.60.56/~jnz1568/getInfo.php?workbook=18_08.xlsx&amp;sheet=A0&amp;row=1039&amp;col=7&amp;number=0&amp;sourceID=14","0")</f>
        <v>0</v>
      </c>
    </row>
    <row r="1040" spans="1:7">
      <c r="A1040" s="3">
        <v>18</v>
      </c>
      <c r="B1040" s="3">
        <v>8</v>
      </c>
      <c r="C1040" s="3">
        <v>64</v>
      </c>
      <c r="D1040" s="3">
        <v>16</v>
      </c>
      <c r="E1040" s="3">
        <v>325.12</v>
      </c>
      <c r="F1040" s="4" t="str">
        <f>HYPERLINK("http://141.218.60.56/~jnz1568/getInfo.php?workbook=18_08.xlsx&amp;sheet=A0&amp;row=1040&amp;col=6&amp;number=32530&amp;sourceID=14","32530")</f>
        <v>32530</v>
      </c>
      <c r="G1040" s="4" t="str">
        <f>HYPERLINK("http://141.218.60.56/~jnz1568/getInfo.php?workbook=18_08.xlsx&amp;sheet=A0&amp;row=1040&amp;col=7&amp;number=0&amp;sourceID=14","0")</f>
        <v>0</v>
      </c>
    </row>
    <row r="1041" spans="1:7">
      <c r="A1041" s="3">
        <v>18</v>
      </c>
      <c r="B1041" s="3">
        <v>8</v>
      </c>
      <c r="C1041" s="3">
        <v>65</v>
      </c>
      <c r="D1041" s="3">
        <v>16</v>
      </c>
      <c r="E1041" s="3">
        <v>-357.114</v>
      </c>
      <c r="F1041" s="4" t="str">
        <f>HYPERLINK("http://141.218.60.56/~jnz1568/getInfo.php?workbook=18_08.xlsx&amp;sheet=A0&amp;row=1041&amp;col=6&amp;number=0.2246&amp;sourceID=14","0.2246")</f>
        <v>0.2246</v>
      </c>
      <c r="G1041" s="4" t="str">
        <f>HYPERLINK("http://141.218.60.56/~jnz1568/getInfo.php?workbook=18_08.xlsx&amp;sheet=A0&amp;row=1041&amp;col=7&amp;number=0&amp;sourceID=14","0")</f>
        <v>0</v>
      </c>
    </row>
    <row r="1042" spans="1:7">
      <c r="A1042" s="3">
        <v>18</v>
      </c>
      <c r="B1042" s="3">
        <v>8</v>
      </c>
      <c r="C1042" s="3">
        <v>66</v>
      </c>
      <c r="D1042" s="3">
        <v>16</v>
      </c>
      <c r="E1042" s="3">
        <v>325.516</v>
      </c>
      <c r="F1042" s="4" t="str">
        <f>HYPERLINK("http://141.218.60.56/~jnz1568/getInfo.php?workbook=18_08.xlsx&amp;sheet=A0&amp;row=1042&amp;col=6&amp;number=590.1&amp;sourceID=14","590.1")</f>
        <v>590.1</v>
      </c>
      <c r="G1042" s="4" t="str">
        <f>HYPERLINK("http://141.218.60.56/~jnz1568/getInfo.php?workbook=18_08.xlsx&amp;sheet=A0&amp;row=1042&amp;col=7&amp;number=0&amp;sourceID=14","0")</f>
        <v>0</v>
      </c>
    </row>
    <row r="1043" spans="1:7">
      <c r="A1043" s="3">
        <v>18</v>
      </c>
      <c r="B1043" s="3">
        <v>8</v>
      </c>
      <c r="C1043" s="3">
        <v>67</v>
      </c>
      <c r="D1043" s="3">
        <v>16</v>
      </c>
      <c r="E1043" s="3">
        <v>334.998</v>
      </c>
      <c r="F1043" s="4" t="str">
        <f>HYPERLINK("http://141.218.60.56/~jnz1568/getInfo.php?workbook=18_08.xlsx&amp;sheet=A0&amp;row=1043&amp;col=6&amp;number=19360&amp;sourceID=14","19360")</f>
        <v>19360</v>
      </c>
      <c r="G1043" s="4" t="str">
        <f>HYPERLINK("http://141.218.60.56/~jnz1568/getInfo.php?workbook=18_08.xlsx&amp;sheet=A0&amp;row=1043&amp;col=7&amp;number=0&amp;sourceID=14","0")</f>
        <v>0</v>
      </c>
    </row>
    <row r="1044" spans="1:7">
      <c r="A1044" s="3">
        <v>18</v>
      </c>
      <c r="B1044" s="3">
        <v>8</v>
      </c>
      <c r="C1044" s="3">
        <v>68</v>
      </c>
      <c r="D1044" s="3">
        <v>16</v>
      </c>
      <c r="E1044" s="3">
        <v>323.852</v>
      </c>
      <c r="F1044" s="4" t="str">
        <f>HYPERLINK("http://141.218.60.56/~jnz1568/getInfo.php?workbook=18_08.xlsx&amp;sheet=A0&amp;row=1044&amp;col=6&amp;number=386.9&amp;sourceID=14","386.9")</f>
        <v>386.9</v>
      </c>
      <c r="G1044" s="4" t="str">
        <f>HYPERLINK("http://141.218.60.56/~jnz1568/getInfo.php?workbook=18_08.xlsx&amp;sheet=A0&amp;row=1044&amp;col=7&amp;number=0&amp;sourceID=14","0")</f>
        <v>0</v>
      </c>
    </row>
    <row r="1045" spans="1:7">
      <c r="A1045" s="3">
        <v>18</v>
      </c>
      <c r="B1045" s="3">
        <v>8</v>
      </c>
      <c r="C1045" s="3">
        <v>69</v>
      </c>
      <c r="D1045" s="3">
        <v>16</v>
      </c>
      <c r="E1045" s="3">
        <v>314.667</v>
      </c>
      <c r="F1045" s="4" t="str">
        <f>HYPERLINK("http://141.218.60.56/~jnz1568/getInfo.php?workbook=18_08.xlsx&amp;sheet=A0&amp;row=1045&amp;col=6&amp;number=3618&amp;sourceID=14","3618")</f>
        <v>3618</v>
      </c>
      <c r="G1045" s="4" t="str">
        <f>HYPERLINK("http://141.218.60.56/~jnz1568/getInfo.php?workbook=18_08.xlsx&amp;sheet=A0&amp;row=1045&amp;col=7&amp;number=0&amp;sourceID=14","0")</f>
        <v>0</v>
      </c>
    </row>
    <row r="1046" spans="1:7">
      <c r="A1046" s="3">
        <v>18</v>
      </c>
      <c r="B1046" s="3">
        <v>8</v>
      </c>
      <c r="C1046" s="3">
        <v>70</v>
      </c>
      <c r="D1046" s="3">
        <v>16</v>
      </c>
      <c r="E1046" s="3">
        <v>-310.393</v>
      </c>
      <c r="F1046" s="4" t="str">
        <f>HYPERLINK("http://141.218.60.56/~jnz1568/getInfo.php?workbook=18_08.xlsx&amp;sheet=A0&amp;row=1046&amp;col=6&amp;number=2703&amp;sourceID=14","2703")</f>
        <v>2703</v>
      </c>
      <c r="G1046" s="4" t="str">
        <f>HYPERLINK("http://141.218.60.56/~jnz1568/getInfo.php?workbook=18_08.xlsx&amp;sheet=A0&amp;row=1046&amp;col=7&amp;number=0&amp;sourceID=14","0")</f>
        <v>0</v>
      </c>
    </row>
    <row r="1047" spans="1:7">
      <c r="A1047" s="3">
        <v>18</v>
      </c>
      <c r="B1047" s="3">
        <v>8</v>
      </c>
      <c r="C1047" s="3">
        <v>71</v>
      </c>
      <c r="D1047" s="3">
        <v>16</v>
      </c>
      <c r="E1047" s="3">
        <v>303.762</v>
      </c>
      <c r="F1047" s="4" t="str">
        <f>HYPERLINK("http://141.218.60.56/~jnz1568/getInfo.php?workbook=18_08.xlsx&amp;sheet=A0&amp;row=1047&amp;col=6&amp;number=347.9&amp;sourceID=14","347.9")</f>
        <v>347.9</v>
      </c>
      <c r="G1047" s="4" t="str">
        <f>HYPERLINK("http://141.218.60.56/~jnz1568/getInfo.php?workbook=18_08.xlsx&amp;sheet=A0&amp;row=1047&amp;col=7&amp;number=0&amp;sourceID=14","0")</f>
        <v>0</v>
      </c>
    </row>
    <row r="1048" spans="1:7">
      <c r="A1048" s="3">
        <v>18</v>
      </c>
      <c r="B1048" s="3">
        <v>8</v>
      </c>
      <c r="C1048" s="3">
        <v>72</v>
      </c>
      <c r="D1048" s="3">
        <v>16</v>
      </c>
      <c r="E1048" s="3">
        <v>314.667</v>
      </c>
      <c r="F1048" s="4" t="str">
        <f>HYPERLINK("http://141.218.60.56/~jnz1568/getInfo.php?workbook=18_08.xlsx&amp;sheet=A0&amp;row=1048&amp;col=6&amp;number=38260&amp;sourceID=14","38260")</f>
        <v>38260</v>
      </c>
      <c r="G1048" s="4" t="str">
        <f>HYPERLINK("http://141.218.60.56/~jnz1568/getInfo.php?workbook=18_08.xlsx&amp;sheet=A0&amp;row=1048&amp;col=7&amp;number=0&amp;sourceID=14","0")</f>
        <v>0</v>
      </c>
    </row>
    <row r="1049" spans="1:7">
      <c r="A1049" s="3">
        <v>18</v>
      </c>
      <c r="B1049" s="3">
        <v>8</v>
      </c>
      <c r="C1049" s="3">
        <v>73</v>
      </c>
      <c r="D1049" s="3">
        <v>16</v>
      </c>
      <c r="E1049" s="3">
        <v>303.762</v>
      </c>
      <c r="F1049" s="4" t="str">
        <f>HYPERLINK("http://141.218.60.56/~jnz1568/getInfo.php?workbook=18_08.xlsx&amp;sheet=A0&amp;row=1049&amp;col=6&amp;number=773.8&amp;sourceID=14","773.8")</f>
        <v>773.8</v>
      </c>
      <c r="G1049" s="4" t="str">
        <f>HYPERLINK("http://141.218.60.56/~jnz1568/getInfo.php?workbook=18_08.xlsx&amp;sheet=A0&amp;row=1049&amp;col=7&amp;number=0&amp;sourceID=14","0")</f>
        <v>0</v>
      </c>
    </row>
    <row r="1050" spans="1:7">
      <c r="A1050" s="3">
        <v>18</v>
      </c>
      <c r="B1050" s="3">
        <v>8</v>
      </c>
      <c r="C1050" s="3">
        <v>74</v>
      </c>
      <c r="D1050" s="3">
        <v>16</v>
      </c>
      <c r="E1050" s="3">
        <v>293.018</v>
      </c>
      <c r="F1050" s="4" t="str">
        <f>HYPERLINK("http://141.218.60.56/~jnz1568/getInfo.php?workbook=18_08.xlsx&amp;sheet=A0&amp;row=1050&amp;col=6&amp;number=56390&amp;sourceID=14","56390")</f>
        <v>56390</v>
      </c>
      <c r="G1050" s="4" t="str">
        <f>HYPERLINK("http://141.218.60.56/~jnz1568/getInfo.php?workbook=18_08.xlsx&amp;sheet=A0&amp;row=1050&amp;col=7&amp;number=0&amp;sourceID=14","0")</f>
        <v>0</v>
      </c>
    </row>
    <row r="1051" spans="1:7">
      <c r="A1051" s="3">
        <v>18</v>
      </c>
      <c r="B1051" s="3">
        <v>8</v>
      </c>
      <c r="C1051" s="3">
        <v>75</v>
      </c>
      <c r="D1051" s="3">
        <v>16</v>
      </c>
      <c r="E1051" s="3">
        <v>-289.64</v>
      </c>
      <c r="F1051" s="4" t="str">
        <f>HYPERLINK("http://141.218.60.56/~jnz1568/getInfo.php?workbook=18_08.xlsx&amp;sheet=A0&amp;row=1051&amp;col=6&amp;number=3533&amp;sourceID=14","3533")</f>
        <v>3533</v>
      </c>
      <c r="G1051" s="4" t="str">
        <f>HYPERLINK("http://141.218.60.56/~jnz1568/getInfo.php?workbook=18_08.xlsx&amp;sheet=A0&amp;row=1051&amp;col=7&amp;number=0&amp;sourceID=14","0")</f>
        <v>0</v>
      </c>
    </row>
    <row r="1052" spans="1:7">
      <c r="A1052" s="3">
        <v>18</v>
      </c>
      <c r="B1052" s="3">
        <v>8</v>
      </c>
      <c r="C1052" s="3">
        <v>76</v>
      </c>
      <c r="D1052" s="3">
        <v>16</v>
      </c>
      <c r="E1052" s="3">
        <v>-289.43</v>
      </c>
      <c r="F1052" s="4" t="str">
        <f>HYPERLINK("http://141.218.60.56/~jnz1568/getInfo.php?workbook=18_08.xlsx&amp;sheet=A0&amp;row=1052&amp;col=6&amp;number=150.7&amp;sourceID=14","150.7")</f>
        <v>150.7</v>
      </c>
      <c r="G1052" s="4" t="str">
        <f>HYPERLINK("http://141.218.60.56/~jnz1568/getInfo.php?workbook=18_08.xlsx&amp;sheet=A0&amp;row=1052&amp;col=7&amp;number=0&amp;sourceID=14","0")</f>
        <v>0</v>
      </c>
    </row>
    <row r="1053" spans="1:7">
      <c r="A1053" s="3">
        <v>18</v>
      </c>
      <c r="B1053" s="3">
        <v>8</v>
      </c>
      <c r="C1053" s="3">
        <v>77</v>
      </c>
      <c r="D1053" s="3">
        <v>16</v>
      </c>
      <c r="E1053" s="3">
        <v>292.99</v>
      </c>
      <c r="F1053" s="4" t="str">
        <f>HYPERLINK("http://141.218.60.56/~jnz1568/getInfo.php?workbook=18_08.xlsx&amp;sheet=A0&amp;row=1053&amp;col=6&amp;number=33440&amp;sourceID=14","33440")</f>
        <v>33440</v>
      </c>
      <c r="G1053" s="4" t="str">
        <f>HYPERLINK("http://141.218.60.56/~jnz1568/getInfo.php?workbook=18_08.xlsx&amp;sheet=A0&amp;row=1053&amp;col=7&amp;number=0&amp;sourceID=14","0")</f>
        <v>0</v>
      </c>
    </row>
    <row r="1054" spans="1:7">
      <c r="A1054" s="3">
        <v>18</v>
      </c>
      <c r="B1054" s="3">
        <v>8</v>
      </c>
      <c r="C1054" s="3">
        <v>78</v>
      </c>
      <c r="D1054" s="3">
        <v>16</v>
      </c>
      <c r="E1054" s="3">
        <v>-288.952</v>
      </c>
      <c r="F1054" s="4" t="str">
        <f>HYPERLINK("http://141.218.60.56/~jnz1568/getInfo.php?workbook=18_08.xlsx&amp;sheet=A0&amp;row=1054&amp;col=6&amp;number=1594&amp;sourceID=14","1594")</f>
        <v>1594</v>
      </c>
      <c r="G1054" s="4" t="str">
        <f>HYPERLINK("http://141.218.60.56/~jnz1568/getInfo.php?workbook=18_08.xlsx&amp;sheet=A0&amp;row=1054&amp;col=7&amp;number=0&amp;sourceID=14","0")</f>
        <v>0</v>
      </c>
    </row>
    <row r="1055" spans="1:7">
      <c r="A1055" s="3">
        <v>18</v>
      </c>
      <c r="B1055" s="3">
        <v>8</v>
      </c>
      <c r="C1055" s="3">
        <v>79</v>
      </c>
      <c r="D1055" s="3">
        <v>16</v>
      </c>
      <c r="E1055" s="3">
        <v>-286.479</v>
      </c>
      <c r="F1055" s="4" t="str">
        <f>HYPERLINK("http://141.218.60.56/~jnz1568/getInfo.php?workbook=18_08.xlsx&amp;sheet=A0&amp;row=1055&amp;col=6&amp;number=290.4&amp;sourceID=14","290.4")</f>
        <v>290.4</v>
      </c>
      <c r="G1055" s="4" t="str">
        <f>HYPERLINK("http://141.218.60.56/~jnz1568/getInfo.php?workbook=18_08.xlsx&amp;sheet=A0&amp;row=1055&amp;col=7&amp;number=0&amp;sourceID=14","0")</f>
        <v>0</v>
      </c>
    </row>
    <row r="1056" spans="1:7">
      <c r="A1056" s="3">
        <v>18</v>
      </c>
      <c r="B1056" s="3">
        <v>8</v>
      </c>
      <c r="C1056" s="3">
        <v>80</v>
      </c>
      <c r="D1056" s="3">
        <v>16</v>
      </c>
      <c r="E1056" s="3">
        <v>-284.898</v>
      </c>
      <c r="F1056" s="4" t="str">
        <f>HYPERLINK("http://141.218.60.56/~jnz1568/getInfo.php?workbook=18_08.xlsx&amp;sheet=A0&amp;row=1056&amp;col=6&amp;number=4.719&amp;sourceID=14","4.719")</f>
        <v>4.719</v>
      </c>
      <c r="G1056" s="4" t="str">
        <f>HYPERLINK("http://141.218.60.56/~jnz1568/getInfo.php?workbook=18_08.xlsx&amp;sheet=A0&amp;row=1056&amp;col=7&amp;number=0&amp;sourceID=14","0")</f>
        <v>0</v>
      </c>
    </row>
    <row r="1057" spans="1:7">
      <c r="A1057" s="3">
        <v>18</v>
      </c>
      <c r="B1057" s="3">
        <v>8</v>
      </c>
      <c r="C1057" s="3">
        <v>81</v>
      </c>
      <c r="D1057" s="3">
        <v>16</v>
      </c>
      <c r="E1057" s="3">
        <v>276.848</v>
      </c>
      <c r="F1057" s="4" t="str">
        <f>HYPERLINK("http://141.218.60.56/~jnz1568/getInfo.php?workbook=18_08.xlsx&amp;sheet=A0&amp;row=1057&amp;col=6&amp;number=20580&amp;sourceID=14","20580")</f>
        <v>20580</v>
      </c>
      <c r="G1057" s="4" t="str">
        <f>HYPERLINK("http://141.218.60.56/~jnz1568/getInfo.php?workbook=18_08.xlsx&amp;sheet=A0&amp;row=1057&amp;col=7&amp;number=0&amp;sourceID=14","0")</f>
        <v>0</v>
      </c>
    </row>
    <row r="1058" spans="1:7">
      <c r="A1058" s="3">
        <v>18</v>
      </c>
      <c r="B1058" s="3">
        <v>8</v>
      </c>
      <c r="C1058" s="3">
        <v>82</v>
      </c>
      <c r="D1058" s="3">
        <v>16</v>
      </c>
      <c r="E1058" s="3">
        <v>273.907</v>
      </c>
      <c r="F1058" s="4" t="str">
        <f>HYPERLINK("http://141.218.60.56/~jnz1568/getInfo.php?workbook=18_08.xlsx&amp;sheet=A0&amp;row=1058&amp;col=6&amp;number=1174&amp;sourceID=14","1174")</f>
        <v>1174</v>
      </c>
      <c r="G1058" s="4" t="str">
        <f>HYPERLINK("http://141.218.60.56/~jnz1568/getInfo.php?workbook=18_08.xlsx&amp;sheet=A0&amp;row=1058&amp;col=7&amp;number=0&amp;sourceID=14","0")</f>
        <v>0</v>
      </c>
    </row>
    <row r="1059" spans="1:7">
      <c r="A1059" s="3">
        <v>18</v>
      </c>
      <c r="B1059" s="3">
        <v>8</v>
      </c>
      <c r="C1059" s="3">
        <v>83</v>
      </c>
      <c r="D1059" s="3">
        <v>16</v>
      </c>
      <c r="E1059" s="3">
        <v>266.753</v>
      </c>
      <c r="F1059" s="4" t="str">
        <f>HYPERLINK("http://141.218.60.56/~jnz1568/getInfo.php?workbook=18_08.xlsx&amp;sheet=A0&amp;row=1059&amp;col=6&amp;number=2026&amp;sourceID=14","2026")</f>
        <v>2026</v>
      </c>
      <c r="G1059" s="4" t="str">
        <f>HYPERLINK("http://141.218.60.56/~jnz1568/getInfo.php?workbook=18_08.xlsx&amp;sheet=A0&amp;row=1059&amp;col=7&amp;number=0&amp;sourceID=14","0")</f>
        <v>0</v>
      </c>
    </row>
    <row r="1060" spans="1:7">
      <c r="A1060" s="3">
        <v>18</v>
      </c>
      <c r="B1060" s="3">
        <v>8</v>
      </c>
      <c r="C1060" s="3">
        <v>84</v>
      </c>
      <c r="D1060" s="3">
        <v>16</v>
      </c>
      <c r="E1060" s="3">
        <v>273.688</v>
      </c>
      <c r="F1060" s="4" t="str">
        <f>HYPERLINK("http://141.218.60.56/~jnz1568/getInfo.php?workbook=18_08.xlsx&amp;sheet=A0&amp;row=1060&amp;col=6&amp;number=38620&amp;sourceID=14","38620")</f>
        <v>38620</v>
      </c>
      <c r="G1060" s="4" t="str">
        <f>HYPERLINK("http://141.218.60.56/~jnz1568/getInfo.php?workbook=18_08.xlsx&amp;sheet=A0&amp;row=1060&amp;col=7&amp;number=0&amp;sourceID=14","0")</f>
        <v>0</v>
      </c>
    </row>
    <row r="1061" spans="1:7">
      <c r="A1061" s="3">
        <v>18</v>
      </c>
      <c r="B1061" s="3">
        <v>8</v>
      </c>
      <c r="C1061" s="3">
        <v>85</v>
      </c>
      <c r="D1061" s="3">
        <v>16</v>
      </c>
      <c r="E1061" s="3">
        <v>262.737</v>
      </c>
      <c r="F1061" s="4" t="str">
        <f>HYPERLINK("http://141.218.60.56/~jnz1568/getInfo.php?workbook=18_08.xlsx&amp;sheet=A0&amp;row=1061&amp;col=6&amp;number=31300&amp;sourceID=14","31300")</f>
        <v>31300</v>
      </c>
      <c r="G1061" s="4" t="str">
        <f>HYPERLINK("http://141.218.60.56/~jnz1568/getInfo.php?workbook=18_08.xlsx&amp;sheet=A0&amp;row=1061&amp;col=7&amp;number=0&amp;sourceID=14","0")</f>
        <v>0</v>
      </c>
    </row>
    <row r="1062" spans="1:7">
      <c r="A1062" s="3">
        <v>18</v>
      </c>
      <c r="B1062" s="3">
        <v>8</v>
      </c>
      <c r="C1062" s="3">
        <v>86</v>
      </c>
      <c r="D1062" s="3">
        <v>16</v>
      </c>
      <c r="E1062" s="3">
        <v>243.126</v>
      </c>
      <c r="F1062" s="4" t="str">
        <f>HYPERLINK("http://141.218.60.56/~jnz1568/getInfo.php?workbook=18_08.xlsx&amp;sheet=A0&amp;row=1062&amp;col=6&amp;number=10880&amp;sourceID=14","10880")</f>
        <v>10880</v>
      </c>
      <c r="G1062" s="4" t="str">
        <f>HYPERLINK("http://141.218.60.56/~jnz1568/getInfo.php?workbook=18_08.xlsx&amp;sheet=A0&amp;row=1062&amp;col=7&amp;number=0&amp;sourceID=14","0")</f>
        <v>0</v>
      </c>
    </row>
    <row r="1063" spans="1:7">
      <c r="A1063" s="3">
        <v>18</v>
      </c>
      <c r="B1063" s="3">
        <v>8</v>
      </c>
      <c r="C1063" s="3">
        <v>18</v>
      </c>
      <c r="D1063" s="3">
        <v>17</v>
      </c>
      <c r="E1063" s="3">
        <v>89525.516</v>
      </c>
      <c r="F1063" s="4" t="str">
        <f>HYPERLINK("http://141.218.60.56/~jnz1568/getInfo.php?workbook=18_08.xlsx&amp;sheet=A0&amp;row=1063&amp;col=6&amp;number=0.03407&amp;sourceID=14","0.03407")</f>
        <v>0.03407</v>
      </c>
      <c r="G1063" s="4" t="str">
        <f>HYPERLINK("http://141.218.60.56/~jnz1568/getInfo.php?workbook=18_08.xlsx&amp;sheet=A0&amp;row=1063&amp;col=7&amp;number=0&amp;sourceID=14","0")</f>
        <v>0</v>
      </c>
    </row>
    <row r="1064" spans="1:7">
      <c r="A1064" s="3">
        <v>18</v>
      </c>
      <c r="B1064" s="3">
        <v>8</v>
      </c>
      <c r="C1064" s="3">
        <v>19</v>
      </c>
      <c r="D1064" s="3">
        <v>17</v>
      </c>
      <c r="E1064" s="3">
        <v>28465.699</v>
      </c>
      <c r="F1064" s="4" t="str">
        <f>HYPERLINK("http://141.218.60.56/~jnz1568/getInfo.php?workbook=18_08.xlsx&amp;sheet=A0&amp;row=1064&amp;col=6&amp;number=1.021e-05&amp;sourceID=14","1.021e-05")</f>
        <v>1.021e-05</v>
      </c>
      <c r="G1064" s="4" t="str">
        <f>HYPERLINK("http://141.218.60.56/~jnz1568/getInfo.php?workbook=18_08.xlsx&amp;sheet=A0&amp;row=1064&amp;col=7&amp;number=0&amp;sourceID=14","0")</f>
        <v>0</v>
      </c>
    </row>
    <row r="1065" spans="1:7">
      <c r="A1065" s="3">
        <v>18</v>
      </c>
      <c r="B1065" s="3">
        <v>8</v>
      </c>
      <c r="C1065" s="3">
        <v>20</v>
      </c>
      <c r="D1065" s="3">
        <v>17</v>
      </c>
      <c r="E1065" s="3">
        <v>-2950.557</v>
      </c>
      <c r="F1065" s="4" t="str">
        <f>HYPERLINK("http://141.218.60.56/~jnz1568/getInfo.php?workbook=18_08.xlsx&amp;sheet=A0&amp;row=1065&amp;col=6&amp;number=12.48&amp;sourceID=14","12.48")</f>
        <v>12.48</v>
      </c>
      <c r="G1065" s="4" t="str">
        <f>HYPERLINK("http://141.218.60.56/~jnz1568/getInfo.php?workbook=18_08.xlsx&amp;sheet=A0&amp;row=1065&amp;col=7&amp;number=0&amp;sourceID=14","0")</f>
        <v>0</v>
      </c>
    </row>
    <row r="1066" spans="1:7">
      <c r="A1066" s="3">
        <v>18</v>
      </c>
      <c r="B1066" s="3">
        <v>8</v>
      </c>
      <c r="C1066" s="3">
        <v>21</v>
      </c>
      <c r="D1066" s="3">
        <v>17</v>
      </c>
      <c r="E1066" s="3">
        <v>-2845.957</v>
      </c>
      <c r="F1066" s="4" t="str">
        <f>HYPERLINK("http://141.218.60.56/~jnz1568/getInfo.php?workbook=18_08.xlsx&amp;sheet=A0&amp;row=1066&amp;col=6&amp;number=4.579&amp;sourceID=14","4.579")</f>
        <v>4.579</v>
      </c>
      <c r="G1066" s="4" t="str">
        <f>HYPERLINK("http://141.218.60.56/~jnz1568/getInfo.php?workbook=18_08.xlsx&amp;sheet=A0&amp;row=1066&amp;col=7&amp;number=0&amp;sourceID=14","0")</f>
        <v>0</v>
      </c>
    </row>
    <row r="1067" spans="1:7">
      <c r="A1067" s="3">
        <v>18</v>
      </c>
      <c r="B1067" s="3">
        <v>8</v>
      </c>
      <c r="C1067" s="3">
        <v>22</v>
      </c>
      <c r="D1067" s="3">
        <v>17</v>
      </c>
      <c r="E1067" s="3">
        <v>-2802.617</v>
      </c>
      <c r="F1067" s="4" t="str">
        <f>HYPERLINK("http://141.218.60.56/~jnz1568/getInfo.php?workbook=18_08.xlsx&amp;sheet=A0&amp;row=1067&amp;col=6&amp;number=14.5&amp;sourceID=14","14.5")</f>
        <v>14.5</v>
      </c>
      <c r="G1067" s="4" t="str">
        <f>HYPERLINK("http://141.218.60.56/~jnz1568/getInfo.php?workbook=18_08.xlsx&amp;sheet=A0&amp;row=1067&amp;col=7&amp;number=0&amp;sourceID=14","0")</f>
        <v>0</v>
      </c>
    </row>
    <row r="1068" spans="1:7">
      <c r="A1068" s="3">
        <v>18</v>
      </c>
      <c r="B1068" s="3">
        <v>8</v>
      </c>
      <c r="C1068" s="3">
        <v>23</v>
      </c>
      <c r="D1068" s="3">
        <v>17</v>
      </c>
      <c r="E1068" s="3">
        <v>-4864.042</v>
      </c>
      <c r="F1068" s="4" t="str">
        <f>HYPERLINK("http://141.218.60.56/~jnz1568/getInfo.php?workbook=18_08.xlsx&amp;sheet=A0&amp;row=1068&amp;col=6&amp;number=36.11&amp;sourceID=14","36.11")</f>
        <v>36.11</v>
      </c>
      <c r="G1068" s="4" t="str">
        <f>HYPERLINK("http://141.218.60.56/~jnz1568/getInfo.php?workbook=18_08.xlsx&amp;sheet=A0&amp;row=1068&amp;col=7&amp;number=0&amp;sourceID=14","0")</f>
        <v>0</v>
      </c>
    </row>
    <row r="1069" spans="1:7">
      <c r="A1069" s="3">
        <v>18</v>
      </c>
      <c r="B1069" s="3">
        <v>8</v>
      </c>
      <c r="C1069" s="3">
        <v>24</v>
      </c>
      <c r="D1069" s="3">
        <v>17</v>
      </c>
      <c r="E1069" s="3">
        <v>-4517.271</v>
      </c>
      <c r="F1069" s="4" t="str">
        <f>HYPERLINK("http://141.218.60.56/~jnz1568/getInfo.php?workbook=18_08.xlsx&amp;sheet=A0&amp;row=1069&amp;col=6&amp;number=0.7836&amp;sourceID=14","0.7836")</f>
        <v>0.7836</v>
      </c>
      <c r="G1069" s="4" t="str">
        <f>HYPERLINK("http://141.218.60.56/~jnz1568/getInfo.php?workbook=18_08.xlsx&amp;sheet=A0&amp;row=1069&amp;col=7&amp;number=0&amp;sourceID=14","0")</f>
        <v>0</v>
      </c>
    </row>
    <row r="1070" spans="1:7">
      <c r="A1070" s="3">
        <v>18</v>
      </c>
      <c r="B1070" s="3">
        <v>8</v>
      </c>
      <c r="C1070" s="3">
        <v>25</v>
      </c>
      <c r="D1070" s="3">
        <v>17</v>
      </c>
      <c r="E1070" s="3">
        <v>3889.84</v>
      </c>
      <c r="F1070" s="4" t="str">
        <f>HYPERLINK("http://141.218.60.56/~jnz1568/getInfo.php?workbook=18_08.xlsx&amp;sheet=A0&amp;row=1070&amp;col=6&amp;number=149.9&amp;sourceID=14","149.9")</f>
        <v>149.9</v>
      </c>
      <c r="G1070" s="4" t="str">
        <f>HYPERLINK("http://141.218.60.56/~jnz1568/getInfo.php?workbook=18_08.xlsx&amp;sheet=A0&amp;row=1070&amp;col=7&amp;number=0&amp;sourceID=14","0")</f>
        <v>0</v>
      </c>
    </row>
    <row r="1071" spans="1:7">
      <c r="A1071" s="3">
        <v>18</v>
      </c>
      <c r="B1071" s="3">
        <v>8</v>
      </c>
      <c r="C1071" s="3">
        <v>26</v>
      </c>
      <c r="D1071" s="3">
        <v>17</v>
      </c>
      <c r="E1071" s="3">
        <v>3257.435</v>
      </c>
      <c r="F1071" s="4" t="str">
        <f>HYPERLINK("http://141.218.60.56/~jnz1568/getInfo.php?workbook=18_08.xlsx&amp;sheet=A0&amp;row=1071&amp;col=6&amp;number=104.7&amp;sourceID=14","104.7")</f>
        <v>104.7</v>
      </c>
      <c r="G1071" s="4" t="str">
        <f>HYPERLINK("http://141.218.60.56/~jnz1568/getInfo.php?workbook=18_08.xlsx&amp;sheet=A0&amp;row=1071&amp;col=7&amp;number=0&amp;sourceID=14","0")</f>
        <v>0</v>
      </c>
    </row>
    <row r="1072" spans="1:7">
      <c r="A1072" s="3">
        <v>18</v>
      </c>
      <c r="B1072" s="3">
        <v>8</v>
      </c>
      <c r="C1072" s="3">
        <v>27</v>
      </c>
      <c r="D1072" s="3">
        <v>17</v>
      </c>
      <c r="E1072" s="3">
        <v>-981.916</v>
      </c>
      <c r="F1072" s="4" t="str">
        <f>HYPERLINK("http://141.218.60.56/~jnz1568/getInfo.php?workbook=18_08.xlsx&amp;sheet=A0&amp;row=1072&amp;col=6&amp;number=2.245&amp;sourceID=14","2.245")</f>
        <v>2.245</v>
      </c>
      <c r="G1072" s="4" t="str">
        <f>HYPERLINK("http://141.218.60.56/~jnz1568/getInfo.php?workbook=18_08.xlsx&amp;sheet=A0&amp;row=1072&amp;col=7&amp;number=0&amp;sourceID=14","0")</f>
        <v>0</v>
      </c>
    </row>
    <row r="1073" spans="1:7">
      <c r="A1073" s="3">
        <v>18</v>
      </c>
      <c r="B1073" s="3">
        <v>8</v>
      </c>
      <c r="C1073" s="3">
        <v>28</v>
      </c>
      <c r="D1073" s="3">
        <v>17</v>
      </c>
      <c r="E1073" s="3">
        <v>-1015.046</v>
      </c>
      <c r="F1073" s="4" t="str">
        <f>HYPERLINK("http://141.218.60.56/~jnz1568/getInfo.php?workbook=18_08.xlsx&amp;sheet=A0&amp;row=1073&amp;col=6&amp;number=5.862&amp;sourceID=14","5.862")</f>
        <v>5.862</v>
      </c>
      <c r="G1073" s="4" t="str">
        <f>HYPERLINK("http://141.218.60.56/~jnz1568/getInfo.php?workbook=18_08.xlsx&amp;sheet=A0&amp;row=1073&amp;col=7&amp;number=0&amp;sourceID=14","0")</f>
        <v>0</v>
      </c>
    </row>
    <row r="1074" spans="1:7">
      <c r="A1074" s="3">
        <v>18</v>
      </c>
      <c r="B1074" s="3">
        <v>8</v>
      </c>
      <c r="C1074" s="3">
        <v>29</v>
      </c>
      <c r="D1074" s="3">
        <v>17</v>
      </c>
      <c r="E1074" s="3">
        <v>-974.812</v>
      </c>
      <c r="F1074" s="4" t="str">
        <f>HYPERLINK("http://141.218.60.56/~jnz1568/getInfo.php?workbook=18_08.xlsx&amp;sheet=A0&amp;row=1074&amp;col=6&amp;number=0.0009133&amp;sourceID=14","0.0009133")</f>
        <v>0.0009133</v>
      </c>
      <c r="G1074" s="4" t="str">
        <f>HYPERLINK("http://141.218.60.56/~jnz1568/getInfo.php?workbook=18_08.xlsx&amp;sheet=A0&amp;row=1074&amp;col=7&amp;number=0&amp;sourceID=14","0")</f>
        <v>0</v>
      </c>
    </row>
    <row r="1075" spans="1:7">
      <c r="A1075" s="3">
        <v>18</v>
      </c>
      <c r="B1075" s="3">
        <v>8</v>
      </c>
      <c r="C1075" s="3">
        <v>30</v>
      </c>
      <c r="D1075" s="3">
        <v>17</v>
      </c>
      <c r="E1075" s="3">
        <v>-1111.563</v>
      </c>
      <c r="F1075" s="4" t="str">
        <f>HYPERLINK("http://141.218.60.56/~jnz1568/getInfo.php?workbook=18_08.xlsx&amp;sheet=A0&amp;row=1075&amp;col=6&amp;number=41.65&amp;sourceID=14","41.65")</f>
        <v>41.65</v>
      </c>
      <c r="G1075" s="4" t="str">
        <f>HYPERLINK("http://141.218.60.56/~jnz1568/getInfo.php?workbook=18_08.xlsx&amp;sheet=A0&amp;row=1075&amp;col=7&amp;number=0&amp;sourceID=14","0")</f>
        <v>0</v>
      </c>
    </row>
    <row r="1076" spans="1:7">
      <c r="A1076" s="3">
        <v>18</v>
      </c>
      <c r="B1076" s="3">
        <v>8</v>
      </c>
      <c r="C1076" s="3">
        <v>31</v>
      </c>
      <c r="D1076" s="3">
        <v>17</v>
      </c>
      <c r="E1076" s="3">
        <v>-919.581</v>
      </c>
      <c r="F1076" s="4" t="str">
        <f>HYPERLINK("http://141.218.60.56/~jnz1568/getInfo.php?workbook=18_08.xlsx&amp;sheet=A0&amp;row=1076&amp;col=6&amp;number=0.8556&amp;sourceID=14","0.8556")</f>
        <v>0.8556</v>
      </c>
      <c r="G1076" s="4" t="str">
        <f>HYPERLINK("http://141.218.60.56/~jnz1568/getInfo.php?workbook=18_08.xlsx&amp;sheet=A0&amp;row=1076&amp;col=7&amp;number=0&amp;sourceID=14","0")</f>
        <v>0</v>
      </c>
    </row>
    <row r="1077" spans="1:7">
      <c r="A1077" s="3">
        <v>18</v>
      </c>
      <c r="B1077" s="3">
        <v>8</v>
      </c>
      <c r="C1077" s="3">
        <v>32</v>
      </c>
      <c r="D1077" s="3">
        <v>17</v>
      </c>
      <c r="E1077" s="3">
        <v>-895.64</v>
      </c>
      <c r="F1077" s="4" t="str">
        <f>HYPERLINK("http://141.218.60.56/~jnz1568/getInfo.php?workbook=18_08.xlsx&amp;sheet=A0&amp;row=1077&amp;col=6&amp;number=0.02293&amp;sourceID=14","0.02293")</f>
        <v>0.02293</v>
      </c>
      <c r="G1077" s="4" t="str">
        <f>HYPERLINK("http://141.218.60.56/~jnz1568/getInfo.php?workbook=18_08.xlsx&amp;sheet=A0&amp;row=1077&amp;col=7&amp;number=0&amp;sourceID=14","0")</f>
        <v>0</v>
      </c>
    </row>
    <row r="1078" spans="1:7">
      <c r="A1078" s="3">
        <v>18</v>
      </c>
      <c r="B1078" s="3">
        <v>8</v>
      </c>
      <c r="C1078" s="3">
        <v>34</v>
      </c>
      <c r="D1078" s="3">
        <v>17</v>
      </c>
      <c r="E1078" s="3">
        <v>-847.989</v>
      </c>
      <c r="F1078" s="4" t="str">
        <f>HYPERLINK("http://141.218.60.56/~jnz1568/getInfo.php?workbook=18_08.xlsx&amp;sheet=A0&amp;row=1078&amp;col=6&amp;number=0.004989&amp;sourceID=14","0.004989")</f>
        <v>0.004989</v>
      </c>
      <c r="G1078" s="4" t="str">
        <f>HYPERLINK("http://141.218.60.56/~jnz1568/getInfo.php?workbook=18_08.xlsx&amp;sheet=A0&amp;row=1078&amp;col=7&amp;number=0&amp;sourceID=14","0")</f>
        <v>0</v>
      </c>
    </row>
    <row r="1079" spans="1:7">
      <c r="A1079" s="3">
        <v>18</v>
      </c>
      <c r="B1079" s="3">
        <v>8</v>
      </c>
      <c r="C1079" s="3">
        <v>35</v>
      </c>
      <c r="D1079" s="3">
        <v>17</v>
      </c>
      <c r="E1079" s="3">
        <v>-661.292</v>
      </c>
      <c r="F1079" s="4" t="str">
        <f>HYPERLINK("http://141.218.60.56/~jnz1568/getInfo.php?workbook=18_08.xlsx&amp;sheet=A0&amp;row=1079&amp;col=6&amp;number=160.7&amp;sourceID=14","160.7")</f>
        <v>160.7</v>
      </c>
      <c r="G1079" s="4" t="str">
        <f>HYPERLINK("http://141.218.60.56/~jnz1568/getInfo.php?workbook=18_08.xlsx&amp;sheet=A0&amp;row=1079&amp;col=7&amp;number=0&amp;sourceID=14","0")</f>
        <v>0</v>
      </c>
    </row>
    <row r="1080" spans="1:7">
      <c r="A1080" s="3">
        <v>18</v>
      </c>
      <c r="B1080" s="3">
        <v>8</v>
      </c>
      <c r="C1080" s="3">
        <v>36</v>
      </c>
      <c r="D1080" s="3">
        <v>17</v>
      </c>
      <c r="E1080" s="3">
        <v>-621.119</v>
      </c>
      <c r="F1080" s="4" t="str">
        <f>HYPERLINK("http://141.218.60.56/~jnz1568/getInfo.php?workbook=18_08.xlsx&amp;sheet=A0&amp;row=1080&amp;col=6&amp;number=0.2153&amp;sourceID=14","0.2153")</f>
        <v>0.2153</v>
      </c>
      <c r="G1080" s="4" t="str">
        <f>HYPERLINK("http://141.218.60.56/~jnz1568/getInfo.php?workbook=18_08.xlsx&amp;sheet=A0&amp;row=1080&amp;col=7&amp;number=0&amp;sourceID=14","0")</f>
        <v>0</v>
      </c>
    </row>
    <row r="1081" spans="1:7">
      <c r="A1081" s="3">
        <v>18</v>
      </c>
      <c r="B1081" s="3">
        <v>8</v>
      </c>
      <c r="C1081" s="3">
        <v>37</v>
      </c>
      <c r="D1081" s="3">
        <v>17</v>
      </c>
      <c r="E1081" s="3">
        <v>664.037</v>
      </c>
      <c r="F1081" s="4" t="str">
        <f>HYPERLINK("http://141.218.60.56/~jnz1568/getInfo.php?workbook=18_08.xlsx&amp;sheet=A0&amp;row=1081&amp;col=6&amp;number=4.502&amp;sourceID=14","4.502")</f>
        <v>4.502</v>
      </c>
      <c r="G1081" s="4" t="str">
        <f>HYPERLINK("http://141.218.60.56/~jnz1568/getInfo.php?workbook=18_08.xlsx&amp;sheet=A0&amp;row=1081&amp;col=7&amp;number=0&amp;sourceID=14","0")</f>
        <v>0</v>
      </c>
    </row>
    <row r="1082" spans="1:7">
      <c r="A1082" s="3">
        <v>18</v>
      </c>
      <c r="B1082" s="3">
        <v>8</v>
      </c>
      <c r="C1082" s="3">
        <v>38</v>
      </c>
      <c r="D1082" s="3">
        <v>17</v>
      </c>
      <c r="E1082" s="3">
        <v>-576.508</v>
      </c>
      <c r="F1082" s="4" t="str">
        <f>HYPERLINK("http://141.218.60.56/~jnz1568/getInfo.php?workbook=18_08.xlsx&amp;sheet=A0&amp;row=1082&amp;col=6&amp;number=2921000000&amp;sourceID=14","2921000000")</f>
        <v>2921000000</v>
      </c>
      <c r="G1082" s="4" t="str">
        <f>HYPERLINK("http://141.218.60.56/~jnz1568/getInfo.php?workbook=18_08.xlsx&amp;sheet=A0&amp;row=1082&amp;col=7&amp;number=0&amp;sourceID=14","0")</f>
        <v>0</v>
      </c>
    </row>
    <row r="1083" spans="1:7">
      <c r="A1083" s="3">
        <v>18</v>
      </c>
      <c r="B1083" s="3">
        <v>8</v>
      </c>
      <c r="C1083" s="3">
        <v>39</v>
      </c>
      <c r="D1083" s="3">
        <v>17</v>
      </c>
      <c r="E1083" s="3">
        <v>-576.198</v>
      </c>
      <c r="F1083" s="4" t="str">
        <f>HYPERLINK("http://141.218.60.56/~jnz1568/getInfo.php?workbook=18_08.xlsx&amp;sheet=A0&amp;row=1083&amp;col=6&amp;number=2197000000&amp;sourceID=14","2197000000")</f>
        <v>2197000000</v>
      </c>
      <c r="G1083" s="4" t="str">
        <f>HYPERLINK("http://141.218.60.56/~jnz1568/getInfo.php?workbook=18_08.xlsx&amp;sheet=A0&amp;row=1083&amp;col=7&amp;number=0&amp;sourceID=14","0")</f>
        <v>0</v>
      </c>
    </row>
    <row r="1084" spans="1:7">
      <c r="A1084" s="3">
        <v>18</v>
      </c>
      <c r="B1084" s="3">
        <v>8</v>
      </c>
      <c r="C1084" s="3">
        <v>40</v>
      </c>
      <c r="D1084" s="3">
        <v>17</v>
      </c>
      <c r="E1084" s="3">
        <v>618.139</v>
      </c>
      <c r="F1084" s="4" t="str">
        <f>HYPERLINK("http://141.218.60.56/~jnz1568/getInfo.php?workbook=18_08.xlsx&amp;sheet=A0&amp;row=1084&amp;col=6&amp;number=1032000000&amp;sourceID=14","1032000000")</f>
        <v>1032000000</v>
      </c>
      <c r="G1084" s="4" t="str">
        <f>HYPERLINK("http://141.218.60.56/~jnz1568/getInfo.php?workbook=18_08.xlsx&amp;sheet=A0&amp;row=1084&amp;col=7&amp;number=0&amp;sourceID=14","0")</f>
        <v>0</v>
      </c>
    </row>
    <row r="1085" spans="1:7">
      <c r="A1085" s="3">
        <v>18</v>
      </c>
      <c r="B1085" s="3">
        <v>8</v>
      </c>
      <c r="C1085" s="3">
        <v>41</v>
      </c>
      <c r="D1085" s="3">
        <v>17</v>
      </c>
      <c r="E1085" s="3">
        <v>-574.874</v>
      </c>
      <c r="F1085" s="4" t="str">
        <f>HYPERLINK("http://141.218.60.56/~jnz1568/getInfo.php?workbook=18_08.xlsx&amp;sheet=A0&amp;row=1085&amp;col=6&amp;number=0.4047&amp;sourceID=14","0.4047")</f>
        <v>0.4047</v>
      </c>
      <c r="G1085" s="4" t="str">
        <f>HYPERLINK("http://141.218.60.56/~jnz1568/getInfo.php?workbook=18_08.xlsx&amp;sheet=A0&amp;row=1085&amp;col=7&amp;number=0&amp;sourceID=14","0")</f>
        <v>0</v>
      </c>
    </row>
    <row r="1086" spans="1:7">
      <c r="A1086" s="3">
        <v>18</v>
      </c>
      <c r="B1086" s="3">
        <v>8</v>
      </c>
      <c r="C1086" s="3">
        <v>43</v>
      </c>
      <c r="D1086" s="3">
        <v>17</v>
      </c>
      <c r="E1086" s="3">
        <v>-620.137</v>
      </c>
      <c r="F1086" s="4" t="str">
        <f>HYPERLINK("http://141.218.60.56/~jnz1568/getInfo.php?workbook=18_08.xlsx&amp;sheet=A0&amp;row=1086&amp;col=6&amp;number=60.37&amp;sourceID=14","60.37")</f>
        <v>60.37</v>
      </c>
      <c r="G1086" s="4" t="str">
        <f>HYPERLINK("http://141.218.60.56/~jnz1568/getInfo.php?workbook=18_08.xlsx&amp;sheet=A0&amp;row=1086&amp;col=7&amp;number=0&amp;sourceID=14","0")</f>
        <v>0</v>
      </c>
    </row>
    <row r="1087" spans="1:7">
      <c r="A1087" s="3">
        <v>18</v>
      </c>
      <c r="B1087" s="3">
        <v>8</v>
      </c>
      <c r="C1087" s="3">
        <v>44</v>
      </c>
      <c r="D1087" s="3">
        <v>17</v>
      </c>
      <c r="E1087" s="3">
        <v>-693.737</v>
      </c>
      <c r="F1087" s="4" t="str">
        <f>HYPERLINK("http://141.218.60.56/~jnz1568/getInfo.php?workbook=18_08.xlsx&amp;sheet=A0&amp;row=1087&amp;col=6&amp;number=314.4&amp;sourceID=14","314.4")</f>
        <v>314.4</v>
      </c>
      <c r="G1087" s="4" t="str">
        <f>HYPERLINK("http://141.218.60.56/~jnz1568/getInfo.php?workbook=18_08.xlsx&amp;sheet=A0&amp;row=1087&amp;col=7&amp;number=0&amp;sourceID=14","0")</f>
        <v>0</v>
      </c>
    </row>
    <row r="1088" spans="1:7">
      <c r="A1088" s="3">
        <v>18</v>
      </c>
      <c r="B1088" s="3">
        <v>8</v>
      </c>
      <c r="C1088" s="3">
        <v>45</v>
      </c>
      <c r="D1088" s="3">
        <v>17</v>
      </c>
      <c r="E1088" s="3">
        <v>-627.695</v>
      </c>
      <c r="F1088" s="4" t="str">
        <f>HYPERLINK("http://141.218.60.56/~jnz1568/getInfo.php?workbook=18_08.xlsx&amp;sheet=A0&amp;row=1088&amp;col=6&amp;number=114&amp;sourceID=14","114")</f>
        <v>114</v>
      </c>
      <c r="G1088" s="4" t="str">
        <f>HYPERLINK("http://141.218.60.56/~jnz1568/getInfo.php?workbook=18_08.xlsx&amp;sheet=A0&amp;row=1088&amp;col=7&amp;number=0&amp;sourceID=14","0")</f>
        <v>0</v>
      </c>
    </row>
    <row r="1089" spans="1:7">
      <c r="A1089" s="3">
        <v>18</v>
      </c>
      <c r="B1089" s="3">
        <v>8</v>
      </c>
      <c r="C1089" s="3">
        <v>46</v>
      </c>
      <c r="D1089" s="3">
        <v>17</v>
      </c>
      <c r="E1089" s="3">
        <v>-587.691</v>
      </c>
      <c r="F1089" s="4" t="str">
        <f>HYPERLINK("http://141.218.60.56/~jnz1568/getInfo.php?workbook=18_08.xlsx&amp;sheet=A0&amp;row=1089&amp;col=6&amp;number=10.5&amp;sourceID=14","10.5")</f>
        <v>10.5</v>
      </c>
      <c r="G1089" s="4" t="str">
        <f>HYPERLINK("http://141.218.60.56/~jnz1568/getInfo.php?workbook=18_08.xlsx&amp;sheet=A0&amp;row=1089&amp;col=7&amp;number=0&amp;sourceID=14","0")</f>
        <v>0</v>
      </c>
    </row>
    <row r="1090" spans="1:7">
      <c r="A1090" s="3">
        <v>18</v>
      </c>
      <c r="B1090" s="3">
        <v>8</v>
      </c>
      <c r="C1090" s="3">
        <v>47</v>
      </c>
      <c r="D1090" s="3">
        <v>17</v>
      </c>
      <c r="E1090" s="3">
        <v>-606.626</v>
      </c>
      <c r="F1090" s="4" t="str">
        <f>HYPERLINK("http://141.218.60.56/~jnz1568/getInfo.php?workbook=18_08.xlsx&amp;sheet=A0&amp;row=1090&amp;col=6&amp;number=0.0447&amp;sourceID=14","0.0447")</f>
        <v>0.0447</v>
      </c>
      <c r="G1090" s="4" t="str">
        <f>HYPERLINK("http://141.218.60.56/~jnz1568/getInfo.php?workbook=18_08.xlsx&amp;sheet=A0&amp;row=1090&amp;col=7&amp;number=0&amp;sourceID=14","0")</f>
        <v>0</v>
      </c>
    </row>
    <row r="1091" spans="1:7">
      <c r="A1091" s="3">
        <v>18</v>
      </c>
      <c r="B1091" s="3">
        <v>8</v>
      </c>
      <c r="C1091" s="3">
        <v>48</v>
      </c>
      <c r="D1091" s="3">
        <v>17</v>
      </c>
      <c r="E1091" s="3">
        <v>-573.41</v>
      </c>
      <c r="F1091" s="4" t="str">
        <f>HYPERLINK("http://141.218.60.56/~jnz1568/getInfo.php?workbook=18_08.xlsx&amp;sheet=A0&amp;row=1091&amp;col=6&amp;number=0.4605&amp;sourceID=14","0.4605")</f>
        <v>0.4605</v>
      </c>
      <c r="G1091" s="4" t="str">
        <f>HYPERLINK("http://141.218.60.56/~jnz1568/getInfo.php?workbook=18_08.xlsx&amp;sheet=A0&amp;row=1091&amp;col=7&amp;number=0&amp;sourceID=14","0")</f>
        <v>0</v>
      </c>
    </row>
    <row r="1092" spans="1:7">
      <c r="A1092" s="3">
        <v>18</v>
      </c>
      <c r="B1092" s="3">
        <v>8</v>
      </c>
      <c r="C1092" s="3">
        <v>49</v>
      </c>
      <c r="D1092" s="3">
        <v>17</v>
      </c>
      <c r="E1092" s="3">
        <v>-540.833</v>
      </c>
      <c r="F1092" s="4" t="str">
        <f>HYPERLINK("http://141.218.60.56/~jnz1568/getInfo.php?workbook=18_08.xlsx&amp;sheet=A0&amp;row=1092&amp;col=6&amp;number=81.54&amp;sourceID=14","81.54")</f>
        <v>81.54</v>
      </c>
      <c r="G1092" s="4" t="str">
        <f>HYPERLINK("http://141.218.60.56/~jnz1568/getInfo.php?workbook=18_08.xlsx&amp;sheet=A0&amp;row=1092&amp;col=7&amp;number=0&amp;sourceID=14","0")</f>
        <v>0</v>
      </c>
    </row>
    <row r="1093" spans="1:7">
      <c r="A1093" s="3">
        <v>18</v>
      </c>
      <c r="B1093" s="3">
        <v>8</v>
      </c>
      <c r="C1093" s="3">
        <v>50</v>
      </c>
      <c r="D1093" s="3">
        <v>17</v>
      </c>
      <c r="E1093" s="3">
        <v>-532.478</v>
      </c>
      <c r="F1093" s="4" t="str">
        <f>HYPERLINK("http://141.218.60.56/~jnz1568/getInfo.php?workbook=18_08.xlsx&amp;sheet=A0&amp;row=1093&amp;col=6&amp;number=580.8&amp;sourceID=14","580.8")</f>
        <v>580.8</v>
      </c>
      <c r="G1093" s="4" t="str">
        <f>HYPERLINK("http://141.218.60.56/~jnz1568/getInfo.php?workbook=18_08.xlsx&amp;sheet=A0&amp;row=1093&amp;col=7&amp;number=0&amp;sourceID=14","0")</f>
        <v>0</v>
      </c>
    </row>
    <row r="1094" spans="1:7">
      <c r="A1094" s="3">
        <v>18</v>
      </c>
      <c r="B1094" s="3">
        <v>8</v>
      </c>
      <c r="C1094" s="3">
        <v>51</v>
      </c>
      <c r="D1094" s="3">
        <v>17</v>
      </c>
      <c r="E1094" s="3">
        <v>482.803</v>
      </c>
      <c r="F1094" s="4" t="str">
        <f>HYPERLINK("http://141.218.60.56/~jnz1568/getInfo.php?workbook=18_08.xlsx&amp;sheet=A0&amp;row=1094&amp;col=6&amp;number=5268000&amp;sourceID=14","5268000")</f>
        <v>5268000</v>
      </c>
      <c r="G1094" s="4" t="str">
        <f>HYPERLINK("http://141.218.60.56/~jnz1568/getInfo.php?workbook=18_08.xlsx&amp;sheet=A0&amp;row=1094&amp;col=7&amp;number=0&amp;sourceID=14","0")</f>
        <v>0</v>
      </c>
    </row>
    <row r="1095" spans="1:7">
      <c r="A1095" s="3">
        <v>18</v>
      </c>
      <c r="B1095" s="3">
        <v>8</v>
      </c>
      <c r="C1095" s="3">
        <v>52</v>
      </c>
      <c r="D1095" s="3">
        <v>17</v>
      </c>
      <c r="E1095" s="3">
        <v>485.6</v>
      </c>
      <c r="F1095" s="4" t="str">
        <f>HYPERLINK("http://141.218.60.56/~jnz1568/getInfo.php?workbook=18_08.xlsx&amp;sheet=A0&amp;row=1095&amp;col=6&amp;number=2102000&amp;sourceID=14","2102000")</f>
        <v>2102000</v>
      </c>
      <c r="G1095" s="4" t="str">
        <f>HYPERLINK("http://141.218.60.56/~jnz1568/getInfo.php?workbook=18_08.xlsx&amp;sheet=A0&amp;row=1095&amp;col=7&amp;number=0&amp;sourceID=14","0")</f>
        <v>0</v>
      </c>
    </row>
    <row r="1096" spans="1:7">
      <c r="A1096" s="3">
        <v>18</v>
      </c>
      <c r="B1096" s="3">
        <v>8</v>
      </c>
      <c r="C1096" s="3">
        <v>53</v>
      </c>
      <c r="D1096" s="3">
        <v>17</v>
      </c>
      <c r="E1096" s="3">
        <v>-528.611</v>
      </c>
      <c r="F1096" s="4" t="str">
        <f>HYPERLINK("http://141.218.60.56/~jnz1568/getInfo.php?workbook=18_08.xlsx&amp;sheet=A0&amp;row=1096&amp;col=6&amp;number=504.5&amp;sourceID=14","504.5")</f>
        <v>504.5</v>
      </c>
      <c r="G1096" s="4" t="str">
        <f>HYPERLINK("http://141.218.60.56/~jnz1568/getInfo.php?workbook=18_08.xlsx&amp;sheet=A0&amp;row=1096&amp;col=7&amp;number=0&amp;sourceID=14","0")</f>
        <v>0</v>
      </c>
    </row>
    <row r="1097" spans="1:7">
      <c r="A1097" s="3">
        <v>18</v>
      </c>
      <c r="B1097" s="3">
        <v>8</v>
      </c>
      <c r="C1097" s="3">
        <v>54</v>
      </c>
      <c r="D1097" s="3">
        <v>17</v>
      </c>
      <c r="E1097" s="3">
        <v>482.803</v>
      </c>
      <c r="F1097" s="4" t="str">
        <f>HYPERLINK("http://141.218.60.56/~jnz1568/getInfo.php?workbook=18_08.xlsx&amp;sheet=A0&amp;row=1097&amp;col=6&amp;number=0.03217&amp;sourceID=14","0.03217")</f>
        <v>0.03217</v>
      </c>
      <c r="G1097" s="4" t="str">
        <f>HYPERLINK("http://141.218.60.56/~jnz1568/getInfo.php?workbook=18_08.xlsx&amp;sheet=A0&amp;row=1097&amp;col=7&amp;number=0&amp;sourceID=14","0")</f>
        <v>0</v>
      </c>
    </row>
    <row r="1098" spans="1:7">
      <c r="A1098" s="3">
        <v>18</v>
      </c>
      <c r="B1098" s="3">
        <v>8</v>
      </c>
      <c r="C1098" s="3">
        <v>55</v>
      </c>
      <c r="D1098" s="3">
        <v>17</v>
      </c>
      <c r="E1098" s="3">
        <v>-457.021</v>
      </c>
      <c r="F1098" s="4" t="str">
        <f>HYPERLINK("http://141.218.60.56/~jnz1568/getInfo.php?workbook=18_08.xlsx&amp;sheet=A0&amp;row=1098&amp;col=6&amp;number=4.922&amp;sourceID=14","4.922")</f>
        <v>4.922</v>
      </c>
      <c r="G1098" s="4" t="str">
        <f>HYPERLINK("http://141.218.60.56/~jnz1568/getInfo.php?workbook=18_08.xlsx&amp;sheet=A0&amp;row=1098&amp;col=7&amp;number=0&amp;sourceID=14","0")</f>
        <v>0</v>
      </c>
    </row>
    <row r="1099" spans="1:7">
      <c r="A1099" s="3">
        <v>18</v>
      </c>
      <c r="B1099" s="3">
        <v>8</v>
      </c>
      <c r="C1099" s="3">
        <v>56</v>
      </c>
      <c r="D1099" s="3">
        <v>17</v>
      </c>
      <c r="E1099" s="3">
        <v>371.85</v>
      </c>
      <c r="F1099" s="4" t="str">
        <f>HYPERLINK("http://141.218.60.56/~jnz1568/getInfo.php?workbook=18_08.xlsx&amp;sheet=A0&amp;row=1099&amp;col=6&amp;number=46670&amp;sourceID=14","46670")</f>
        <v>46670</v>
      </c>
      <c r="G1099" s="4" t="str">
        <f>HYPERLINK("http://141.218.60.56/~jnz1568/getInfo.php?workbook=18_08.xlsx&amp;sheet=A0&amp;row=1099&amp;col=7&amp;number=0&amp;sourceID=14","0")</f>
        <v>0</v>
      </c>
    </row>
    <row r="1100" spans="1:7">
      <c r="A1100" s="3">
        <v>18</v>
      </c>
      <c r="B1100" s="3">
        <v>8</v>
      </c>
      <c r="C1100" s="3">
        <v>57</v>
      </c>
      <c r="D1100" s="3">
        <v>17</v>
      </c>
      <c r="E1100" s="3">
        <v>-369.959</v>
      </c>
      <c r="F1100" s="4" t="str">
        <f>HYPERLINK("http://141.218.60.56/~jnz1568/getInfo.php?workbook=18_08.xlsx&amp;sheet=A0&amp;row=1100&amp;col=6&amp;number=2.432e-05&amp;sourceID=14","2.432e-05")</f>
        <v>2.432e-05</v>
      </c>
      <c r="G1100" s="4" t="str">
        <f>HYPERLINK("http://141.218.60.56/~jnz1568/getInfo.php?workbook=18_08.xlsx&amp;sheet=A0&amp;row=1100&amp;col=7&amp;number=0&amp;sourceID=14","0")</f>
        <v>0</v>
      </c>
    </row>
    <row r="1101" spans="1:7">
      <c r="A1101" s="3">
        <v>18</v>
      </c>
      <c r="B1101" s="3">
        <v>8</v>
      </c>
      <c r="C1101" s="3">
        <v>58</v>
      </c>
      <c r="D1101" s="3">
        <v>17</v>
      </c>
      <c r="E1101" s="3">
        <v>-366.266</v>
      </c>
      <c r="F1101" s="4" t="str">
        <f>HYPERLINK("http://141.218.60.56/~jnz1568/getInfo.php?workbook=18_08.xlsx&amp;sheet=A0&amp;row=1101&amp;col=6&amp;number=134400&amp;sourceID=14","134400")</f>
        <v>134400</v>
      </c>
      <c r="G1101" s="4" t="str">
        <f>HYPERLINK("http://141.218.60.56/~jnz1568/getInfo.php?workbook=18_08.xlsx&amp;sheet=A0&amp;row=1101&amp;col=7&amp;number=0&amp;sourceID=14","0")</f>
        <v>0</v>
      </c>
    </row>
    <row r="1102" spans="1:7">
      <c r="A1102" s="3">
        <v>18</v>
      </c>
      <c r="B1102" s="3">
        <v>8</v>
      </c>
      <c r="C1102" s="3">
        <v>60</v>
      </c>
      <c r="D1102" s="3">
        <v>17</v>
      </c>
      <c r="E1102" s="3">
        <v>-355.361</v>
      </c>
      <c r="F1102" s="4" t="str">
        <f>HYPERLINK("http://141.218.60.56/~jnz1568/getInfo.php?workbook=18_08.xlsx&amp;sheet=A0&amp;row=1102&amp;col=6&amp;number=9.628e-06&amp;sourceID=14","9.628e-06")</f>
        <v>9.628e-06</v>
      </c>
      <c r="G1102" s="4" t="str">
        <f>HYPERLINK("http://141.218.60.56/~jnz1568/getInfo.php?workbook=18_08.xlsx&amp;sheet=A0&amp;row=1102&amp;col=7&amp;number=0&amp;sourceID=14","0")</f>
        <v>0</v>
      </c>
    </row>
    <row r="1103" spans="1:7">
      <c r="A1103" s="3">
        <v>18</v>
      </c>
      <c r="B1103" s="3">
        <v>8</v>
      </c>
      <c r="C1103" s="3">
        <v>64</v>
      </c>
      <c r="D1103" s="3">
        <v>17</v>
      </c>
      <c r="E1103" s="3">
        <v>341.754</v>
      </c>
      <c r="F1103" s="4" t="str">
        <f>HYPERLINK("http://141.218.60.56/~jnz1568/getInfo.php?workbook=18_08.xlsx&amp;sheet=A0&amp;row=1103&amp;col=6&amp;number=169400&amp;sourceID=14","169400")</f>
        <v>169400</v>
      </c>
      <c r="G1103" s="4" t="str">
        <f>HYPERLINK("http://141.218.60.56/~jnz1568/getInfo.php?workbook=18_08.xlsx&amp;sheet=A0&amp;row=1103&amp;col=7&amp;number=0&amp;sourceID=14","0")</f>
        <v>0</v>
      </c>
    </row>
    <row r="1104" spans="1:7">
      <c r="A1104" s="3">
        <v>18</v>
      </c>
      <c r="B1104" s="3">
        <v>8</v>
      </c>
      <c r="C1104" s="3">
        <v>65</v>
      </c>
      <c r="D1104" s="3">
        <v>17</v>
      </c>
      <c r="E1104" s="3">
        <v>-370.584</v>
      </c>
      <c r="F1104" s="4" t="str">
        <f>HYPERLINK("http://141.218.60.56/~jnz1568/getInfo.php?workbook=18_08.xlsx&amp;sheet=A0&amp;row=1104&amp;col=6&amp;number=0.2813&amp;sourceID=14","0.2813")</f>
        <v>0.2813</v>
      </c>
      <c r="G1104" s="4" t="str">
        <f>HYPERLINK("http://141.218.60.56/~jnz1568/getInfo.php?workbook=18_08.xlsx&amp;sheet=A0&amp;row=1104&amp;col=7&amp;number=0&amp;sourceID=14","0")</f>
        <v>0</v>
      </c>
    </row>
    <row r="1105" spans="1:7">
      <c r="A1105" s="3">
        <v>18</v>
      </c>
      <c r="B1105" s="3">
        <v>8</v>
      </c>
      <c r="C1105" s="3">
        <v>66</v>
      </c>
      <c r="D1105" s="3">
        <v>17</v>
      </c>
      <c r="E1105" s="3">
        <v>342.192</v>
      </c>
      <c r="F1105" s="4" t="str">
        <f>HYPERLINK("http://141.218.60.56/~jnz1568/getInfo.php?workbook=18_08.xlsx&amp;sheet=A0&amp;row=1105&amp;col=6&amp;number=282400&amp;sourceID=14","282400")</f>
        <v>282400</v>
      </c>
      <c r="G1105" s="4" t="str">
        <f>HYPERLINK("http://141.218.60.56/~jnz1568/getInfo.php?workbook=18_08.xlsx&amp;sheet=A0&amp;row=1105&amp;col=7&amp;number=0&amp;sourceID=14","0")</f>
        <v>0</v>
      </c>
    </row>
    <row r="1106" spans="1:7">
      <c r="A1106" s="3">
        <v>18</v>
      </c>
      <c r="B1106" s="3">
        <v>8</v>
      </c>
      <c r="C1106" s="3">
        <v>67</v>
      </c>
      <c r="D1106" s="3">
        <v>17</v>
      </c>
      <c r="E1106" s="3">
        <v>352.686</v>
      </c>
      <c r="F1106" s="4" t="str">
        <f>HYPERLINK("http://141.218.60.56/~jnz1568/getInfo.php?workbook=18_08.xlsx&amp;sheet=A0&amp;row=1106&amp;col=6&amp;number=919400&amp;sourceID=14","919400")</f>
        <v>919400</v>
      </c>
      <c r="G1106" s="4" t="str">
        <f>HYPERLINK("http://141.218.60.56/~jnz1568/getInfo.php?workbook=18_08.xlsx&amp;sheet=A0&amp;row=1106&amp;col=7&amp;number=0&amp;sourceID=14","0")</f>
        <v>0</v>
      </c>
    </row>
    <row r="1107" spans="1:7">
      <c r="A1107" s="3">
        <v>18</v>
      </c>
      <c r="B1107" s="3">
        <v>8</v>
      </c>
      <c r="C1107" s="3">
        <v>68</v>
      </c>
      <c r="D1107" s="3">
        <v>17</v>
      </c>
      <c r="E1107" s="3">
        <v>340.354</v>
      </c>
      <c r="F1107" s="4" t="str">
        <f>HYPERLINK("http://141.218.60.56/~jnz1568/getInfo.php?workbook=18_08.xlsx&amp;sheet=A0&amp;row=1107&amp;col=6&amp;number=0.01794&amp;sourceID=14","0.01794")</f>
        <v>0.01794</v>
      </c>
      <c r="G1107" s="4" t="str">
        <f>HYPERLINK("http://141.218.60.56/~jnz1568/getInfo.php?workbook=18_08.xlsx&amp;sheet=A0&amp;row=1107&amp;col=7&amp;number=0&amp;sourceID=14","0")</f>
        <v>0</v>
      </c>
    </row>
    <row r="1108" spans="1:7">
      <c r="A1108" s="3">
        <v>18</v>
      </c>
      <c r="B1108" s="3">
        <v>8</v>
      </c>
      <c r="C1108" s="3">
        <v>69</v>
      </c>
      <c r="D1108" s="3">
        <v>17</v>
      </c>
      <c r="E1108" s="3">
        <v>330.224</v>
      </c>
      <c r="F1108" s="4" t="str">
        <f>HYPERLINK("http://141.218.60.56/~jnz1568/getInfo.php?workbook=18_08.xlsx&amp;sheet=A0&amp;row=1108&amp;col=6&amp;number=383100&amp;sourceID=14","383100")</f>
        <v>383100</v>
      </c>
      <c r="G1108" s="4" t="str">
        <f>HYPERLINK("http://141.218.60.56/~jnz1568/getInfo.php?workbook=18_08.xlsx&amp;sheet=A0&amp;row=1108&amp;col=7&amp;number=0&amp;sourceID=14","0")</f>
        <v>0</v>
      </c>
    </row>
    <row r="1109" spans="1:7">
      <c r="A1109" s="3">
        <v>18</v>
      </c>
      <c r="B1109" s="3">
        <v>8</v>
      </c>
      <c r="C1109" s="3">
        <v>70</v>
      </c>
      <c r="D1109" s="3">
        <v>17</v>
      </c>
      <c r="E1109" s="3">
        <v>-320.52</v>
      </c>
      <c r="F1109" s="4" t="str">
        <f>HYPERLINK("http://141.218.60.56/~jnz1568/getInfo.php?workbook=18_08.xlsx&amp;sheet=A0&amp;row=1109&amp;col=6&amp;number=522200&amp;sourceID=14","522200")</f>
        <v>522200</v>
      </c>
      <c r="G1109" s="4" t="str">
        <f>HYPERLINK("http://141.218.60.56/~jnz1568/getInfo.php?workbook=18_08.xlsx&amp;sheet=A0&amp;row=1109&amp;col=7&amp;number=0&amp;sourceID=14","0")</f>
        <v>0</v>
      </c>
    </row>
    <row r="1110" spans="1:7">
      <c r="A1110" s="3">
        <v>18</v>
      </c>
      <c r="B1110" s="3">
        <v>8</v>
      </c>
      <c r="C1110" s="3">
        <v>71</v>
      </c>
      <c r="D1110" s="3">
        <v>17</v>
      </c>
      <c r="E1110" s="3">
        <v>318.234</v>
      </c>
      <c r="F1110" s="4" t="str">
        <f>HYPERLINK("http://141.218.60.56/~jnz1568/getInfo.php?workbook=18_08.xlsx&amp;sheet=A0&amp;row=1110&amp;col=6&amp;number=164000&amp;sourceID=14","164000")</f>
        <v>164000</v>
      </c>
      <c r="G1110" s="4" t="str">
        <f>HYPERLINK("http://141.218.60.56/~jnz1568/getInfo.php?workbook=18_08.xlsx&amp;sheet=A0&amp;row=1110&amp;col=7&amp;number=0&amp;sourceID=14","0")</f>
        <v>0</v>
      </c>
    </row>
    <row r="1111" spans="1:7">
      <c r="A1111" s="3">
        <v>18</v>
      </c>
      <c r="B1111" s="3">
        <v>8</v>
      </c>
      <c r="C1111" s="3">
        <v>72</v>
      </c>
      <c r="D1111" s="3">
        <v>17</v>
      </c>
      <c r="E1111" s="3">
        <v>330.224</v>
      </c>
      <c r="F1111" s="4" t="str">
        <f>HYPERLINK("http://141.218.60.56/~jnz1568/getInfo.php?workbook=18_08.xlsx&amp;sheet=A0&amp;row=1111&amp;col=6&amp;number=45040&amp;sourceID=14","45040")</f>
        <v>45040</v>
      </c>
      <c r="G1111" s="4" t="str">
        <f>HYPERLINK("http://141.218.60.56/~jnz1568/getInfo.php?workbook=18_08.xlsx&amp;sheet=A0&amp;row=1111&amp;col=7&amp;number=0&amp;sourceID=14","0")</f>
        <v>0</v>
      </c>
    </row>
    <row r="1112" spans="1:7">
      <c r="A1112" s="3">
        <v>18</v>
      </c>
      <c r="B1112" s="3">
        <v>8</v>
      </c>
      <c r="C1112" s="3">
        <v>73</v>
      </c>
      <c r="D1112" s="3">
        <v>17</v>
      </c>
      <c r="E1112" s="3">
        <v>318.234</v>
      </c>
      <c r="F1112" s="4" t="str">
        <f>HYPERLINK("http://141.218.60.56/~jnz1568/getInfo.php?workbook=18_08.xlsx&amp;sheet=A0&amp;row=1112&amp;col=6&amp;number=2249000&amp;sourceID=14","2249000")</f>
        <v>2249000</v>
      </c>
      <c r="G1112" s="4" t="str">
        <f>HYPERLINK("http://141.218.60.56/~jnz1568/getInfo.php?workbook=18_08.xlsx&amp;sheet=A0&amp;row=1112&amp;col=7&amp;number=0&amp;sourceID=14","0")</f>
        <v>0</v>
      </c>
    </row>
    <row r="1113" spans="1:7">
      <c r="A1113" s="3">
        <v>18</v>
      </c>
      <c r="B1113" s="3">
        <v>8</v>
      </c>
      <c r="C1113" s="3">
        <v>74</v>
      </c>
      <c r="D1113" s="3">
        <v>17</v>
      </c>
      <c r="E1113" s="3">
        <v>306.462</v>
      </c>
      <c r="F1113" s="4" t="str">
        <f>HYPERLINK("http://141.218.60.56/~jnz1568/getInfo.php?workbook=18_08.xlsx&amp;sheet=A0&amp;row=1113&amp;col=6&amp;number=0.001774&amp;sourceID=14","0.001774")</f>
        <v>0.001774</v>
      </c>
      <c r="G1113" s="4" t="str">
        <f>HYPERLINK("http://141.218.60.56/~jnz1568/getInfo.php?workbook=18_08.xlsx&amp;sheet=A0&amp;row=1113&amp;col=7&amp;number=0&amp;sourceID=14","0")</f>
        <v>0</v>
      </c>
    </row>
    <row r="1114" spans="1:7">
      <c r="A1114" s="3">
        <v>18</v>
      </c>
      <c r="B1114" s="3">
        <v>8</v>
      </c>
      <c r="C1114" s="3">
        <v>75</v>
      </c>
      <c r="D1114" s="3">
        <v>17</v>
      </c>
      <c r="E1114" s="3">
        <v>-298.438</v>
      </c>
      <c r="F1114" s="4" t="str">
        <f>HYPERLINK("http://141.218.60.56/~jnz1568/getInfo.php?workbook=18_08.xlsx&amp;sheet=A0&amp;row=1114&amp;col=6&amp;number=114200&amp;sourceID=14","114200")</f>
        <v>114200</v>
      </c>
      <c r="G1114" s="4" t="str">
        <f>HYPERLINK("http://141.218.60.56/~jnz1568/getInfo.php?workbook=18_08.xlsx&amp;sheet=A0&amp;row=1114&amp;col=7&amp;number=0&amp;sourceID=14","0")</f>
        <v>0</v>
      </c>
    </row>
    <row r="1115" spans="1:7">
      <c r="A1115" s="3">
        <v>18</v>
      </c>
      <c r="B1115" s="3">
        <v>8</v>
      </c>
      <c r="C1115" s="3">
        <v>77</v>
      </c>
      <c r="D1115" s="3">
        <v>17</v>
      </c>
      <c r="E1115" s="3">
        <v>306.431</v>
      </c>
      <c r="F1115" s="4" t="str">
        <f>HYPERLINK("http://141.218.60.56/~jnz1568/getInfo.php?workbook=18_08.xlsx&amp;sheet=A0&amp;row=1115&amp;col=6&amp;number=0.003959&amp;sourceID=14","0.003959")</f>
        <v>0.003959</v>
      </c>
      <c r="G1115" s="4" t="str">
        <f>HYPERLINK("http://141.218.60.56/~jnz1568/getInfo.php?workbook=18_08.xlsx&amp;sheet=A0&amp;row=1115&amp;col=7&amp;number=0&amp;sourceID=14","0")</f>
        <v>0</v>
      </c>
    </row>
    <row r="1116" spans="1:7">
      <c r="A1116" s="3">
        <v>18</v>
      </c>
      <c r="B1116" s="3">
        <v>8</v>
      </c>
      <c r="C1116" s="3">
        <v>78</v>
      </c>
      <c r="D1116" s="3">
        <v>17</v>
      </c>
      <c r="E1116" s="3">
        <v>-297.708</v>
      </c>
      <c r="F1116" s="4" t="str">
        <f>HYPERLINK("http://141.218.60.56/~jnz1568/getInfo.php?workbook=18_08.xlsx&amp;sheet=A0&amp;row=1116&amp;col=6&amp;number=1278000&amp;sourceID=14","1278000")</f>
        <v>1278000</v>
      </c>
      <c r="G1116" s="4" t="str">
        <f>HYPERLINK("http://141.218.60.56/~jnz1568/getInfo.php?workbook=18_08.xlsx&amp;sheet=A0&amp;row=1116&amp;col=7&amp;number=0&amp;sourceID=14","0")</f>
        <v>0</v>
      </c>
    </row>
    <row r="1117" spans="1:7">
      <c r="A1117" s="3">
        <v>18</v>
      </c>
      <c r="B1117" s="3">
        <v>8</v>
      </c>
      <c r="C1117" s="3">
        <v>79</v>
      </c>
      <c r="D1117" s="3">
        <v>17</v>
      </c>
      <c r="E1117" s="3">
        <v>-295.084</v>
      </c>
      <c r="F1117" s="4" t="str">
        <f>HYPERLINK("http://141.218.60.56/~jnz1568/getInfo.php?workbook=18_08.xlsx&amp;sheet=A0&amp;row=1117&amp;col=6&amp;number=2780000&amp;sourceID=14","2780000")</f>
        <v>2780000</v>
      </c>
      <c r="G1117" s="4" t="str">
        <f>HYPERLINK("http://141.218.60.56/~jnz1568/getInfo.php?workbook=18_08.xlsx&amp;sheet=A0&amp;row=1117&amp;col=7&amp;number=0&amp;sourceID=14","0")</f>
        <v>0</v>
      </c>
    </row>
    <row r="1118" spans="1:7">
      <c r="A1118" s="3">
        <v>18</v>
      </c>
      <c r="B1118" s="3">
        <v>8</v>
      </c>
      <c r="C1118" s="3">
        <v>80</v>
      </c>
      <c r="D1118" s="3">
        <v>17</v>
      </c>
      <c r="E1118" s="3">
        <v>-293.406</v>
      </c>
      <c r="F1118" s="4" t="str">
        <f>HYPERLINK("http://141.218.60.56/~jnz1568/getInfo.php?workbook=18_08.xlsx&amp;sheet=A0&amp;row=1118&amp;col=6&amp;number=1024000&amp;sourceID=14","1024000")</f>
        <v>1024000</v>
      </c>
      <c r="G1118" s="4" t="str">
        <f>HYPERLINK("http://141.218.60.56/~jnz1568/getInfo.php?workbook=18_08.xlsx&amp;sheet=A0&amp;row=1118&amp;col=7&amp;number=0&amp;sourceID=14","0")</f>
        <v>0</v>
      </c>
    </row>
    <row r="1119" spans="1:7">
      <c r="A1119" s="3">
        <v>18</v>
      </c>
      <c r="B1119" s="3">
        <v>8</v>
      </c>
      <c r="C1119" s="3">
        <v>81</v>
      </c>
      <c r="D1119" s="3">
        <v>17</v>
      </c>
      <c r="E1119" s="3">
        <v>288.819</v>
      </c>
      <c r="F1119" s="4" t="str">
        <f>HYPERLINK("http://141.218.60.56/~jnz1568/getInfo.php?workbook=18_08.xlsx&amp;sheet=A0&amp;row=1119&amp;col=6&amp;number=4430&amp;sourceID=14","4430")</f>
        <v>4430</v>
      </c>
      <c r="G1119" s="4" t="str">
        <f>HYPERLINK("http://141.218.60.56/~jnz1568/getInfo.php?workbook=18_08.xlsx&amp;sheet=A0&amp;row=1119&amp;col=7&amp;number=0&amp;sourceID=14","0")</f>
        <v>0</v>
      </c>
    </row>
    <row r="1120" spans="1:7">
      <c r="A1120" s="3">
        <v>18</v>
      </c>
      <c r="B1120" s="3">
        <v>8</v>
      </c>
      <c r="C1120" s="3">
        <v>82</v>
      </c>
      <c r="D1120" s="3">
        <v>17</v>
      </c>
      <c r="E1120" s="3">
        <v>285.619</v>
      </c>
      <c r="F1120" s="4" t="str">
        <f>HYPERLINK("http://141.218.60.56/~jnz1568/getInfo.php?workbook=18_08.xlsx&amp;sheet=A0&amp;row=1120&amp;col=6&amp;number=0.009817&amp;sourceID=14","0.009817")</f>
        <v>0.009817</v>
      </c>
      <c r="G1120" s="4" t="str">
        <f>HYPERLINK("http://141.218.60.56/~jnz1568/getInfo.php?workbook=18_08.xlsx&amp;sheet=A0&amp;row=1120&amp;col=7&amp;number=0&amp;sourceID=14","0")</f>
        <v>0</v>
      </c>
    </row>
    <row r="1121" spans="1:7">
      <c r="A1121" s="3">
        <v>18</v>
      </c>
      <c r="B1121" s="3">
        <v>8</v>
      </c>
      <c r="C1121" s="3">
        <v>83</v>
      </c>
      <c r="D1121" s="3">
        <v>17</v>
      </c>
      <c r="E1121" s="3">
        <v>277.849</v>
      </c>
      <c r="F1121" s="4" t="str">
        <f>HYPERLINK("http://141.218.60.56/~jnz1568/getInfo.php?workbook=18_08.xlsx&amp;sheet=A0&amp;row=1121&amp;col=6&amp;number=12200&amp;sourceID=14","12200")</f>
        <v>12200</v>
      </c>
      <c r="G1121" s="4" t="str">
        <f>HYPERLINK("http://141.218.60.56/~jnz1568/getInfo.php?workbook=18_08.xlsx&amp;sheet=A0&amp;row=1121&amp;col=7&amp;number=0&amp;sourceID=14","0")</f>
        <v>0</v>
      </c>
    </row>
    <row r="1122" spans="1:7">
      <c r="A1122" s="3">
        <v>18</v>
      </c>
      <c r="B1122" s="3">
        <v>8</v>
      </c>
      <c r="C1122" s="3">
        <v>84</v>
      </c>
      <c r="D1122" s="3">
        <v>17</v>
      </c>
      <c r="E1122" s="3">
        <v>285.382</v>
      </c>
      <c r="F1122" s="4" t="str">
        <f>HYPERLINK("http://141.218.60.56/~jnz1568/getInfo.php?workbook=18_08.xlsx&amp;sheet=A0&amp;row=1122&amp;col=6&amp;number=462.1&amp;sourceID=14","462.1")</f>
        <v>462.1</v>
      </c>
      <c r="G1122" s="4" t="str">
        <f>HYPERLINK("http://141.218.60.56/~jnz1568/getInfo.php?workbook=18_08.xlsx&amp;sheet=A0&amp;row=1122&amp;col=7&amp;number=0&amp;sourceID=14","0")</f>
        <v>0</v>
      </c>
    </row>
    <row r="1123" spans="1:7">
      <c r="A1123" s="3">
        <v>18</v>
      </c>
      <c r="B1123" s="3">
        <v>8</v>
      </c>
      <c r="C1123" s="3">
        <v>85</v>
      </c>
      <c r="D1123" s="3">
        <v>17</v>
      </c>
      <c r="E1123" s="3">
        <v>273.495</v>
      </c>
      <c r="F1123" s="4" t="str">
        <f>HYPERLINK("http://141.218.60.56/~jnz1568/getInfo.php?workbook=18_08.xlsx&amp;sheet=A0&amp;row=1123&amp;col=6&amp;number=0.0005586&amp;sourceID=14","0.0005586")</f>
        <v>0.0005586</v>
      </c>
      <c r="G1123" s="4" t="str">
        <f>HYPERLINK("http://141.218.60.56/~jnz1568/getInfo.php?workbook=18_08.xlsx&amp;sheet=A0&amp;row=1123&amp;col=7&amp;number=0&amp;sourceID=14","0")</f>
        <v>0</v>
      </c>
    </row>
    <row r="1124" spans="1:7">
      <c r="A1124" s="3">
        <v>18</v>
      </c>
      <c r="B1124" s="3">
        <v>8</v>
      </c>
      <c r="C1124" s="3">
        <v>86</v>
      </c>
      <c r="D1124" s="3">
        <v>17</v>
      </c>
      <c r="E1124" s="3">
        <v>252.31</v>
      </c>
      <c r="F1124" s="4" t="str">
        <f>HYPERLINK("http://141.218.60.56/~jnz1568/getInfo.php?workbook=18_08.xlsx&amp;sheet=A0&amp;row=1124&amp;col=6&amp;number=2067&amp;sourceID=14","2067")</f>
        <v>2067</v>
      </c>
      <c r="G1124" s="4" t="str">
        <f>HYPERLINK("http://141.218.60.56/~jnz1568/getInfo.php?workbook=18_08.xlsx&amp;sheet=A0&amp;row=1124&amp;col=7&amp;number=0&amp;sourceID=14","0")</f>
        <v>0</v>
      </c>
    </row>
    <row r="1125" spans="1:7">
      <c r="A1125" s="3">
        <v>18</v>
      </c>
      <c r="B1125" s="3">
        <v>8</v>
      </c>
      <c r="C1125" s="3">
        <v>19</v>
      </c>
      <c r="D1125" s="3">
        <v>18</v>
      </c>
      <c r="E1125" s="3">
        <v>41736.227</v>
      </c>
      <c r="F1125" s="4" t="str">
        <f>HYPERLINK("http://141.218.60.56/~jnz1568/getInfo.php?workbook=18_08.xlsx&amp;sheet=A0&amp;row=1125&amp;col=6&amp;number=0.2437&amp;sourceID=14","0.2437")</f>
        <v>0.2437</v>
      </c>
      <c r="G1125" s="4" t="str">
        <f>HYPERLINK("http://141.218.60.56/~jnz1568/getInfo.php?workbook=18_08.xlsx&amp;sheet=A0&amp;row=1125&amp;col=7&amp;number=0&amp;sourceID=14","0")</f>
        <v>0</v>
      </c>
    </row>
    <row r="1126" spans="1:7">
      <c r="A1126" s="3">
        <v>18</v>
      </c>
      <c r="B1126" s="3">
        <v>8</v>
      </c>
      <c r="C1126" s="3">
        <v>20</v>
      </c>
      <c r="D1126" s="3">
        <v>18</v>
      </c>
      <c r="E1126" s="3">
        <v>-3057.478</v>
      </c>
      <c r="F1126" s="4" t="str">
        <f>HYPERLINK("http://141.218.60.56/~jnz1568/getInfo.php?workbook=18_08.xlsx&amp;sheet=A0&amp;row=1126&amp;col=6&amp;number=0.5473&amp;sourceID=14","0.5473")</f>
        <v>0.5473</v>
      </c>
      <c r="G1126" s="4" t="str">
        <f>HYPERLINK("http://141.218.60.56/~jnz1568/getInfo.php?workbook=18_08.xlsx&amp;sheet=A0&amp;row=1126&amp;col=7&amp;number=0&amp;sourceID=14","0")</f>
        <v>0</v>
      </c>
    </row>
    <row r="1127" spans="1:7">
      <c r="A1127" s="3">
        <v>18</v>
      </c>
      <c r="B1127" s="3">
        <v>8</v>
      </c>
      <c r="C1127" s="3">
        <v>21</v>
      </c>
      <c r="D1127" s="3">
        <v>18</v>
      </c>
      <c r="E1127" s="3">
        <v>-2945.303</v>
      </c>
      <c r="F1127" s="4" t="str">
        <f>HYPERLINK("http://141.218.60.56/~jnz1568/getInfo.php?workbook=18_08.xlsx&amp;sheet=A0&amp;row=1127&amp;col=6&amp;number=11.1&amp;sourceID=14","11.1")</f>
        <v>11.1</v>
      </c>
      <c r="G1127" s="4" t="str">
        <f>HYPERLINK("http://141.218.60.56/~jnz1568/getInfo.php?workbook=18_08.xlsx&amp;sheet=A0&amp;row=1127&amp;col=7&amp;number=0&amp;sourceID=14","0")</f>
        <v>0</v>
      </c>
    </row>
    <row r="1128" spans="1:7">
      <c r="A1128" s="3">
        <v>18</v>
      </c>
      <c r="B1128" s="3">
        <v>8</v>
      </c>
      <c r="C1128" s="3">
        <v>22</v>
      </c>
      <c r="D1128" s="3">
        <v>18</v>
      </c>
      <c r="E1128" s="3">
        <v>-2898.909</v>
      </c>
      <c r="F1128" s="4" t="str">
        <f>HYPERLINK("http://141.218.60.56/~jnz1568/getInfo.php?workbook=18_08.xlsx&amp;sheet=A0&amp;row=1128&amp;col=6&amp;number=0.02705&amp;sourceID=14","0.02705")</f>
        <v>0.02705</v>
      </c>
      <c r="G1128" s="4" t="str">
        <f>HYPERLINK("http://141.218.60.56/~jnz1568/getInfo.php?workbook=18_08.xlsx&amp;sheet=A0&amp;row=1128&amp;col=7&amp;number=0&amp;sourceID=14","0")</f>
        <v>0</v>
      </c>
    </row>
    <row r="1129" spans="1:7">
      <c r="A1129" s="3">
        <v>18</v>
      </c>
      <c r="B1129" s="3">
        <v>8</v>
      </c>
      <c r="C1129" s="3">
        <v>23</v>
      </c>
      <c r="D1129" s="3">
        <v>18</v>
      </c>
      <c r="E1129" s="3">
        <v>-5161.604</v>
      </c>
      <c r="F1129" s="4" t="str">
        <f>HYPERLINK("http://141.218.60.56/~jnz1568/getInfo.php?workbook=18_08.xlsx&amp;sheet=A0&amp;row=1129&amp;col=6&amp;number=2.341e-08&amp;sourceID=14","2.341e-08")</f>
        <v>2.341e-08</v>
      </c>
      <c r="G1129" s="4" t="str">
        <f>HYPERLINK("http://141.218.60.56/~jnz1568/getInfo.php?workbook=18_08.xlsx&amp;sheet=A0&amp;row=1129&amp;col=7&amp;number=0&amp;sourceID=14","0")</f>
        <v>0</v>
      </c>
    </row>
    <row r="1130" spans="1:7">
      <c r="A1130" s="3">
        <v>18</v>
      </c>
      <c r="B1130" s="3">
        <v>8</v>
      </c>
      <c r="C1130" s="3">
        <v>24</v>
      </c>
      <c r="D1130" s="3">
        <v>18</v>
      </c>
      <c r="E1130" s="3">
        <v>-4772.802</v>
      </c>
      <c r="F1130" s="4" t="str">
        <f>HYPERLINK("http://141.218.60.56/~jnz1568/getInfo.php?workbook=18_08.xlsx&amp;sheet=A0&amp;row=1130&amp;col=6&amp;number=77.4&amp;sourceID=14","77.4")</f>
        <v>77.4</v>
      </c>
      <c r="G1130" s="4" t="str">
        <f>HYPERLINK("http://141.218.60.56/~jnz1568/getInfo.php?workbook=18_08.xlsx&amp;sheet=A0&amp;row=1130&amp;col=7&amp;number=0&amp;sourceID=14","0")</f>
        <v>0</v>
      </c>
    </row>
    <row r="1131" spans="1:7">
      <c r="A1131" s="3">
        <v>18</v>
      </c>
      <c r="B1131" s="3">
        <v>8</v>
      </c>
      <c r="C1131" s="3">
        <v>25</v>
      </c>
      <c r="D1131" s="3">
        <v>18</v>
      </c>
      <c r="E1131" s="3">
        <v>4066.528</v>
      </c>
      <c r="F1131" s="4" t="str">
        <f>HYPERLINK("http://141.218.60.56/~jnz1568/getInfo.php?workbook=18_08.xlsx&amp;sheet=A0&amp;row=1131&amp;col=6&amp;number=281&amp;sourceID=14","281")</f>
        <v>281</v>
      </c>
      <c r="G1131" s="4" t="str">
        <f>HYPERLINK("http://141.218.60.56/~jnz1568/getInfo.php?workbook=18_08.xlsx&amp;sheet=A0&amp;row=1131&amp;col=7&amp;number=0&amp;sourceID=14","0")</f>
        <v>0</v>
      </c>
    </row>
    <row r="1132" spans="1:7">
      <c r="A1132" s="3">
        <v>18</v>
      </c>
      <c r="B1132" s="3">
        <v>8</v>
      </c>
      <c r="C1132" s="3">
        <v>26</v>
      </c>
      <c r="D1132" s="3">
        <v>18</v>
      </c>
      <c r="E1132" s="3">
        <v>3380.434</v>
      </c>
      <c r="F1132" s="4" t="str">
        <f>HYPERLINK("http://141.218.60.56/~jnz1568/getInfo.php?workbook=18_08.xlsx&amp;sheet=A0&amp;row=1132&amp;col=6&amp;number=3.046&amp;sourceID=14","3.046")</f>
        <v>3.046</v>
      </c>
      <c r="G1132" s="4" t="str">
        <f>HYPERLINK("http://141.218.60.56/~jnz1568/getInfo.php?workbook=18_08.xlsx&amp;sheet=A0&amp;row=1132&amp;col=7&amp;number=0&amp;sourceID=14","0")</f>
        <v>0</v>
      </c>
    </row>
    <row r="1133" spans="1:7">
      <c r="A1133" s="3">
        <v>18</v>
      </c>
      <c r="B1133" s="3">
        <v>8</v>
      </c>
      <c r="C1133" s="3">
        <v>27</v>
      </c>
      <c r="D1133" s="3">
        <v>18</v>
      </c>
      <c r="E1133" s="3">
        <v>-993.478</v>
      </c>
      <c r="F1133" s="4" t="str">
        <f>HYPERLINK("http://141.218.60.56/~jnz1568/getInfo.php?workbook=18_08.xlsx&amp;sheet=A0&amp;row=1133&amp;col=6&amp;number=28.71&amp;sourceID=14","28.71")</f>
        <v>28.71</v>
      </c>
      <c r="G1133" s="4" t="str">
        <f>HYPERLINK("http://141.218.60.56/~jnz1568/getInfo.php?workbook=18_08.xlsx&amp;sheet=A0&amp;row=1133&amp;col=7&amp;number=0&amp;sourceID=14","0")</f>
        <v>0</v>
      </c>
    </row>
    <row r="1134" spans="1:7">
      <c r="A1134" s="3">
        <v>18</v>
      </c>
      <c r="B1134" s="3">
        <v>8</v>
      </c>
      <c r="C1134" s="3">
        <v>28</v>
      </c>
      <c r="D1134" s="3">
        <v>18</v>
      </c>
      <c r="E1134" s="3">
        <v>-1027.406</v>
      </c>
      <c r="F1134" s="4" t="str">
        <f>HYPERLINK("http://141.218.60.56/~jnz1568/getInfo.php?workbook=18_08.xlsx&amp;sheet=A0&amp;row=1134&amp;col=6&amp;number=61.88&amp;sourceID=14","61.88")</f>
        <v>61.88</v>
      </c>
      <c r="G1134" s="4" t="str">
        <f>HYPERLINK("http://141.218.60.56/~jnz1568/getInfo.php?workbook=18_08.xlsx&amp;sheet=A0&amp;row=1134&amp;col=7&amp;number=0&amp;sourceID=14","0")</f>
        <v>0</v>
      </c>
    </row>
    <row r="1135" spans="1:7">
      <c r="A1135" s="3">
        <v>18</v>
      </c>
      <c r="B1135" s="3">
        <v>8</v>
      </c>
      <c r="C1135" s="3">
        <v>29</v>
      </c>
      <c r="D1135" s="3">
        <v>18</v>
      </c>
      <c r="E1135" s="3">
        <v>-986.206</v>
      </c>
      <c r="F1135" s="4" t="str">
        <f>HYPERLINK("http://141.218.60.56/~jnz1568/getInfo.php?workbook=18_08.xlsx&amp;sheet=A0&amp;row=1135&amp;col=6&amp;number=0.2497&amp;sourceID=14","0.2497")</f>
        <v>0.2497</v>
      </c>
      <c r="G1135" s="4" t="str">
        <f>HYPERLINK("http://141.218.60.56/~jnz1568/getInfo.php?workbook=18_08.xlsx&amp;sheet=A0&amp;row=1135&amp;col=7&amp;number=0&amp;sourceID=14","0")</f>
        <v>0</v>
      </c>
    </row>
    <row r="1136" spans="1:7">
      <c r="A1136" s="3">
        <v>18</v>
      </c>
      <c r="B1136" s="3">
        <v>8</v>
      </c>
      <c r="C1136" s="3">
        <v>30</v>
      </c>
      <c r="D1136" s="3">
        <v>18</v>
      </c>
      <c r="E1136" s="3">
        <v>-1126.403</v>
      </c>
      <c r="F1136" s="4" t="str">
        <f>HYPERLINK("http://141.218.60.56/~jnz1568/getInfo.php?workbook=18_08.xlsx&amp;sheet=A0&amp;row=1136&amp;col=6&amp;number=2.309&amp;sourceID=14","2.309")</f>
        <v>2.309</v>
      </c>
      <c r="G1136" s="4" t="str">
        <f>HYPERLINK("http://141.218.60.56/~jnz1568/getInfo.php?workbook=18_08.xlsx&amp;sheet=A0&amp;row=1136&amp;col=7&amp;number=0&amp;sourceID=14","0")</f>
        <v>0</v>
      </c>
    </row>
    <row r="1137" spans="1:7">
      <c r="A1137" s="3">
        <v>18</v>
      </c>
      <c r="B1137" s="3">
        <v>8</v>
      </c>
      <c r="C1137" s="3">
        <v>31</v>
      </c>
      <c r="D1137" s="3">
        <v>18</v>
      </c>
      <c r="E1137" s="3">
        <v>-929.714</v>
      </c>
      <c r="F1137" s="4" t="str">
        <f>HYPERLINK("http://141.218.60.56/~jnz1568/getInfo.php?workbook=18_08.xlsx&amp;sheet=A0&amp;row=1137&amp;col=6&amp;number=6.277&amp;sourceID=14","6.277")</f>
        <v>6.277</v>
      </c>
      <c r="G1137" s="4" t="str">
        <f>HYPERLINK("http://141.218.60.56/~jnz1568/getInfo.php?workbook=18_08.xlsx&amp;sheet=A0&amp;row=1137&amp;col=7&amp;number=0&amp;sourceID=14","0")</f>
        <v>0</v>
      </c>
    </row>
    <row r="1138" spans="1:7">
      <c r="A1138" s="3">
        <v>18</v>
      </c>
      <c r="B1138" s="3">
        <v>8</v>
      </c>
      <c r="C1138" s="3">
        <v>32</v>
      </c>
      <c r="D1138" s="3">
        <v>18</v>
      </c>
      <c r="E1138" s="3">
        <v>-905.249</v>
      </c>
      <c r="F1138" s="4" t="str">
        <f>HYPERLINK("http://141.218.60.56/~jnz1568/getInfo.php?workbook=18_08.xlsx&amp;sheet=A0&amp;row=1138&amp;col=6&amp;number=2.795&amp;sourceID=14","2.795")</f>
        <v>2.795</v>
      </c>
      <c r="G1138" s="4" t="str">
        <f>HYPERLINK("http://141.218.60.56/~jnz1568/getInfo.php?workbook=18_08.xlsx&amp;sheet=A0&amp;row=1138&amp;col=7&amp;number=0&amp;sourceID=14","0")</f>
        <v>0</v>
      </c>
    </row>
    <row r="1139" spans="1:7">
      <c r="A1139" s="3">
        <v>18</v>
      </c>
      <c r="B1139" s="3">
        <v>8</v>
      </c>
      <c r="C1139" s="3">
        <v>33</v>
      </c>
      <c r="D1139" s="3">
        <v>18</v>
      </c>
      <c r="E1139" s="3">
        <v>-880.748</v>
      </c>
      <c r="F1139" s="4" t="str">
        <f>HYPERLINK("http://141.218.60.56/~jnz1568/getInfo.php?workbook=18_08.xlsx&amp;sheet=A0&amp;row=1139&amp;col=6&amp;number=0.1267&amp;sourceID=14","0.1267")</f>
        <v>0.1267</v>
      </c>
      <c r="G1139" s="4" t="str">
        <f>HYPERLINK("http://141.218.60.56/~jnz1568/getInfo.php?workbook=18_08.xlsx&amp;sheet=A0&amp;row=1139&amp;col=7&amp;number=0&amp;sourceID=14","0")</f>
        <v>0</v>
      </c>
    </row>
    <row r="1140" spans="1:7">
      <c r="A1140" s="3">
        <v>18</v>
      </c>
      <c r="B1140" s="3">
        <v>8</v>
      </c>
      <c r="C1140" s="3">
        <v>34</v>
      </c>
      <c r="D1140" s="3">
        <v>18</v>
      </c>
      <c r="E1140" s="3">
        <v>-856.598</v>
      </c>
      <c r="F1140" s="4" t="str">
        <f>HYPERLINK("http://141.218.60.56/~jnz1568/getInfo.php?workbook=18_08.xlsx&amp;sheet=A0&amp;row=1140&amp;col=6&amp;number=5.573&amp;sourceID=14","5.573")</f>
        <v>5.573</v>
      </c>
      <c r="G1140" s="4" t="str">
        <f>HYPERLINK("http://141.218.60.56/~jnz1568/getInfo.php?workbook=18_08.xlsx&amp;sheet=A0&amp;row=1140&amp;col=7&amp;number=0&amp;sourceID=14","0")</f>
        <v>0</v>
      </c>
    </row>
    <row r="1141" spans="1:7">
      <c r="A1141" s="3">
        <v>18</v>
      </c>
      <c r="B1141" s="3">
        <v>8</v>
      </c>
      <c r="C1141" s="3">
        <v>35</v>
      </c>
      <c r="D1141" s="3">
        <v>18</v>
      </c>
      <c r="E1141" s="3">
        <v>-666.516</v>
      </c>
      <c r="F1141" s="4" t="str">
        <f>HYPERLINK("http://141.218.60.56/~jnz1568/getInfo.php?workbook=18_08.xlsx&amp;sheet=A0&amp;row=1141&amp;col=6&amp;number=1.353&amp;sourceID=14","1.353")</f>
        <v>1.353</v>
      </c>
      <c r="G1141" s="4" t="str">
        <f>HYPERLINK("http://141.218.60.56/~jnz1568/getInfo.php?workbook=18_08.xlsx&amp;sheet=A0&amp;row=1141&amp;col=7&amp;number=0&amp;sourceID=14","0")</f>
        <v>0</v>
      </c>
    </row>
    <row r="1142" spans="1:7">
      <c r="A1142" s="3">
        <v>18</v>
      </c>
      <c r="B1142" s="3">
        <v>8</v>
      </c>
      <c r="C1142" s="3">
        <v>36</v>
      </c>
      <c r="D1142" s="3">
        <v>18</v>
      </c>
      <c r="E1142" s="3">
        <v>-625.725</v>
      </c>
      <c r="F1142" s="4" t="str">
        <f>HYPERLINK("http://141.218.60.56/~jnz1568/getInfo.php?workbook=18_08.xlsx&amp;sheet=A0&amp;row=1142&amp;col=6&amp;number=99.92&amp;sourceID=14","99.92")</f>
        <v>99.92</v>
      </c>
      <c r="G1142" s="4" t="str">
        <f>HYPERLINK("http://141.218.60.56/~jnz1568/getInfo.php?workbook=18_08.xlsx&amp;sheet=A0&amp;row=1142&amp;col=7&amp;number=0&amp;sourceID=14","0")</f>
        <v>0</v>
      </c>
    </row>
    <row r="1143" spans="1:7">
      <c r="A1143" s="3">
        <v>18</v>
      </c>
      <c r="B1143" s="3">
        <v>8</v>
      </c>
      <c r="C1143" s="3">
        <v>37</v>
      </c>
      <c r="D1143" s="3">
        <v>18</v>
      </c>
      <c r="E1143" s="3">
        <v>668.999</v>
      </c>
      <c r="F1143" s="4" t="str">
        <f>HYPERLINK("http://141.218.60.56/~jnz1568/getInfo.php?workbook=18_08.xlsx&amp;sheet=A0&amp;row=1143&amp;col=6&amp;number=73.78&amp;sourceID=14","73.78")</f>
        <v>73.78</v>
      </c>
      <c r="G1143" s="4" t="str">
        <f>HYPERLINK("http://141.218.60.56/~jnz1568/getInfo.php?workbook=18_08.xlsx&amp;sheet=A0&amp;row=1143&amp;col=7&amp;number=0&amp;sourceID=14","0")</f>
        <v>0</v>
      </c>
    </row>
    <row r="1144" spans="1:7">
      <c r="A1144" s="3">
        <v>18</v>
      </c>
      <c r="B1144" s="3">
        <v>8</v>
      </c>
      <c r="C1144" s="3">
        <v>38</v>
      </c>
      <c r="D1144" s="3">
        <v>18</v>
      </c>
      <c r="E1144" s="3">
        <v>-580.474</v>
      </c>
      <c r="F1144" s="4" t="str">
        <f>HYPERLINK("http://141.218.60.56/~jnz1568/getInfo.php?workbook=18_08.xlsx&amp;sheet=A0&amp;row=1144&amp;col=6&amp;number=0.8359&amp;sourceID=14","0.8359")</f>
        <v>0.8359</v>
      </c>
      <c r="G1144" s="4" t="str">
        <f>HYPERLINK("http://141.218.60.56/~jnz1568/getInfo.php?workbook=18_08.xlsx&amp;sheet=A0&amp;row=1144&amp;col=7&amp;number=0&amp;sourceID=14","0")</f>
        <v>0</v>
      </c>
    </row>
    <row r="1145" spans="1:7">
      <c r="A1145" s="3">
        <v>18</v>
      </c>
      <c r="B1145" s="3">
        <v>8</v>
      </c>
      <c r="C1145" s="3">
        <v>39</v>
      </c>
      <c r="D1145" s="3">
        <v>18</v>
      </c>
      <c r="E1145" s="3">
        <v>-580.16</v>
      </c>
      <c r="F1145" s="4" t="str">
        <f>HYPERLINK("http://141.218.60.56/~jnz1568/getInfo.php?workbook=18_08.xlsx&amp;sheet=A0&amp;row=1145&amp;col=6&amp;number=713200000&amp;sourceID=14","713200000")</f>
        <v>713200000</v>
      </c>
      <c r="G1145" s="4" t="str">
        <f>HYPERLINK("http://141.218.60.56/~jnz1568/getInfo.php?workbook=18_08.xlsx&amp;sheet=A0&amp;row=1145&amp;col=7&amp;number=0&amp;sourceID=14","0")</f>
        <v>0</v>
      </c>
    </row>
    <row r="1146" spans="1:7">
      <c r="A1146" s="3">
        <v>18</v>
      </c>
      <c r="B1146" s="3">
        <v>8</v>
      </c>
      <c r="C1146" s="3">
        <v>40</v>
      </c>
      <c r="D1146" s="3">
        <v>18</v>
      </c>
      <c r="E1146" s="3">
        <v>622.436</v>
      </c>
      <c r="F1146" s="4" t="str">
        <f>HYPERLINK("http://141.218.60.56/~jnz1568/getInfo.php?workbook=18_08.xlsx&amp;sheet=A0&amp;row=1146&amp;col=6&amp;number=1672000000&amp;sourceID=14","1672000000")</f>
        <v>1672000000</v>
      </c>
      <c r="G1146" s="4" t="str">
        <f>HYPERLINK("http://141.218.60.56/~jnz1568/getInfo.php?workbook=18_08.xlsx&amp;sheet=A0&amp;row=1146&amp;col=7&amp;number=0&amp;sourceID=14","0")</f>
        <v>0</v>
      </c>
    </row>
    <row r="1147" spans="1:7">
      <c r="A1147" s="3">
        <v>18</v>
      </c>
      <c r="B1147" s="3">
        <v>8</v>
      </c>
      <c r="C1147" s="3">
        <v>41</v>
      </c>
      <c r="D1147" s="3">
        <v>18</v>
      </c>
      <c r="E1147" s="3">
        <v>-578.817</v>
      </c>
      <c r="F1147" s="4" t="str">
        <f>HYPERLINK("http://141.218.60.56/~jnz1568/getInfo.php?workbook=18_08.xlsx&amp;sheet=A0&amp;row=1147&amp;col=6&amp;number=1928000000&amp;sourceID=14","1928000000")</f>
        <v>1928000000</v>
      </c>
      <c r="G1147" s="4" t="str">
        <f>HYPERLINK("http://141.218.60.56/~jnz1568/getInfo.php?workbook=18_08.xlsx&amp;sheet=A0&amp;row=1147&amp;col=7&amp;number=0&amp;sourceID=14","0")</f>
        <v>0</v>
      </c>
    </row>
    <row r="1148" spans="1:7">
      <c r="A1148" s="3">
        <v>18</v>
      </c>
      <c r="B1148" s="3">
        <v>8</v>
      </c>
      <c r="C1148" s="3">
        <v>42</v>
      </c>
      <c r="D1148" s="3">
        <v>18</v>
      </c>
      <c r="E1148" s="3">
        <v>-577.508</v>
      </c>
      <c r="F1148" s="4" t="str">
        <f>HYPERLINK("http://141.218.60.56/~jnz1568/getInfo.php?workbook=18_08.xlsx&amp;sheet=A0&amp;row=1148&amp;col=6&amp;number=0.5037&amp;sourceID=14","0.5037")</f>
        <v>0.5037</v>
      </c>
      <c r="G1148" s="4" t="str">
        <f>HYPERLINK("http://141.218.60.56/~jnz1568/getInfo.php?workbook=18_08.xlsx&amp;sheet=A0&amp;row=1148&amp;col=7&amp;number=0&amp;sourceID=14","0")</f>
        <v>0</v>
      </c>
    </row>
    <row r="1149" spans="1:7">
      <c r="A1149" s="3">
        <v>18</v>
      </c>
      <c r="B1149" s="3">
        <v>8</v>
      </c>
      <c r="C1149" s="3">
        <v>43</v>
      </c>
      <c r="D1149" s="3">
        <v>18</v>
      </c>
      <c r="E1149" s="3">
        <v>-624.729</v>
      </c>
      <c r="F1149" s="4" t="str">
        <f>HYPERLINK("http://141.218.60.56/~jnz1568/getInfo.php?workbook=18_08.xlsx&amp;sheet=A0&amp;row=1149&amp;col=6&amp;number=383&amp;sourceID=14","383")</f>
        <v>383</v>
      </c>
      <c r="G1149" s="4" t="str">
        <f>HYPERLINK("http://141.218.60.56/~jnz1568/getInfo.php?workbook=18_08.xlsx&amp;sheet=A0&amp;row=1149&amp;col=7&amp;number=0&amp;sourceID=14","0")</f>
        <v>0</v>
      </c>
    </row>
    <row r="1150" spans="1:7">
      <c r="A1150" s="3">
        <v>18</v>
      </c>
      <c r="B1150" s="3">
        <v>8</v>
      </c>
      <c r="C1150" s="3">
        <v>44</v>
      </c>
      <c r="D1150" s="3">
        <v>18</v>
      </c>
      <c r="E1150" s="3">
        <v>-699.488</v>
      </c>
      <c r="F1150" s="4" t="str">
        <f>HYPERLINK("http://141.218.60.56/~jnz1568/getInfo.php?workbook=18_08.xlsx&amp;sheet=A0&amp;row=1150&amp;col=6&amp;number=350.4&amp;sourceID=14","350.4")</f>
        <v>350.4</v>
      </c>
      <c r="G1150" s="4" t="str">
        <f>HYPERLINK("http://141.218.60.56/~jnz1568/getInfo.php?workbook=18_08.xlsx&amp;sheet=A0&amp;row=1150&amp;col=7&amp;number=0&amp;sourceID=14","0")</f>
        <v>0</v>
      </c>
    </row>
    <row r="1151" spans="1:7">
      <c r="A1151" s="3">
        <v>18</v>
      </c>
      <c r="B1151" s="3">
        <v>8</v>
      </c>
      <c r="C1151" s="3">
        <v>45</v>
      </c>
      <c r="D1151" s="3">
        <v>18</v>
      </c>
      <c r="E1151" s="3">
        <v>-632.4</v>
      </c>
      <c r="F1151" s="4" t="str">
        <f>HYPERLINK("http://141.218.60.56/~jnz1568/getInfo.php?workbook=18_08.xlsx&amp;sheet=A0&amp;row=1151&amp;col=6&amp;number=194.9&amp;sourceID=14","194.9")</f>
        <v>194.9</v>
      </c>
      <c r="G1151" s="4" t="str">
        <f>HYPERLINK("http://141.218.60.56/~jnz1568/getInfo.php?workbook=18_08.xlsx&amp;sheet=A0&amp;row=1151&amp;col=7&amp;number=0&amp;sourceID=14","0")</f>
        <v>0</v>
      </c>
    </row>
    <row r="1152" spans="1:7">
      <c r="A1152" s="3">
        <v>18</v>
      </c>
      <c r="B1152" s="3">
        <v>8</v>
      </c>
      <c r="C1152" s="3">
        <v>46</v>
      </c>
      <c r="D1152" s="3">
        <v>18</v>
      </c>
      <c r="E1152" s="3">
        <v>-591.813</v>
      </c>
      <c r="F1152" s="4" t="str">
        <f>HYPERLINK("http://141.218.60.56/~jnz1568/getInfo.php?workbook=18_08.xlsx&amp;sheet=A0&amp;row=1152&amp;col=6&amp;number=25.65&amp;sourceID=14","25.65")</f>
        <v>25.65</v>
      </c>
      <c r="G1152" s="4" t="str">
        <f>HYPERLINK("http://141.218.60.56/~jnz1568/getInfo.php?workbook=18_08.xlsx&amp;sheet=A0&amp;row=1152&amp;col=7&amp;number=0&amp;sourceID=14","0")</f>
        <v>0</v>
      </c>
    </row>
    <row r="1153" spans="1:7">
      <c r="A1153" s="3">
        <v>18</v>
      </c>
      <c r="B1153" s="3">
        <v>8</v>
      </c>
      <c r="C1153" s="3">
        <v>47</v>
      </c>
      <c r="D1153" s="3">
        <v>18</v>
      </c>
      <c r="E1153" s="3">
        <v>-611.019</v>
      </c>
      <c r="F1153" s="4" t="str">
        <f>HYPERLINK("http://141.218.60.56/~jnz1568/getInfo.php?workbook=18_08.xlsx&amp;sheet=A0&amp;row=1153&amp;col=6&amp;number=91.33&amp;sourceID=14","91.33")</f>
        <v>91.33</v>
      </c>
      <c r="G1153" s="4" t="str">
        <f>HYPERLINK("http://141.218.60.56/~jnz1568/getInfo.php?workbook=18_08.xlsx&amp;sheet=A0&amp;row=1153&amp;col=7&amp;number=0&amp;sourceID=14","0")</f>
        <v>0</v>
      </c>
    </row>
    <row r="1154" spans="1:7">
      <c r="A1154" s="3">
        <v>18</v>
      </c>
      <c r="B1154" s="3">
        <v>8</v>
      </c>
      <c r="C1154" s="3">
        <v>48</v>
      </c>
      <c r="D1154" s="3">
        <v>18</v>
      </c>
      <c r="E1154" s="3">
        <v>-577.334</v>
      </c>
      <c r="F1154" s="4" t="str">
        <f>HYPERLINK("http://141.218.60.56/~jnz1568/getInfo.php?workbook=18_08.xlsx&amp;sheet=A0&amp;row=1154&amp;col=6&amp;number=3.174&amp;sourceID=14","3.174")</f>
        <v>3.174</v>
      </c>
      <c r="G1154" s="4" t="str">
        <f>HYPERLINK("http://141.218.60.56/~jnz1568/getInfo.php?workbook=18_08.xlsx&amp;sheet=A0&amp;row=1154&amp;col=7&amp;number=0&amp;sourceID=14","0")</f>
        <v>0</v>
      </c>
    </row>
    <row r="1155" spans="1:7">
      <c r="A1155" s="3">
        <v>18</v>
      </c>
      <c r="B1155" s="3">
        <v>8</v>
      </c>
      <c r="C1155" s="3">
        <v>49</v>
      </c>
      <c r="D1155" s="3">
        <v>18</v>
      </c>
      <c r="E1155" s="3">
        <v>-544.322</v>
      </c>
      <c r="F1155" s="4" t="str">
        <f>HYPERLINK("http://141.218.60.56/~jnz1568/getInfo.php?workbook=18_08.xlsx&amp;sheet=A0&amp;row=1155&amp;col=6&amp;number=354.6&amp;sourceID=14","354.6")</f>
        <v>354.6</v>
      </c>
      <c r="G1155" s="4" t="str">
        <f>HYPERLINK("http://141.218.60.56/~jnz1568/getInfo.php?workbook=18_08.xlsx&amp;sheet=A0&amp;row=1155&amp;col=7&amp;number=0&amp;sourceID=14","0")</f>
        <v>0</v>
      </c>
    </row>
    <row r="1156" spans="1:7">
      <c r="A1156" s="3">
        <v>18</v>
      </c>
      <c r="B1156" s="3">
        <v>8</v>
      </c>
      <c r="C1156" s="3">
        <v>50</v>
      </c>
      <c r="D1156" s="3">
        <v>18</v>
      </c>
      <c r="E1156" s="3">
        <v>-535.86</v>
      </c>
      <c r="F1156" s="4" t="str">
        <f>HYPERLINK("http://141.218.60.56/~jnz1568/getInfo.php?workbook=18_08.xlsx&amp;sheet=A0&amp;row=1156&amp;col=6&amp;number=5.419&amp;sourceID=14","5.419")</f>
        <v>5.419</v>
      </c>
      <c r="G1156" s="4" t="str">
        <f>HYPERLINK("http://141.218.60.56/~jnz1568/getInfo.php?workbook=18_08.xlsx&amp;sheet=A0&amp;row=1156&amp;col=7&amp;number=0&amp;sourceID=14","0")</f>
        <v>0</v>
      </c>
    </row>
    <row r="1157" spans="1:7">
      <c r="A1157" s="3">
        <v>18</v>
      </c>
      <c r="B1157" s="3">
        <v>8</v>
      </c>
      <c r="C1157" s="3">
        <v>51</v>
      </c>
      <c r="D1157" s="3">
        <v>18</v>
      </c>
      <c r="E1157" s="3">
        <v>485.42</v>
      </c>
      <c r="F1157" s="4" t="str">
        <f>HYPERLINK("http://141.218.60.56/~jnz1568/getInfo.php?workbook=18_08.xlsx&amp;sheet=A0&amp;row=1157&amp;col=6&amp;number=1603000&amp;sourceID=14","1603000")</f>
        <v>1603000</v>
      </c>
      <c r="G1157" s="4" t="str">
        <f>HYPERLINK("http://141.218.60.56/~jnz1568/getInfo.php?workbook=18_08.xlsx&amp;sheet=A0&amp;row=1157&amp;col=7&amp;number=0&amp;sourceID=14","0")</f>
        <v>0</v>
      </c>
    </row>
    <row r="1158" spans="1:7">
      <c r="A1158" s="3">
        <v>18</v>
      </c>
      <c r="B1158" s="3">
        <v>8</v>
      </c>
      <c r="C1158" s="3">
        <v>52</v>
      </c>
      <c r="D1158" s="3">
        <v>18</v>
      </c>
      <c r="E1158" s="3">
        <v>488.248</v>
      </c>
      <c r="F1158" s="4" t="str">
        <f>HYPERLINK("http://141.218.60.56/~jnz1568/getInfo.php?workbook=18_08.xlsx&amp;sheet=A0&amp;row=1158&amp;col=6&amp;number=89950&amp;sourceID=14","89950")</f>
        <v>89950</v>
      </c>
      <c r="G1158" s="4" t="str">
        <f>HYPERLINK("http://141.218.60.56/~jnz1568/getInfo.php?workbook=18_08.xlsx&amp;sheet=A0&amp;row=1158&amp;col=7&amp;number=0&amp;sourceID=14","0")</f>
        <v>0</v>
      </c>
    </row>
    <row r="1159" spans="1:7">
      <c r="A1159" s="3">
        <v>18</v>
      </c>
      <c r="B1159" s="3">
        <v>8</v>
      </c>
      <c r="C1159" s="3">
        <v>53</v>
      </c>
      <c r="D1159" s="3">
        <v>18</v>
      </c>
      <c r="E1159" s="3">
        <v>-531.943</v>
      </c>
      <c r="F1159" s="4" t="str">
        <f>HYPERLINK("http://141.218.60.56/~jnz1568/getInfo.php?workbook=18_08.xlsx&amp;sheet=A0&amp;row=1159&amp;col=6&amp;number=6.157&amp;sourceID=14","6.157")</f>
        <v>6.157</v>
      </c>
      <c r="G1159" s="4" t="str">
        <f>HYPERLINK("http://141.218.60.56/~jnz1568/getInfo.php?workbook=18_08.xlsx&amp;sheet=A0&amp;row=1159&amp;col=7&amp;number=0&amp;sourceID=14","0")</f>
        <v>0</v>
      </c>
    </row>
    <row r="1160" spans="1:7">
      <c r="A1160" s="3">
        <v>18</v>
      </c>
      <c r="B1160" s="3">
        <v>8</v>
      </c>
      <c r="C1160" s="3">
        <v>54</v>
      </c>
      <c r="D1160" s="3">
        <v>18</v>
      </c>
      <c r="E1160" s="3">
        <v>485.42</v>
      </c>
      <c r="F1160" s="4" t="str">
        <f>HYPERLINK("http://141.218.60.56/~jnz1568/getInfo.php?workbook=18_08.xlsx&amp;sheet=A0&amp;row=1160&amp;col=6&amp;number=19780000&amp;sourceID=14","19780000")</f>
        <v>19780000</v>
      </c>
      <c r="G1160" s="4" t="str">
        <f>HYPERLINK("http://141.218.60.56/~jnz1568/getInfo.php?workbook=18_08.xlsx&amp;sheet=A0&amp;row=1160&amp;col=7&amp;number=0&amp;sourceID=14","0")</f>
        <v>0</v>
      </c>
    </row>
    <row r="1161" spans="1:7">
      <c r="A1161" s="3">
        <v>18</v>
      </c>
      <c r="B1161" s="3">
        <v>8</v>
      </c>
      <c r="C1161" s="3">
        <v>55</v>
      </c>
      <c r="D1161" s="3">
        <v>18</v>
      </c>
      <c r="E1161" s="3">
        <v>-459.51</v>
      </c>
      <c r="F1161" s="4" t="str">
        <f>HYPERLINK("http://141.218.60.56/~jnz1568/getInfo.php?workbook=18_08.xlsx&amp;sheet=A0&amp;row=1161&amp;col=6&amp;number=25.64&amp;sourceID=14","25.64")</f>
        <v>25.64</v>
      </c>
      <c r="G1161" s="4" t="str">
        <f>HYPERLINK("http://141.218.60.56/~jnz1568/getInfo.php?workbook=18_08.xlsx&amp;sheet=A0&amp;row=1161&amp;col=7&amp;number=0&amp;sourceID=14","0")</f>
        <v>0</v>
      </c>
    </row>
    <row r="1162" spans="1:7">
      <c r="A1162" s="3">
        <v>18</v>
      </c>
      <c r="B1162" s="3">
        <v>8</v>
      </c>
      <c r="C1162" s="3">
        <v>56</v>
      </c>
      <c r="D1162" s="3">
        <v>18</v>
      </c>
      <c r="E1162" s="3">
        <v>373.4</v>
      </c>
      <c r="F1162" s="4" t="str">
        <f>HYPERLINK("http://141.218.60.56/~jnz1568/getInfo.php?workbook=18_08.xlsx&amp;sheet=A0&amp;row=1162&amp;col=6&amp;number=62140&amp;sourceID=14","62140")</f>
        <v>62140</v>
      </c>
      <c r="G1162" s="4" t="str">
        <f>HYPERLINK("http://141.218.60.56/~jnz1568/getInfo.php?workbook=18_08.xlsx&amp;sheet=A0&amp;row=1162&amp;col=7&amp;number=0&amp;sourceID=14","0")</f>
        <v>0</v>
      </c>
    </row>
    <row r="1163" spans="1:7">
      <c r="A1163" s="3">
        <v>18</v>
      </c>
      <c r="B1163" s="3">
        <v>8</v>
      </c>
      <c r="C1163" s="3">
        <v>57</v>
      </c>
      <c r="D1163" s="3">
        <v>18</v>
      </c>
      <c r="E1163" s="3">
        <v>-371.588</v>
      </c>
      <c r="F1163" s="4" t="str">
        <f>HYPERLINK("http://141.218.60.56/~jnz1568/getInfo.php?workbook=18_08.xlsx&amp;sheet=A0&amp;row=1163&amp;col=6&amp;number=404400&amp;sourceID=14","404400")</f>
        <v>404400</v>
      </c>
      <c r="G1163" s="4" t="str">
        <f>HYPERLINK("http://141.218.60.56/~jnz1568/getInfo.php?workbook=18_08.xlsx&amp;sheet=A0&amp;row=1163&amp;col=7&amp;number=0&amp;sourceID=14","0")</f>
        <v>0</v>
      </c>
    </row>
    <row r="1164" spans="1:7">
      <c r="A1164" s="3">
        <v>18</v>
      </c>
      <c r="B1164" s="3">
        <v>8</v>
      </c>
      <c r="C1164" s="3">
        <v>58</v>
      </c>
      <c r="D1164" s="3">
        <v>18</v>
      </c>
      <c r="E1164" s="3">
        <v>-367.862</v>
      </c>
      <c r="F1164" s="4" t="str">
        <f>HYPERLINK("http://141.218.60.56/~jnz1568/getInfo.php?workbook=18_08.xlsx&amp;sheet=A0&amp;row=1164&amp;col=6&amp;number=0.008619&amp;sourceID=14","0.008619")</f>
        <v>0.008619</v>
      </c>
      <c r="G1164" s="4" t="str">
        <f>HYPERLINK("http://141.218.60.56/~jnz1568/getInfo.php?workbook=18_08.xlsx&amp;sheet=A0&amp;row=1164&amp;col=7&amp;number=0&amp;sourceID=14","0")</f>
        <v>0</v>
      </c>
    </row>
    <row r="1165" spans="1:7">
      <c r="A1165" s="3">
        <v>18</v>
      </c>
      <c r="B1165" s="3">
        <v>8</v>
      </c>
      <c r="C1165" s="3">
        <v>59</v>
      </c>
      <c r="D1165" s="3">
        <v>18</v>
      </c>
      <c r="E1165" s="3">
        <v>-365.969</v>
      </c>
      <c r="F1165" s="4" t="str">
        <f>HYPERLINK("http://141.218.60.56/~jnz1568/getInfo.php?workbook=18_08.xlsx&amp;sheet=A0&amp;row=1165&amp;col=6&amp;number=0.001583&amp;sourceID=14","0.001583")</f>
        <v>0.001583</v>
      </c>
      <c r="G1165" s="4" t="str">
        <f>HYPERLINK("http://141.218.60.56/~jnz1568/getInfo.php?workbook=18_08.xlsx&amp;sheet=A0&amp;row=1165&amp;col=7&amp;number=0&amp;sourceID=14","0")</f>
        <v>0</v>
      </c>
    </row>
    <row r="1166" spans="1:7">
      <c r="A1166" s="3">
        <v>18</v>
      </c>
      <c r="B1166" s="3">
        <v>8</v>
      </c>
      <c r="C1166" s="3">
        <v>60</v>
      </c>
      <c r="D1166" s="3">
        <v>18</v>
      </c>
      <c r="E1166" s="3">
        <v>-356.864</v>
      </c>
      <c r="F1166" s="4" t="str">
        <f>HYPERLINK("http://141.218.60.56/~jnz1568/getInfo.php?workbook=18_08.xlsx&amp;sheet=A0&amp;row=1166&amp;col=6&amp;number=55610&amp;sourceID=14","55610")</f>
        <v>55610</v>
      </c>
      <c r="G1166" s="4" t="str">
        <f>HYPERLINK("http://141.218.60.56/~jnz1568/getInfo.php?workbook=18_08.xlsx&amp;sheet=A0&amp;row=1166&amp;col=7&amp;number=0&amp;sourceID=14","0")</f>
        <v>0</v>
      </c>
    </row>
    <row r="1167" spans="1:7">
      <c r="A1167" s="3">
        <v>18</v>
      </c>
      <c r="B1167" s="3">
        <v>8</v>
      </c>
      <c r="C1167" s="3">
        <v>61</v>
      </c>
      <c r="D1167" s="3">
        <v>18</v>
      </c>
      <c r="E1167" s="3">
        <v>-354.833</v>
      </c>
      <c r="F1167" s="4" t="str">
        <f>HYPERLINK("http://141.218.60.56/~jnz1568/getInfo.php?workbook=18_08.xlsx&amp;sheet=A0&amp;row=1167&amp;col=6&amp;number=0.0007863&amp;sourceID=14","0.0007863")</f>
        <v>0.0007863</v>
      </c>
      <c r="G1167" s="4" t="str">
        <f>HYPERLINK("http://141.218.60.56/~jnz1568/getInfo.php?workbook=18_08.xlsx&amp;sheet=A0&amp;row=1167&amp;col=7&amp;number=0&amp;sourceID=14","0")</f>
        <v>0</v>
      </c>
    </row>
    <row r="1168" spans="1:7">
      <c r="A1168" s="3">
        <v>18</v>
      </c>
      <c r="B1168" s="3">
        <v>8</v>
      </c>
      <c r="C1168" s="3">
        <v>63</v>
      </c>
      <c r="D1168" s="3">
        <v>18</v>
      </c>
      <c r="E1168" s="3">
        <v>-348.439</v>
      </c>
      <c r="F1168" s="4" t="str">
        <f>HYPERLINK("http://141.218.60.56/~jnz1568/getInfo.php?workbook=18_08.xlsx&amp;sheet=A0&amp;row=1168&amp;col=6&amp;number=1.853e-05&amp;sourceID=14","1.853e-05")</f>
        <v>1.853e-05</v>
      </c>
      <c r="G1168" s="4" t="str">
        <f>HYPERLINK("http://141.218.60.56/~jnz1568/getInfo.php?workbook=18_08.xlsx&amp;sheet=A0&amp;row=1168&amp;col=7&amp;number=0&amp;sourceID=14","0")</f>
        <v>0</v>
      </c>
    </row>
    <row r="1169" spans="1:7">
      <c r="A1169" s="3">
        <v>18</v>
      </c>
      <c r="B1169" s="3">
        <v>8</v>
      </c>
      <c r="C1169" s="3">
        <v>64</v>
      </c>
      <c r="D1169" s="3">
        <v>18</v>
      </c>
      <c r="E1169" s="3">
        <v>343.064</v>
      </c>
      <c r="F1169" s="4" t="str">
        <f>HYPERLINK("http://141.218.60.56/~jnz1568/getInfo.php?workbook=18_08.xlsx&amp;sheet=A0&amp;row=1169&amp;col=6&amp;number=147900&amp;sourceID=14","147900")</f>
        <v>147900</v>
      </c>
      <c r="G1169" s="4" t="str">
        <f>HYPERLINK("http://141.218.60.56/~jnz1568/getInfo.php?workbook=18_08.xlsx&amp;sheet=A0&amp;row=1169&amp;col=7&amp;number=0&amp;sourceID=14","0")</f>
        <v>0</v>
      </c>
    </row>
    <row r="1170" spans="1:7">
      <c r="A1170" s="3">
        <v>18</v>
      </c>
      <c r="B1170" s="3">
        <v>8</v>
      </c>
      <c r="C1170" s="3">
        <v>65</v>
      </c>
      <c r="D1170" s="3">
        <v>18</v>
      </c>
      <c r="E1170" s="3">
        <v>-372.219</v>
      </c>
      <c r="F1170" s="4" t="str">
        <f>HYPERLINK("http://141.218.60.56/~jnz1568/getInfo.php?workbook=18_08.xlsx&amp;sheet=A0&amp;row=1170&amp;col=6&amp;number=0.04004&amp;sourceID=14","0.04004")</f>
        <v>0.04004</v>
      </c>
      <c r="G1170" s="4" t="str">
        <f>HYPERLINK("http://141.218.60.56/~jnz1568/getInfo.php?workbook=18_08.xlsx&amp;sheet=A0&amp;row=1170&amp;col=7&amp;number=0&amp;sourceID=14","0")</f>
        <v>0</v>
      </c>
    </row>
    <row r="1171" spans="1:7">
      <c r="A1171" s="3">
        <v>18</v>
      </c>
      <c r="B1171" s="3">
        <v>8</v>
      </c>
      <c r="C1171" s="3">
        <v>66</v>
      </c>
      <c r="D1171" s="3">
        <v>18</v>
      </c>
      <c r="E1171" s="3">
        <v>343.505</v>
      </c>
      <c r="F1171" s="4" t="str">
        <f>HYPERLINK("http://141.218.60.56/~jnz1568/getInfo.php?workbook=18_08.xlsx&amp;sheet=A0&amp;row=1171&amp;col=6&amp;number=3557000&amp;sourceID=14","3557000")</f>
        <v>3557000</v>
      </c>
      <c r="G1171" s="4" t="str">
        <f>HYPERLINK("http://141.218.60.56/~jnz1568/getInfo.php?workbook=18_08.xlsx&amp;sheet=A0&amp;row=1171&amp;col=7&amp;number=0&amp;sourceID=14","0")</f>
        <v>0</v>
      </c>
    </row>
    <row r="1172" spans="1:7">
      <c r="A1172" s="3">
        <v>18</v>
      </c>
      <c r="B1172" s="3">
        <v>8</v>
      </c>
      <c r="C1172" s="3">
        <v>67</v>
      </c>
      <c r="D1172" s="3">
        <v>18</v>
      </c>
      <c r="E1172" s="3">
        <v>354.081</v>
      </c>
      <c r="F1172" s="4" t="str">
        <f>HYPERLINK("http://141.218.60.56/~jnz1568/getInfo.php?workbook=18_08.xlsx&amp;sheet=A0&amp;row=1172&amp;col=6&amp;number=547900&amp;sourceID=14","547900")</f>
        <v>547900</v>
      </c>
      <c r="G1172" s="4" t="str">
        <f>HYPERLINK("http://141.218.60.56/~jnz1568/getInfo.php?workbook=18_08.xlsx&amp;sheet=A0&amp;row=1172&amp;col=7&amp;number=0&amp;sourceID=14","0")</f>
        <v>0</v>
      </c>
    </row>
    <row r="1173" spans="1:7">
      <c r="A1173" s="3">
        <v>18</v>
      </c>
      <c r="B1173" s="3">
        <v>8</v>
      </c>
      <c r="C1173" s="3">
        <v>68</v>
      </c>
      <c r="D1173" s="3">
        <v>18</v>
      </c>
      <c r="E1173" s="3">
        <v>341.653</v>
      </c>
      <c r="F1173" s="4" t="str">
        <f>HYPERLINK("http://141.218.60.56/~jnz1568/getInfo.php?workbook=18_08.xlsx&amp;sheet=A0&amp;row=1173&amp;col=6&amp;number=1721000&amp;sourceID=14","1721000")</f>
        <v>1721000</v>
      </c>
      <c r="G1173" s="4" t="str">
        <f>HYPERLINK("http://141.218.60.56/~jnz1568/getInfo.php?workbook=18_08.xlsx&amp;sheet=A0&amp;row=1173&amp;col=7&amp;number=0&amp;sourceID=14","0")</f>
        <v>0</v>
      </c>
    </row>
    <row r="1174" spans="1:7">
      <c r="A1174" s="3">
        <v>18</v>
      </c>
      <c r="B1174" s="3">
        <v>8</v>
      </c>
      <c r="C1174" s="3">
        <v>69</v>
      </c>
      <c r="D1174" s="3">
        <v>18</v>
      </c>
      <c r="E1174" s="3">
        <v>331.446</v>
      </c>
      <c r="F1174" s="4" t="str">
        <f>HYPERLINK("http://141.218.60.56/~jnz1568/getInfo.php?workbook=18_08.xlsx&amp;sheet=A0&amp;row=1174&amp;col=6&amp;number=1563000&amp;sourceID=14","1563000")</f>
        <v>1563000</v>
      </c>
      <c r="G1174" s="4" t="str">
        <f>HYPERLINK("http://141.218.60.56/~jnz1568/getInfo.php?workbook=18_08.xlsx&amp;sheet=A0&amp;row=1174&amp;col=7&amp;number=0&amp;sourceID=14","0")</f>
        <v>0</v>
      </c>
    </row>
    <row r="1175" spans="1:7">
      <c r="A1175" s="3">
        <v>18</v>
      </c>
      <c r="B1175" s="3">
        <v>8</v>
      </c>
      <c r="C1175" s="3">
        <v>70</v>
      </c>
      <c r="D1175" s="3">
        <v>18</v>
      </c>
      <c r="E1175" s="3">
        <v>-321.742</v>
      </c>
      <c r="F1175" s="4" t="str">
        <f>HYPERLINK("http://141.218.60.56/~jnz1568/getInfo.php?workbook=18_08.xlsx&amp;sheet=A0&amp;row=1175&amp;col=6&amp;number=0.0392&amp;sourceID=14","0.0392")</f>
        <v>0.0392</v>
      </c>
      <c r="G1175" s="4" t="str">
        <f>HYPERLINK("http://141.218.60.56/~jnz1568/getInfo.php?workbook=18_08.xlsx&amp;sheet=A0&amp;row=1175&amp;col=7&amp;number=0&amp;sourceID=14","0")</f>
        <v>0</v>
      </c>
    </row>
    <row r="1176" spans="1:7">
      <c r="A1176" s="3">
        <v>18</v>
      </c>
      <c r="B1176" s="3">
        <v>8</v>
      </c>
      <c r="C1176" s="3">
        <v>71</v>
      </c>
      <c r="D1176" s="3">
        <v>18</v>
      </c>
      <c r="E1176" s="3">
        <v>319.369</v>
      </c>
      <c r="F1176" s="4" t="str">
        <f>HYPERLINK("http://141.218.60.56/~jnz1568/getInfo.php?workbook=18_08.xlsx&amp;sheet=A0&amp;row=1176&amp;col=6&amp;number=1427000&amp;sourceID=14","1427000")</f>
        <v>1427000</v>
      </c>
      <c r="G1176" s="4" t="str">
        <f>HYPERLINK("http://141.218.60.56/~jnz1568/getInfo.php?workbook=18_08.xlsx&amp;sheet=A0&amp;row=1176&amp;col=7&amp;number=0&amp;sourceID=14","0")</f>
        <v>0</v>
      </c>
    </row>
    <row r="1177" spans="1:7">
      <c r="A1177" s="3">
        <v>18</v>
      </c>
      <c r="B1177" s="3">
        <v>8</v>
      </c>
      <c r="C1177" s="3">
        <v>72</v>
      </c>
      <c r="D1177" s="3">
        <v>18</v>
      </c>
      <c r="E1177" s="3">
        <v>331.446</v>
      </c>
      <c r="F1177" s="4" t="str">
        <f>HYPERLINK("http://141.218.60.56/~jnz1568/getInfo.php?workbook=18_08.xlsx&amp;sheet=A0&amp;row=1177&amp;col=6&amp;number=198400&amp;sourceID=14","198400")</f>
        <v>198400</v>
      </c>
      <c r="G1177" s="4" t="str">
        <f>HYPERLINK("http://141.218.60.56/~jnz1568/getInfo.php?workbook=18_08.xlsx&amp;sheet=A0&amp;row=1177&amp;col=7&amp;number=0&amp;sourceID=14","0")</f>
        <v>0</v>
      </c>
    </row>
    <row r="1178" spans="1:7">
      <c r="A1178" s="3">
        <v>18</v>
      </c>
      <c r="B1178" s="3">
        <v>8</v>
      </c>
      <c r="C1178" s="3">
        <v>73</v>
      </c>
      <c r="D1178" s="3">
        <v>18</v>
      </c>
      <c r="E1178" s="3">
        <v>319.369</v>
      </c>
      <c r="F1178" s="4" t="str">
        <f>HYPERLINK("http://141.218.60.56/~jnz1568/getInfo.php?workbook=18_08.xlsx&amp;sheet=A0&amp;row=1178&amp;col=6&amp;number=14340000&amp;sourceID=14","14340000")</f>
        <v>14340000</v>
      </c>
      <c r="G1178" s="4" t="str">
        <f>HYPERLINK("http://141.218.60.56/~jnz1568/getInfo.php?workbook=18_08.xlsx&amp;sheet=A0&amp;row=1178&amp;col=7&amp;number=0&amp;sourceID=14","0")</f>
        <v>0</v>
      </c>
    </row>
    <row r="1179" spans="1:7">
      <c r="A1179" s="3">
        <v>18</v>
      </c>
      <c r="B1179" s="3">
        <v>8</v>
      </c>
      <c r="C1179" s="3">
        <v>74</v>
      </c>
      <c r="D1179" s="3">
        <v>18</v>
      </c>
      <c r="E1179" s="3">
        <v>307.514</v>
      </c>
      <c r="F1179" s="4" t="str">
        <f>HYPERLINK("http://141.218.60.56/~jnz1568/getInfo.php?workbook=18_08.xlsx&amp;sheet=A0&amp;row=1179&amp;col=6&amp;number=46740&amp;sourceID=14","46740")</f>
        <v>46740</v>
      </c>
      <c r="G1179" s="4" t="str">
        <f>HYPERLINK("http://141.218.60.56/~jnz1568/getInfo.php?workbook=18_08.xlsx&amp;sheet=A0&amp;row=1179&amp;col=7&amp;number=0&amp;sourceID=14","0")</f>
        <v>0</v>
      </c>
    </row>
    <row r="1180" spans="1:7">
      <c r="A1180" s="3">
        <v>18</v>
      </c>
      <c r="B1180" s="3">
        <v>8</v>
      </c>
      <c r="C1180" s="3">
        <v>75</v>
      </c>
      <c r="D1180" s="3">
        <v>18</v>
      </c>
      <c r="E1180" s="3">
        <v>-299.498</v>
      </c>
      <c r="F1180" s="4" t="str">
        <f>HYPERLINK("http://141.218.60.56/~jnz1568/getInfo.php?workbook=18_08.xlsx&amp;sheet=A0&amp;row=1180&amp;col=6&amp;number=287.7&amp;sourceID=14","287.7")</f>
        <v>287.7</v>
      </c>
      <c r="G1180" s="4" t="str">
        <f>HYPERLINK("http://141.218.60.56/~jnz1568/getInfo.php?workbook=18_08.xlsx&amp;sheet=A0&amp;row=1180&amp;col=7&amp;number=0&amp;sourceID=14","0")</f>
        <v>0</v>
      </c>
    </row>
    <row r="1181" spans="1:7">
      <c r="A1181" s="3">
        <v>18</v>
      </c>
      <c r="B1181" s="3">
        <v>8</v>
      </c>
      <c r="C1181" s="3">
        <v>76</v>
      </c>
      <c r="D1181" s="3">
        <v>18</v>
      </c>
      <c r="E1181" s="3">
        <v>-299.273</v>
      </c>
      <c r="F1181" s="4" t="str">
        <f>HYPERLINK("http://141.218.60.56/~jnz1568/getInfo.php?workbook=18_08.xlsx&amp;sheet=A0&amp;row=1181&amp;col=6&amp;number=0.0004014&amp;sourceID=14","0.0004014")</f>
        <v>0.0004014</v>
      </c>
      <c r="G1181" s="4" t="str">
        <f>HYPERLINK("http://141.218.60.56/~jnz1568/getInfo.php?workbook=18_08.xlsx&amp;sheet=A0&amp;row=1181&amp;col=7&amp;number=0&amp;sourceID=14","0")</f>
        <v>0</v>
      </c>
    </row>
    <row r="1182" spans="1:7">
      <c r="A1182" s="3">
        <v>18</v>
      </c>
      <c r="B1182" s="3">
        <v>8</v>
      </c>
      <c r="C1182" s="3">
        <v>77</v>
      </c>
      <c r="D1182" s="3">
        <v>18</v>
      </c>
      <c r="E1182" s="3">
        <v>307.483</v>
      </c>
      <c r="F1182" s="4" t="str">
        <f>HYPERLINK("http://141.218.60.56/~jnz1568/getInfo.php?workbook=18_08.xlsx&amp;sheet=A0&amp;row=1182&amp;col=6&amp;number=127800&amp;sourceID=14","127800")</f>
        <v>127800</v>
      </c>
      <c r="G1182" s="4" t="str">
        <f>HYPERLINK("http://141.218.60.56/~jnz1568/getInfo.php?workbook=18_08.xlsx&amp;sheet=A0&amp;row=1182&amp;col=7&amp;number=0&amp;sourceID=14","0")</f>
        <v>0</v>
      </c>
    </row>
    <row r="1183" spans="1:7">
      <c r="A1183" s="3">
        <v>18</v>
      </c>
      <c r="B1183" s="3">
        <v>8</v>
      </c>
      <c r="C1183" s="3">
        <v>78</v>
      </c>
      <c r="D1183" s="3">
        <v>18</v>
      </c>
      <c r="E1183" s="3">
        <v>-298.762</v>
      </c>
      <c r="F1183" s="4" t="str">
        <f>HYPERLINK("http://141.218.60.56/~jnz1568/getInfo.php?workbook=18_08.xlsx&amp;sheet=A0&amp;row=1183&amp;col=6&amp;number=0.001108&amp;sourceID=14","0.001108")</f>
        <v>0.001108</v>
      </c>
      <c r="G1183" s="4" t="str">
        <f>HYPERLINK("http://141.218.60.56/~jnz1568/getInfo.php?workbook=18_08.xlsx&amp;sheet=A0&amp;row=1183&amp;col=7&amp;number=0&amp;sourceID=14","0")</f>
        <v>0</v>
      </c>
    </row>
    <row r="1184" spans="1:7">
      <c r="A1184" s="3">
        <v>18</v>
      </c>
      <c r="B1184" s="3">
        <v>8</v>
      </c>
      <c r="C1184" s="3">
        <v>79</v>
      </c>
      <c r="D1184" s="3">
        <v>18</v>
      </c>
      <c r="E1184" s="3">
        <v>-296.119</v>
      </c>
      <c r="F1184" s="4" t="str">
        <f>HYPERLINK("http://141.218.60.56/~jnz1568/getInfo.php?workbook=18_08.xlsx&amp;sheet=A0&amp;row=1184&amp;col=6&amp;number=2820000&amp;sourceID=14","2820000")</f>
        <v>2820000</v>
      </c>
      <c r="G1184" s="4" t="str">
        <f>HYPERLINK("http://141.218.60.56/~jnz1568/getInfo.php?workbook=18_08.xlsx&amp;sheet=A0&amp;row=1184&amp;col=7&amp;number=0&amp;sourceID=14","0")</f>
        <v>0</v>
      </c>
    </row>
    <row r="1185" spans="1:7">
      <c r="A1185" s="3">
        <v>18</v>
      </c>
      <c r="B1185" s="3">
        <v>8</v>
      </c>
      <c r="C1185" s="3">
        <v>80</v>
      </c>
      <c r="D1185" s="3">
        <v>18</v>
      </c>
      <c r="E1185" s="3">
        <v>-294.43</v>
      </c>
      <c r="F1185" s="4" t="str">
        <f>HYPERLINK("http://141.218.60.56/~jnz1568/getInfo.php?workbook=18_08.xlsx&amp;sheet=A0&amp;row=1185&amp;col=6&amp;number=304100&amp;sourceID=14","304100")</f>
        <v>304100</v>
      </c>
      <c r="G1185" s="4" t="str">
        <f>HYPERLINK("http://141.218.60.56/~jnz1568/getInfo.php?workbook=18_08.xlsx&amp;sheet=A0&amp;row=1185&amp;col=7&amp;number=0&amp;sourceID=14","0")</f>
        <v>0</v>
      </c>
    </row>
    <row r="1186" spans="1:7">
      <c r="A1186" s="3">
        <v>18</v>
      </c>
      <c r="B1186" s="3">
        <v>8</v>
      </c>
      <c r="C1186" s="3">
        <v>81</v>
      </c>
      <c r="D1186" s="3">
        <v>18</v>
      </c>
      <c r="E1186" s="3">
        <v>289.753</v>
      </c>
      <c r="F1186" s="4" t="str">
        <f>HYPERLINK("http://141.218.60.56/~jnz1568/getInfo.php?workbook=18_08.xlsx&amp;sheet=A0&amp;row=1186&amp;col=6&amp;number=2718&amp;sourceID=14","2718")</f>
        <v>2718</v>
      </c>
      <c r="G1186" s="4" t="str">
        <f>HYPERLINK("http://141.218.60.56/~jnz1568/getInfo.php?workbook=18_08.xlsx&amp;sheet=A0&amp;row=1186&amp;col=7&amp;number=0&amp;sourceID=14","0")</f>
        <v>0</v>
      </c>
    </row>
    <row r="1187" spans="1:7">
      <c r="A1187" s="3">
        <v>18</v>
      </c>
      <c r="B1187" s="3">
        <v>8</v>
      </c>
      <c r="C1187" s="3">
        <v>82</v>
      </c>
      <c r="D1187" s="3">
        <v>18</v>
      </c>
      <c r="E1187" s="3">
        <v>286.533</v>
      </c>
      <c r="F1187" s="4" t="str">
        <f>HYPERLINK("http://141.218.60.56/~jnz1568/getInfo.php?workbook=18_08.xlsx&amp;sheet=A0&amp;row=1187&amp;col=6&amp;number=8378&amp;sourceID=14","8378")</f>
        <v>8378</v>
      </c>
      <c r="G1187" s="4" t="str">
        <f>HYPERLINK("http://141.218.60.56/~jnz1568/getInfo.php?workbook=18_08.xlsx&amp;sheet=A0&amp;row=1187&amp;col=7&amp;number=0&amp;sourceID=14","0")</f>
        <v>0</v>
      </c>
    </row>
    <row r="1188" spans="1:7">
      <c r="A1188" s="3">
        <v>18</v>
      </c>
      <c r="B1188" s="3">
        <v>8</v>
      </c>
      <c r="C1188" s="3">
        <v>83</v>
      </c>
      <c r="D1188" s="3">
        <v>18</v>
      </c>
      <c r="E1188" s="3">
        <v>278.714</v>
      </c>
      <c r="F1188" s="4" t="str">
        <f>HYPERLINK("http://141.218.60.56/~jnz1568/getInfo.php?workbook=18_08.xlsx&amp;sheet=A0&amp;row=1188&amp;col=6&amp;number=6028&amp;sourceID=14","6028")</f>
        <v>6028</v>
      </c>
      <c r="G1188" s="4" t="str">
        <f>HYPERLINK("http://141.218.60.56/~jnz1568/getInfo.php?workbook=18_08.xlsx&amp;sheet=A0&amp;row=1188&amp;col=7&amp;number=0&amp;sourceID=14","0")</f>
        <v>0</v>
      </c>
    </row>
    <row r="1189" spans="1:7">
      <c r="A1189" s="3">
        <v>18</v>
      </c>
      <c r="B1189" s="3">
        <v>8</v>
      </c>
      <c r="C1189" s="3">
        <v>84</v>
      </c>
      <c r="D1189" s="3">
        <v>18</v>
      </c>
      <c r="E1189" s="3">
        <v>286.294</v>
      </c>
      <c r="F1189" s="4" t="str">
        <f>HYPERLINK("http://141.218.60.56/~jnz1568/getInfo.php?workbook=18_08.xlsx&amp;sheet=A0&amp;row=1189&amp;col=6&amp;number=104900&amp;sourceID=14","104900")</f>
        <v>104900</v>
      </c>
      <c r="G1189" s="4" t="str">
        <f>HYPERLINK("http://141.218.60.56/~jnz1568/getInfo.php?workbook=18_08.xlsx&amp;sheet=A0&amp;row=1189&amp;col=7&amp;number=0&amp;sourceID=14","0")</f>
        <v>0</v>
      </c>
    </row>
    <row r="1190" spans="1:7">
      <c r="A1190" s="3">
        <v>18</v>
      </c>
      <c r="B1190" s="3">
        <v>8</v>
      </c>
      <c r="C1190" s="3">
        <v>85</v>
      </c>
      <c r="D1190" s="3">
        <v>18</v>
      </c>
      <c r="E1190" s="3">
        <v>274.333</v>
      </c>
      <c r="F1190" s="4" t="str">
        <f>HYPERLINK("http://141.218.60.56/~jnz1568/getInfo.php?workbook=18_08.xlsx&amp;sheet=A0&amp;row=1190&amp;col=6&amp;number=387.4&amp;sourceID=14","387.4")</f>
        <v>387.4</v>
      </c>
      <c r="G1190" s="4" t="str">
        <f>HYPERLINK("http://141.218.60.56/~jnz1568/getInfo.php?workbook=18_08.xlsx&amp;sheet=A0&amp;row=1190&amp;col=7&amp;number=0&amp;sourceID=14","0")</f>
        <v>0</v>
      </c>
    </row>
    <row r="1191" spans="1:7">
      <c r="A1191" s="3">
        <v>18</v>
      </c>
      <c r="B1191" s="3">
        <v>8</v>
      </c>
      <c r="C1191" s="3">
        <v>86</v>
      </c>
      <c r="D1191" s="3">
        <v>18</v>
      </c>
      <c r="E1191" s="3">
        <v>253.023</v>
      </c>
      <c r="F1191" s="4" t="str">
        <f>HYPERLINK("http://141.218.60.56/~jnz1568/getInfo.php?workbook=18_08.xlsx&amp;sheet=A0&amp;row=1191&amp;col=6&amp;number=98.86&amp;sourceID=14","98.86")</f>
        <v>98.86</v>
      </c>
      <c r="G1191" s="4" t="str">
        <f>HYPERLINK("http://141.218.60.56/~jnz1568/getInfo.php?workbook=18_08.xlsx&amp;sheet=A0&amp;row=1191&amp;col=7&amp;number=0&amp;sourceID=14","0")</f>
        <v>0</v>
      </c>
    </row>
    <row r="1192" spans="1:7">
      <c r="A1192" s="3">
        <v>18</v>
      </c>
      <c r="B1192" s="3">
        <v>8</v>
      </c>
      <c r="C1192" s="3">
        <v>20</v>
      </c>
      <c r="D1192" s="3">
        <v>19</v>
      </c>
      <c r="E1192" s="3">
        <v>-3286.726</v>
      </c>
      <c r="F1192" s="4" t="str">
        <f>HYPERLINK("http://141.218.60.56/~jnz1568/getInfo.php?workbook=18_08.xlsx&amp;sheet=A0&amp;row=1192&amp;col=6&amp;number=0.005846&amp;sourceID=14","0.005846")</f>
        <v>0.005846</v>
      </c>
      <c r="G1192" s="4" t="str">
        <f>HYPERLINK("http://141.218.60.56/~jnz1568/getInfo.php?workbook=18_08.xlsx&amp;sheet=A0&amp;row=1192&amp;col=7&amp;number=0&amp;sourceID=14","0")</f>
        <v>0</v>
      </c>
    </row>
    <row r="1193" spans="1:7">
      <c r="A1193" s="3">
        <v>18</v>
      </c>
      <c r="B1193" s="3">
        <v>8</v>
      </c>
      <c r="C1193" s="3">
        <v>21</v>
      </c>
      <c r="D1193" s="3">
        <v>19</v>
      </c>
      <c r="E1193" s="3">
        <v>-3157.455</v>
      </c>
      <c r="F1193" s="4" t="str">
        <f>HYPERLINK("http://141.218.60.56/~jnz1568/getInfo.php?workbook=18_08.xlsx&amp;sheet=A0&amp;row=1193&amp;col=6&amp;number=10.89&amp;sourceID=14","10.89")</f>
        <v>10.89</v>
      </c>
      <c r="G1193" s="4" t="str">
        <f>HYPERLINK("http://141.218.60.56/~jnz1568/getInfo.php?workbook=18_08.xlsx&amp;sheet=A0&amp;row=1193&amp;col=7&amp;number=0&amp;sourceID=14","0")</f>
        <v>0</v>
      </c>
    </row>
    <row r="1194" spans="1:7">
      <c r="A1194" s="3">
        <v>18</v>
      </c>
      <c r="B1194" s="3">
        <v>8</v>
      </c>
      <c r="C1194" s="3">
        <v>24</v>
      </c>
      <c r="D1194" s="3">
        <v>19</v>
      </c>
      <c r="E1194" s="3">
        <v>-5355.966</v>
      </c>
      <c r="F1194" s="4" t="str">
        <f>HYPERLINK("http://141.218.60.56/~jnz1568/getInfo.php?workbook=18_08.xlsx&amp;sheet=A0&amp;row=1194&amp;col=6&amp;number=1.864e-08&amp;sourceID=14","1.864e-08")</f>
        <v>1.864e-08</v>
      </c>
      <c r="G1194" s="4" t="str">
        <f>HYPERLINK("http://141.218.60.56/~jnz1568/getInfo.php?workbook=18_08.xlsx&amp;sheet=A0&amp;row=1194&amp;col=7&amp;number=0&amp;sourceID=14","0")</f>
        <v>0</v>
      </c>
    </row>
    <row r="1195" spans="1:7">
      <c r="A1195" s="3">
        <v>18</v>
      </c>
      <c r="B1195" s="3">
        <v>8</v>
      </c>
      <c r="C1195" s="3">
        <v>25</v>
      </c>
      <c r="D1195" s="3">
        <v>19</v>
      </c>
      <c r="E1195" s="3">
        <v>4505.519</v>
      </c>
      <c r="F1195" s="4" t="str">
        <f>HYPERLINK("http://141.218.60.56/~jnz1568/getInfo.php?workbook=18_08.xlsx&amp;sheet=A0&amp;row=1195&amp;col=6&amp;number=64.86&amp;sourceID=14","64.86")</f>
        <v>64.86</v>
      </c>
      <c r="G1195" s="4" t="str">
        <f>HYPERLINK("http://141.218.60.56/~jnz1568/getInfo.php?workbook=18_08.xlsx&amp;sheet=A0&amp;row=1195&amp;col=7&amp;number=0&amp;sourceID=14","0")</f>
        <v>0</v>
      </c>
    </row>
    <row r="1196" spans="1:7">
      <c r="A1196" s="3">
        <v>18</v>
      </c>
      <c r="B1196" s="3">
        <v>8</v>
      </c>
      <c r="C1196" s="3">
        <v>26</v>
      </c>
      <c r="D1196" s="3">
        <v>19</v>
      </c>
      <c r="E1196" s="3">
        <v>3678.364</v>
      </c>
      <c r="F1196" s="4" t="str">
        <f>HYPERLINK("http://141.218.60.56/~jnz1568/getInfo.php?workbook=18_08.xlsx&amp;sheet=A0&amp;row=1196&amp;col=6&amp;number=3.001e-07&amp;sourceID=14","3.001e-07")</f>
        <v>3.001e-07</v>
      </c>
      <c r="G1196" s="4" t="str">
        <f>HYPERLINK("http://141.218.60.56/~jnz1568/getInfo.php?workbook=18_08.xlsx&amp;sheet=A0&amp;row=1196&amp;col=7&amp;number=0&amp;sourceID=14","0")</f>
        <v>0</v>
      </c>
    </row>
    <row r="1197" spans="1:7">
      <c r="A1197" s="3">
        <v>18</v>
      </c>
      <c r="B1197" s="3">
        <v>8</v>
      </c>
      <c r="C1197" s="3">
        <v>27</v>
      </c>
      <c r="D1197" s="3">
        <v>19</v>
      </c>
      <c r="E1197" s="3">
        <v>-1016.516</v>
      </c>
      <c r="F1197" s="4" t="str">
        <f>HYPERLINK("http://141.218.60.56/~jnz1568/getInfo.php?workbook=18_08.xlsx&amp;sheet=A0&amp;row=1197&amp;col=6&amp;number=0.00584&amp;sourceID=14","0.00584")</f>
        <v>0.00584</v>
      </c>
      <c r="G1197" s="4" t="str">
        <f>HYPERLINK("http://141.218.60.56/~jnz1568/getInfo.php?workbook=18_08.xlsx&amp;sheet=A0&amp;row=1197&amp;col=7&amp;number=0&amp;sourceID=14","0")</f>
        <v>0</v>
      </c>
    </row>
    <row r="1198" spans="1:7">
      <c r="A1198" s="3">
        <v>18</v>
      </c>
      <c r="B1198" s="3">
        <v>8</v>
      </c>
      <c r="C1198" s="3">
        <v>28</v>
      </c>
      <c r="D1198" s="3">
        <v>19</v>
      </c>
      <c r="E1198" s="3">
        <v>-1052.064</v>
      </c>
      <c r="F1198" s="4" t="str">
        <f>HYPERLINK("http://141.218.60.56/~jnz1568/getInfo.php?workbook=18_08.xlsx&amp;sheet=A0&amp;row=1198&amp;col=6&amp;number=0.3954&amp;sourceID=14","0.3954")</f>
        <v>0.3954</v>
      </c>
      <c r="G1198" s="4" t="str">
        <f>HYPERLINK("http://141.218.60.56/~jnz1568/getInfo.php?workbook=18_08.xlsx&amp;sheet=A0&amp;row=1198&amp;col=7&amp;number=0&amp;sourceID=14","0")</f>
        <v>0</v>
      </c>
    </row>
    <row r="1199" spans="1:7">
      <c r="A1199" s="3">
        <v>18</v>
      </c>
      <c r="B1199" s="3">
        <v>8</v>
      </c>
      <c r="C1199" s="3">
        <v>29</v>
      </c>
      <c r="D1199" s="3">
        <v>19</v>
      </c>
      <c r="E1199" s="3">
        <v>-1008.905</v>
      </c>
      <c r="F1199" s="4" t="str">
        <f>HYPERLINK("http://141.218.60.56/~jnz1568/getInfo.php?workbook=18_08.xlsx&amp;sheet=A0&amp;row=1199&amp;col=6&amp;number=36.49&amp;sourceID=14","36.49")</f>
        <v>36.49</v>
      </c>
      <c r="G1199" s="4" t="str">
        <f>HYPERLINK("http://141.218.60.56/~jnz1568/getInfo.php?workbook=18_08.xlsx&amp;sheet=A0&amp;row=1199&amp;col=7&amp;number=0&amp;sourceID=14","0")</f>
        <v>0</v>
      </c>
    </row>
    <row r="1200" spans="1:7">
      <c r="A1200" s="3">
        <v>18</v>
      </c>
      <c r="B1200" s="3">
        <v>8</v>
      </c>
      <c r="C1200" s="3">
        <v>30</v>
      </c>
      <c r="D1200" s="3">
        <v>19</v>
      </c>
      <c r="E1200" s="3">
        <v>-1156.111</v>
      </c>
      <c r="F1200" s="4" t="str">
        <f>HYPERLINK("http://141.218.60.56/~jnz1568/getInfo.php?workbook=18_08.xlsx&amp;sheet=A0&amp;row=1200&amp;col=6&amp;number=0.00269&amp;sourceID=14","0.00269")</f>
        <v>0.00269</v>
      </c>
      <c r="G1200" s="4" t="str">
        <f>HYPERLINK("http://141.218.60.56/~jnz1568/getInfo.php?workbook=18_08.xlsx&amp;sheet=A0&amp;row=1200&amp;col=7&amp;number=0&amp;sourceID=14","0")</f>
        <v>0</v>
      </c>
    </row>
    <row r="1201" spans="1:7">
      <c r="A1201" s="3">
        <v>18</v>
      </c>
      <c r="B1201" s="3">
        <v>8</v>
      </c>
      <c r="C1201" s="3">
        <v>31</v>
      </c>
      <c r="D1201" s="3">
        <v>19</v>
      </c>
      <c r="E1201" s="3">
        <v>-949.86</v>
      </c>
      <c r="F1201" s="4" t="str">
        <f>HYPERLINK("http://141.218.60.56/~jnz1568/getInfo.php?workbook=18_08.xlsx&amp;sheet=A0&amp;row=1201&amp;col=6&amp;number=6.304&amp;sourceID=14","6.304")</f>
        <v>6.304</v>
      </c>
      <c r="G1201" s="4" t="str">
        <f>HYPERLINK("http://141.218.60.56/~jnz1568/getInfo.php?workbook=18_08.xlsx&amp;sheet=A0&amp;row=1201&amp;col=7&amp;number=0&amp;sourceID=14","0")</f>
        <v>0</v>
      </c>
    </row>
    <row r="1202" spans="1:7">
      <c r="A1202" s="3">
        <v>18</v>
      </c>
      <c r="B1202" s="3">
        <v>8</v>
      </c>
      <c r="C1202" s="3">
        <v>32</v>
      </c>
      <c r="D1202" s="3">
        <v>19</v>
      </c>
      <c r="E1202" s="3">
        <v>-924.338</v>
      </c>
      <c r="F1202" s="4" t="str">
        <f>HYPERLINK("http://141.218.60.56/~jnz1568/getInfo.php?workbook=18_08.xlsx&amp;sheet=A0&amp;row=1202&amp;col=6&amp;number=28.78&amp;sourceID=14","28.78")</f>
        <v>28.78</v>
      </c>
      <c r="G1202" s="4" t="str">
        <f>HYPERLINK("http://141.218.60.56/~jnz1568/getInfo.php?workbook=18_08.xlsx&amp;sheet=A0&amp;row=1202&amp;col=7&amp;number=0&amp;sourceID=14","0")</f>
        <v>0</v>
      </c>
    </row>
    <row r="1203" spans="1:7">
      <c r="A1203" s="3">
        <v>18</v>
      </c>
      <c r="B1203" s="3">
        <v>8</v>
      </c>
      <c r="C1203" s="3">
        <v>33</v>
      </c>
      <c r="D1203" s="3">
        <v>19</v>
      </c>
      <c r="E1203" s="3">
        <v>-898.807</v>
      </c>
      <c r="F1203" s="4" t="str">
        <f>HYPERLINK("http://141.218.60.56/~jnz1568/getInfo.php?workbook=18_08.xlsx&amp;sheet=A0&amp;row=1203&amp;col=6&amp;number=2.25&amp;sourceID=14","2.25")</f>
        <v>2.25</v>
      </c>
      <c r="G1203" s="4" t="str">
        <f>HYPERLINK("http://141.218.60.56/~jnz1568/getInfo.php?workbook=18_08.xlsx&amp;sheet=A0&amp;row=1203&amp;col=7&amp;number=0&amp;sourceID=14","0")</f>
        <v>0</v>
      </c>
    </row>
    <row r="1204" spans="1:7">
      <c r="A1204" s="3">
        <v>18</v>
      </c>
      <c r="B1204" s="3">
        <v>8</v>
      </c>
      <c r="C1204" s="3">
        <v>34</v>
      </c>
      <c r="D1204" s="3">
        <v>19</v>
      </c>
      <c r="E1204" s="3">
        <v>-873.671</v>
      </c>
      <c r="F1204" s="4" t="str">
        <f>HYPERLINK("http://141.218.60.56/~jnz1568/getInfo.php?workbook=18_08.xlsx&amp;sheet=A0&amp;row=1204&amp;col=6&amp;number=45.17&amp;sourceID=14","45.17")</f>
        <v>45.17</v>
      </c>
      <c r="G1204" s="4" t="str">
        <f>HYPERLINK("http://141.218.60.56/~jnz1568/getInfo.php?workbook=18_08.xlsx&amp;sheet=A0&amp;row=1204&amp;col=7&amp;number=0&amp;sourceID=14","0")</f>
        <v>0</v>
      </c>
    </row>
    <row r="1205" spans="1:7">
      <c r="A1205" s="3">
        <v>18</v>
      </c>
      <c r="B1205" s="3">
        <v>8</v>
      </c>
      <c r="C1205" s="3">
        <v>36</v>
      </c>
      <c r="D1205" s="3">
        <v>19</v>
      </c>
      <c r="E1205" s="3">
        <v>-634.786</v>
      </c>
      <c r="F1205" s="4" t="str">
        <f>HYPERLINK("http://141.218.60.56/~jnz1568/getInfo.php?workbook=18_08.xlsx&amp;sheet=A0&amp;row=1205&amp;col=6&amp;number=0.1443&amp;sourceID=14","0.1443")</f>
        <v>0.1443</v>
      </c>
      <c r="G1205" s="4" t="str">
        <f>HYPERLINK("http://141.218.60.56/~jnz1568/getInfo.php?workbook=18_08.xlsx&amp;sheet=A0&amp;row=1205&amp;col=7&amp;number=0&amp;sourceID=14","0")</f>
        <v>0</v>
      </c>
    </row>
    <row r="1206" spans="1:7">
      <c r="A1206" s="3">
        <v>18</v>
      </c>
      <c r="B1206" s="3">
        <v>8</v>
      </c>
      <c r="C1206" s="3">
        <v>37</v>
      </c>
      <c r="D1206" s="3">
        <v>19</v>
      </c>
      <c r="E1206" s="3">
        <v>679.897</v>
      </c>
      <c r="F1206" s="4" t="str">
        <f>HYPERLINK("http://141.218.60.56/~jnz1568/getInfo.php?workbook=18_08.xlsx&amp;sheet=A0&amp;row=1206&amp;col=6&amp;number=3.576&amp;sourceID=14","3.576")</f>
        <v>3.576</v>
      </c>
      <c r="G1206" s="4" t="str">
        <f>HYPERLINK("http://141.218.60.56/~jnz1568/getInfo.php?workbook=18_08.xlsx&amp;sheet=A0&amp;row=1206&amp;col=7&amp;number=0&amp;sourceID=14","0")</f>
        <v>0</v>
      </c>
    </row>
    <row r="1207" spans="1:7">
      <c r="A1207" s="3">
        <v>18</v>
      </c>
      <c r="B1207" s="3">
        <v>8</v>
      </c>
      <c r="C1207" s="3">
        <v>39</v>
      </c>
      <c r="D1207" s="3">
        <v>19</v>
      </c>
      <c r="E1207" s="3">
        <v>-587.941</v>
      </c>
      <c r="F1207" s="4" t="str">
        <f>HYPERLINK("http://141.218.60.56/~jnz1568/getInfo.php?workbook=18_08.xlsx&amp;sheet=A0&amp;row=1207&amp;col=6&amp;number=0.1297&amp;sourceID=14","0.1297")</f>
        <v>0.1297</v>
      </c>
      <c r="G1207" s="4" t="str">
        <f>HYPERLINK("http://141.218.60.56/~jnz1568/getInfo.php?workbook=18_08.xlsx&amp;sheet=A0&amp;row=1207&amp;col=7&amp;number=0&amp;sourceID=14","0")</f>
        <v>0</v>
      </c>
    </row>
    <row r="1208" spans="1:7">
      <c r="A1208" s="3">
        <v>18</v>
      </c>
      <c r="B1208" s="3">
        <v>8</v>
      </c>
      <c r="C1208" s="3">
        <v>40</v>
      </c>
      <c r="D1208" s="3">
        <v>19</v>
      </c>
      <c r="E1208" s="3">
        <v>631.86</v>
      </c>
      <c r="F1208" s="4" t="str">
        <f>HYPERLINK("http://141.218.60.56/~jnz1568/getInfo.php?workbook=18_08.xlsx&amp;sheet=A0&amp;row=1208&amp;col=6&amp;number=185400000&amp;sourceID=14","185400000")</f>
        <v>185400000</v>
      </c>
      <c r="G1208" s="4" t="str">
        <f>HYPERLINK("http://141.218.60.56/~jnz1568/getInfo.php?workbook=18_08.xlsx&amp;sheet=A0&amp;row=1208&amp;col=7&amp;number=0&amp;sourceID=14","0")</f>
        <v>0</v>
      </c>
    </row>
    <row r="1209" spans="1:7">
      <c r="A1209" s="3">
        <v>18</v>
      </c>
      <c r="B1209" s="3">
        <v>8</v>
      </c>
      <c r="C1209" s="3">
        <v>41</v>
      </c>
      <c r="D1209" s="3">
        <v>19</v>
      </c>
      <c r="E1209" s="3">
        <v>-586.563</v>
      </c>
      <c r="F1209" s="4" t="str">
        <f>HYPERLINK("http://141.218.60.56/~jnz1568/getInfo.php?workbook=18_08.xlsx&amp;sheet=A0&amp;row=1209&amp;col=6&amp;number=928300000&amp;sourceID=14","928300000")</f>
        <v>928300000</v>
      </c>
      <c r="G1209" s="4" t="str">
        <f>HYPERLINK("http://141.218.60.56/~jnz1568/getInfo.php?workbook=18_08.xlsx&amp;sheet=A0&amp;row=1209&amp;col=7&amp;number=0&amp;sourceID=14","0")</f>
        <v>0</v>
      </c>
    </row>
    <row r="1210" spans="1:7">
      <c r="A1210" s="3">
        <v>18</v>
      </c>
      <c r="B1210" s="3">
        <v>8</v>
      </c>
      <c r="C1210" s="3">
        <v>42</v>
      </c>
      <c r="D1210" s="3">
        <v>19</v>
      </c>
      <c r="E1210" s="3">
        <v>-585.218</v>
      </c>
      <c r="F1210" s="4" t="str">
        <f>HYPERLINK("http://141.218.60.56/~jnz1568/getInfo.php?workbook=18_08.xlsx&amp;sheet=A0&amp;row=1210&amp;col=6&amp;number=2805000000&amp;sourceID=14","2805000000")</f>
        <v>2805000000</v>
      </c>
      <c r="G1210" s="4" t="str">
        <f>HYPERLINK("http://141.218.60.56/~jnz1568/getInfo.php?workbook=18_08.xlsx&amp;sheet=A0&amp;row=1210&amp;col=7&amp;number=0&amp;sourceID=14","0")</f>
        <v>0</v>
      </c>
    </row>
    <row r="1211" spans="1:7">
      <c r="A1211" s="3">
        <v>18</v>
      </c>
      <c r="B1211" s="3">
        <v>8</v>
      </c>
      <c r="C1211" s="3">
        <v>43</v>
      </c>
      <c r="D1211" s="3">
        <v>19</v>
      </c>
      <c r="E1211" s="3">
        <v>-633.761</v>
      </c>
      <c r="F1211" s="4" t="str">
        <f>HYPERLINK("http://141.218.60.56/~jnz1568/getInfo.php?workbook=18_08.xlsx&amp;sheet=A0&amp;row=1211&amp;col=6&amp;number=180.3&amp;sourceID=14","180.3")</f>
        <v>180.3</v>
      </c>
      <c r="G1211" s="4" t="str">
        <f>HYPERLINK("http://141.218.60.56/~jnz1568/getInfo.php?workbook=18_08.xlsx&amp;sheet=A0&amp;row=1211&amp;col=7&amp;number=0&amp;sourceID=14","0")</f>
        <v>0</v>
      </c>
    </row>
    <row r="1212" spans="1:7">
      <c r="A1212" s="3">
        <v>18</v>
      </c>
      <c r="B1212" s="3">
        <v>8</v>
      </c>
      <c r="C1212" s="3">
        <v>44</v>
      </c>
      <c r="D1212" s="3">
        <v>19</v>
      </c>
      <c r="E1212" s="3">
        <v>-710.831</v>
      </c>
      <c r="F1212" s="4" t="str">
        <f>HYPERLINK("http://141.218.60.56/~jnz1568/getInfo.php?workbook=18_08.xlsx&amp;sheet=A0&amp;row=1212&amp;col=6&amp;number=0.003761&amp;sourceID=14","0.003761")</f>
        <v>0.003761</v>
      </c>
      <c r="G1212" s="4" t="str">
        <f>HYPERLINK("http://141.218.60.56/~jnz1568/getInfo.php?workbook=18_08.xlsx&amp;sheet=A0&amp;row=1212&amp;col=7&amp;number=0&amp;sourceID=14","0")</f>
        <v>0</v>
      </c>
    </row>
    <row r="1213" spans="1:7">
      <c r="A1213" s="3">
        <v>18</v>
      </c>
      <c r="B1213" s="3">
        <v>8</v>
      </c>
      <c r="C1213" s="3">
        <v>45</v>
      </c>
      <c r="D1213" s="3">
        <v>19</v>
      </c>
      <c r="E1213" s="3">
        <v>-641.657</v>
      </c>
      <c r="F1213" s="4" t="str">
        <f>HYPERLINK("http://141.218.60.56/~jnz1568/getInfo.php?workbook=18_08.xlsx&amp;sheet=A0&amp;row=1213&amp;col=6&amp;number=0.006128&amp;sourceID=14","0.006128")</f>
        <v>0.006128</v>
      </c>
      <c r="G1213" s="4" t="str">
        <f>HYPERLINK("http://141.218.60.56/~jnz1568/getInfo.php?workbook=18_08.xlsx&amp;sheet=A0&amp;row=1213&amp;col=7&amp;number=0&amp;sourceID=14","0")</f>
        <v>0</v>
      </c>
    </row>
    <row r="1214" spans="1:7">
      <c r="A1214" s="3">
        <v>18</v>
      </c>
      <c r="B1214" s="3">
        <v>8</v>
      </c>
      <c r="C1214" s="3">
        <v>46</v>
      </c>
      <c r="D1214" s="3">
        <v>19</v>
      </c>
      <c r="E1214" s="3">
        <v>-599.912</v>
      </c>
      <c r="F1214" s="4" t="str">
        <f>HYPERLINK("http://141.218.60.56/~jnz1568/getInfo.php?workbook=18_08.xlsx&amp;sheet=A0&amp;row=1214&amp;col=6&amp;number=180.4&amp;sourceID=14","180.4")</f>
        <v>180.4</v>
      </c>
      <c r="G1214" s="4" t="str">
        <f>HYPERLINK("http://141.218.60.56/~jnz1568/getInfo.php?workbook=18_08.xlsx&amp;sheet=A0&amp;row=1214&amp;col=7&amp;number=0&amp;sourceID=14","0")</f>
        <v>0</v>
      </c>
    </row>
    <row r="1215" spans="1:7">
      <c r="A1215" s="3">
        <v>18</v>
      </c>
      <c r="B1215" s="3">
        <v>8</v>
      </c>
      <c r="C1215" s="3">
        <v>47</v>
      </c>
      <c r="D1215" s="3">
        <v>19</v>
      </c>
      <c r="E1215" s="3">
        <v>-619.656</v>
      </c>
      <c r="F1215" s="4" t="str">
        <f>HYPERLINK("http://141.218.60.56/~jnz1568/getInfo.php?workbook=18_08.xlsx&amp;sheet=A0&amp;row=1215&amp;col=6&amp;number=876&amp;sourceID=14","876")</f>
        <v>876</v>
      </c>
      <c r="G1215" s="4" t="str">
        <f>HYPERLINK("http://141.218.60.56/~jnz1568/getInfo.php?workbook=18_08.xlsx&amp;sheet=A0&amp;row=1215&amp;col=7&amp;number=0&amp;sourceID=14","0")</f>
        <v>0</v>
      </c>
    </row>
    <row r="1216" spans="1:7">
      <c r="A1216" s="3">
        <v>18</v>
      </c>
      <c r="B1216" s="3">
        <v>8</v>
      </c>
      <c r="C1216" s="3">
        <v>48</v>
      </c>
      <c r="D1216" s="3">
        <v>19</v>
      </c>
      <c r="E1216" s="3">
        <v>-585.039</v>
      </c>
      <c r="F1216" s="4" t="str">
        <f>HYPERLINK("http://141.218.60.56/~jnz1568/getInfo.php?workbook=18_08.xlsx&amp;sheet=A0&amp;row=1216&amp;col=6&amp;number=0.0395&amp;sourceID=14","0.0395")</f>
        <v>0.0395</v>
      </c>
      <c r="G1216" s="4" t="str">
        <f>HYPERLINK("http://141.218.60.56/~jnz1568/getInfo.php?workbook=18_08.xlsx&amp;sheet=A0&amp;row=1216&amp;col=7&amp;number=0&amp;sourceID=14","0")</f>
        <v>0</v>
      </c>
    </row>
    <row r="1217" spans="1:7">
      <c r="A1217" s="3">
        <v>18</v>
      </c>
      <c r="B1217" s="3">
        <v>8</v>
      </c>
      <c r="C1217" s="3">
        <v>49</v>
      </c>
      <c r="D1217" s="3">
        <v>19</v>
      </c>
      <c r="E1217" s="3">
        <v>-551.166</v>
      </c>
      <c r="F1217" s="4" t="str">
        <f>HYPERLINK("http://141.218.60.56/~jnz1568/getInfo.php?workbook=18_08.xlsx&amp;sheet=A0&amp;row=1217&amp;col=6&amp;number=364.9&amp;sourceID=14","364.9")</f>
        <v>364.9</v>
      </c>
      <c r="G1217" s="4" t="str">
        <f>HYPERLINK("http://141.218.60.56/~jnz1568/getInfo.php?workbook=18_08.xlsx&amp;sheet=A0&amp;row=1217&amp;col=7&amp;number=0&amp;sourceID=14","0")</f>
        <v>0</v>
      </c>
    </row>
    <row r="1218" spans="1:7">
      <c r="A1218" s="3">
        <v>18</v>
      </c>
      <c r="B1218" s="3">
        <v>8</v>
      </c>
      <c r="C1218" s="3">
        <v>50</v>
      </c>
      <c r="D1218" s="3">
        <v>19</v>
      </c>
      <c r="E1218" s="3">
        <v>-542.491</v>
      </c>
      <c r="F1218" s="4" t="str">
        <f>HYPERLINK("http://141.218.60.56/~jnz1568/getInfo.php?workbook=18_08.xlsx&amp;sheet=A0&amp;row=1218&amp;col=6&amp;number=1.046&amp;sourceID=14","1.046")</f>
        <v>1.046</v>
      </c>
      <c r="G1218" s="4" t="str">
        <f>HYPERLINK("http://141.218.60.56/~jnz1568/getInfo.php?workbook=18_08.xlsx&amp;sheet=A0&amp;row=1218&amp;col=7&amp;number=0&amp;sourceID=14","0")</f>
        <v>0</v>
      </c>
    </row>
    <row r="1219" spans="1:7">
      <c r="A1219" s="3">
        <v>18</v>
      </c>
      <c r="B1219" s="3">
        <v>8</v>
      </c>
      <c r="C1219" s="3">
        <v>51</v>
      </c>
      <c r="D1219" s="3">
        <v>19</v>
      </c>
      <c r="E1219" s="3">
        <v>491.133</v>
      </c>
      <c r="F1219" s="4" t="str">
        <f>HYPERLINK("http://141.218.60.56/~jnz1568/getInfo.php?workbook=18_08.xlsx&amp;sheet=A0&amp;row=1219&amp;col=6&amp;number=667200&amp;sourceID=14","667200")</f>
        <v>667200</v>
      </c>
      <c r="G1219" s="4" t="str">
        <f>HYPERLINK("http://141.218.60.56/~jnz1568/getInfo.php?workbook=18_08.xlsx&amp;sheet=A0&amp;row=1219&amp;col=7&amp;number=0&amp;sourceID=14","0")</f>
        <v>0</v>
      </c>
    </row>
    <row r="1220" spans="1:7">
      <c r="A1220" s="3">
        <v>18</v>
      </c>
      <c r="B1220" s="3">
        <v>8</v>
      </c>
      <c r="C1220" s="3">
        <v>52</v>
      </c>
      <c r="D1220" s="3">
        <v>19</v>
      </c>
      <c r="E1220" s="3">
        <v>494.027</v>
      </c>
      <c r="F1220" s="4" t="str">
        <f>HYPERLINK("http://141.218.60.56/~jnz1568/getInfo.php?workbook=18_08.xlsx&amp;sheet=A0&amp;row=1220&amp;col=6&amp;number=0.03174&amp;sourceID=14","0.03174")</f>
        <v>0.03174</v>
      </c>
      <c r="G1220" s="4" t="str">
        <f>HYPERLINK("http://141.218.60.56/~jnz1568/getInfo.php?workbook=18_08.xlsx&amp;sheet=A0&amp;row=1220&amp;col=7&amp;number=0&amp;sourceID=14","0")</f>
        <v>0</v>
      </c>
    </row>
    <row r="1221" spans="1:7">
      <c r="A1221" s="3">
        <v>18</v>
      </c>
      <c r="B1221" s="3">
        <v>8</v>
      </c>
      <c r="C1221" s="3">
        <v>54</v>
      </c>
      <c r="D1221" s="3">
        <v>19</v>
      </c>
      <c r="E1221" s="3">
        <v>491.133</v>
      </c>
      <c r="F1221" s="4" t="str">
        <f>HYPERLINK("http://141.218.60.56/~jnz1568/getInfo.php?workbook=18_08.xlsx&amp;sheet=A0&amp;row=1221&amp;col=6&amp;number=4762000&amp;sourceID=14","4762000")</f>
        <v>4762000</v>
      </c>
      <c r="G1221" s="4" t="str">
        <f>HYPERLINK("http://141.218.60.56/~jnz1568/getInfo.php?workbook=18_08.xlsx&amp;sheet=A0&amp;row=1221&amp;col=7&amp;number=0&amp;sourceID=14","0")</f>
        <v>0</v>
      </c>
    </row>
    <row r="1222" spans="1:7">
      <c r="A1222" s="3">
        <v>18</v>
      </c>
      <c r="B1222" s="3">
        <v>8</v>
      </c>
      <c r="C1222" s="3">
        <v>55</v>
      </c>
      <c r="D1222" s="3">
        <v>19</v>
      </c>
      <c r="E1222" s="3">
        <v>-464.378</v>
      </c>
      <c r="F1222" s="4" t="str">
        <f>HYPERLINK("http://141.218.60.56/~jnz1568/getInfo.php?workbook=18_08.xlsx&amp;sheet=A0&amp;row=1222&amp;col=6&amp;number=8.033&amp;sourceID=14","8.033")</f>
        <v>8.033</v>
      </c>
      <c r="G1222" s="4" t="str">
        <f>HYPERLINK("http://141.218.60.56/~jnz1568/getInfo.php?workbook=18_08.xlsx&amp;sheet=A0&amp;row=1222&amp;col=7&amp;number=0&amp;sourceID=14","0")</f>
        <v>0</v>
      </c>
    </row>
    <row r="1223" spans="1:7">
      <c r="A1223" s="3">
        <v>18</v>
      </c>
      <c r="B1223" s="3">
        <v>8</v>
      </c>
      <c r="C1223" s="3">
        <v>56</v>
      </c>
      <c r="D1223" s="3">
        <v>19</v>
      </c>
      <c r="E1223" s="3">
        <v>376.771</v>
      </c>
      <c r="F1223" s="4" t="str">
        <f>HYPERLINK("http://141.218.60.56/~jnz1568/getInfo.php?workbook=18_08.xlsx&amp;sheet=A0&amp;row=1223&amp;col=6&amp;number=215.3&amp;sourceID=14","215.3")</f>
        <v>215.3</v>
      </c>
      <c r="G1223" s="4" t="str">
        <f>HYPERLINK("http://141.218.60.56/~jnz1568/getInfo.php?workbook=18_08.xlsx&amp;sheet=A0&amp;row=1223&amp;col=7&amp;number=0&amp;sourceID=14","0")</f>
        <v>0</v>
      </c>
    </row>
    <row r="1224" spans="1:7">
      <c r="A1224" s="3">
        <v>18</v>
      </c>
      <c r="B1224" s="3">
        <v>8</v>
      </c>
      <c r="C1224" s="3">
        <v>57</v>
      </c>
      <c r="D1224" s="3">
        <v>19</v>
      </c>
      <c r="E1224" s="3">
        <v>-374.765</v>
      </c>
      <c r="F1224" s="4" t="str">
        <f>HYPERLINK("http://141.218.60.56/~jnz1568/getInfo.php?workbook=18_08.xlsx&amp;sheet=A0&amp;row=1224&amp;col=6&amp;number=15010&amp;sourceID=14","15010")</f>
        <v>15010</v>
      </c>
      <c r="G1224" s="4" t="str">
        <f>HYPERLINK("http://141.218.60.56/~jnz1568/getInfo.php?workbook=18_08.xlsx&amp;sheet=A0&amp;row=1224&amp;col=7&amp;number=0&amp;sourceID=14","0")</f>
        <v>0</v>
      </c>
    </row>
    <row r="1225" spans="1:7">
      <c r="A1225" s="3">
        <v>18</v>
      </c>
      <c r="B1225" s="3">
        <v>8</v>
      </c>
      <c r="C1225" s="3">
        <v>59</v>
      </c>
      <c r="D1225" s="3">
        <v>19</v>
      </c>
      <c r="E1225" s="3">
        <v>-369.05</v>
      </c>
      <c r="F1225" s="4" t="str">
        <f>HYPERLINK("http://141.218.60.56/~jnz1568/getInfo.php?workbook=18_08.xlsx&amp;sheet=A0&amp;row=1225&amp;col=6&amp;number=524600&amp;sourceID=14","524600")</f>
        <v>524600</v>
      </c>
      <c r="G1225" s="4" t="str">
        <f>HYPERLINK("http://141.218.60.56/~jnz1568/getInfo.php?workbook=18_08.xlsx&amp;sheet=A0&amp;row=1225&amp;col=7&amp;number=0&amp;sourceID=14","0")</f>
        <v>0</v>
      </c>
    </row>
    <row r="1226" spans="1:7">
      <c r="A1226" s="3">
        <v>18</v>
      </c>
      <c r="B1226" s="3">
        <v>8</v>
      </c>
      <c r="C1226" s="3">
        <v>60</v>
      </c>
      <c r="D1226" s="3">
        <v>19</v>
      </c>
      <c r="E1226" s="3">
        <v>-359.793</v>
      </c>
      <c r="F1226" s="4" t="str">
        <f>HYPERLINK("http://141.218.60.56/~jnz1568/getInfo.php?workbook=18_08.xlsx&amp;sheet=A0&amp;row=1226&amp;col=6&amp;number=15880&amp;sourceID=14","15880")</f>
        <v>15880</v>
      </c>
      <c r="G1226" s="4" t="str">
        <f>HYPERLINK("http://141.218.60.56/~jnz1568/getInfo.php?workbook=18_08.xlsx&amp;sheet=A0&amp;row=1226&amp;col=7&amp;number=0&amp;sourceID=14","0")</f>
        <v>0</v>
      </c>
    </row>
    <row r="1227" spans="1:7">
      <c r="A1227" s="3">
        <v>18</v>
      </c>
      <c r="B1227" s="3">
        <v>8</v>
      </c>
      <c r="C1227" s="3">
        <v>61</v>
      </c>
      <c r="D1227" s="3">
        <v>19</v>
      </c>
      <c r="E1227" s="3">
        <v>-357.729</v>
      </c>
      <c r="F1227" s="4" t="str">
        <f>HYPERLINK("http://141.218.60.56/~jnz1568/getInfo.php?workbook=18_08.xlsx&amp;sheet=A0&amp;row=1227&amp;col=6&amp;number=187800&amp;sourceID=14","187800")</f>
        <v>187800</v>
      </c>
      <c r="G1227" s="4" t="str">
        <f>HYPERLINK("http://141.218.60.56/~jnz1568/getInfo.php?workbook=18_08.xlsx&amp;sheet=A0&amp;row=1227&amp;col=7&amp;number=0&amp;sourceID=14","0")</f>
        <v>0</v>
      </c>
    </row>
    <row r="1228" spans="1:7">
      <c r="A1228" s="3">
        <v>18</v>
      </c>
      <c r="B1228" s="3">
        <v>8</v>
      </c>
      <c r="C1228" s="3">
        <v>62</v>
      </c>
      <c r="D1228" s="3">
        <v>19</v>
      </c>
      <c r="E1228" s="3">
        <v>-355.173</v>
      </c>
      <c r="F1228" s="4" t="str">
        <f>HYPERLINK("http://141.218.60.56/~jnz1568/getInfo.php?workbook=18_08.xlsx&amp;sheet=A0&amp;row=1228&amp;col=6&amp;number=0.0002277&amp;sourceID=14","0.0002277")</f>
        <v>0.0002277</v>
      </c>
      <c r="G1228" s="4" t="str">
        <f>HYPERLINK("http://141.218.60.56/~jnz1568/getInfo.php?workbook=18_08.xlsx&amp;sheet=A0&amp;row=1228&amp;col=7&amp;number=0&amp;sourceID=14","0")</f>
        <v>0</v>
      </c>
    </row>
    <row r="1229" spans="1:7">
      <c r="A1229" s="3">
        <v>18</v>
      </c>
      <c r="B1229" s="3">
        <v>8</v>
      </c>
      <c r="C1229" s="3">
        <v>63</v>
      </c>
      <c r="D1229" s="3">
        <v>19</v>
      </c>
      <c r="E1229" s="3">
        <v>-351.231</v>
      </c>
      <c r="F1229" s="4" t="str">
        <f>HYPERLINK("http://141.218.60.56/~jnz1568/getInfo.php?workbook=18_08.xlsx&amp;sheet=A0&amp;row=1229&amp;col=6&amp;number=21890&amp;sourceID=14","21890")</f>
        <v>21890</v>
      </c>
      <c r="G1229" s="4" t="str">
        <f>HYPERLINK("http://141.218.60.56/~jnz1568/getInfo.php?workbook=18_08.xlsx&amp;sheet=A0&amp;row=1229&amp;col=7&amp;number=0&amp;sourceID=14","0")</f>
        <v>0</v>
      </c>
    </row>
    <row r="1230" spans="1:7">
      <c r="A1230" s="3">
        <v>18</v>
      </c>
      <c r="B1230" s="3">
        <v>8</v>
      </c>
      <c r="C1230" s="3">
        <v>64</v>
      </c>
      <c r="D1230" s="3">
        <v>19</v>
      </c>
      <c r="E1230" s="3">
        <v>345.907</v>
      </c>
      <c r="F1230" s="4" t="str">
        <f>HYPERLINK("http://141.218.60.56/~jnz1568/getInfo.php?workbook=18_08.xlsx&amp;sheet=A0&amp;row=1230&amp;col=6&amp;number=0.01403&amp;sourceID=14","0.01403")</f>
        <v>0.01403</v>
      </c>
      <c r="G1230" s="4" t="str">
        <f>HYPERLINK("http://141.218.60.56/~jnz1568/getInfo.php?workbook=18_08.xlsx&amp;sheet=A0&amp;row=1230&amp;col=7&amp;number=0&amp;sourceID=14","0")</f>
        <v>0</v>
      </c>
    </row>
    <row r="1231" spans="1:7">
      <c r="A1231" s="3">
        <v>18</v>
      </c>
      <c r="B1231" s="3">
        <v>8</v>
      </c>
      <c r="C1231" s="3">
        <v>66</v>
      </c>
      <c r="D1231" s="3">
        <v>19</v>
      </c>
      <c r="E1231" s="3">
        <v>346.355</v>
      </c>
      <c r="F1231" s="4" t="str">
        <f>HYPERLINK("http://141.218.60.56/~jnz1568/getInfo.php?workbook=18_08.xlsx&amp;sheet=A0&amp;row=1231&amp;col=6&amp;number=270400&amp;sourceID=14","270400")</f>
        <v>270400</v>
      </c>
      <c r="G1231" s="4" t="str">
        <f>HYPERLINK("http://141.218.60.56/~jnz1568/getInfo.php?workbook=18_08.xlsx&amp;sheet=A0&amp;row=1231&amp;col=7&amp;number=0&amp;sourceID=14","0")</f>
        <v>0</v>
      </c>
    </row>
    <row r="1232" spans="1:7">
      <c r="A1232" s="3">
        <v>18</v>
      </c>
      <c r="B1232" s="3">
        <v>8</v>
      </c>
      <c r="C1232" s="3">
        <v>67</v>
      </c>
      <c r="D1232" s="3">
        <v>19</v>
      </c>
      <c r="E1232" s="3">
        <v>357.111</v>
      </c>
      <c r="F1232" s="4" t="str">
        <f>HYPERLINK("http://141.218.60.56/~jnz1568/getInfo.php?workbook=18_08.xlsx&amp;sheet=A0&amp;row=1232&amp;col=6&amp;number=0.005199&amp;sourceID=14","0.005199")</f>
        <v>0.005199</v>
      </c>
      <c r="G1232" s="4" t="str">
        <f>HYPERLINK("http://141.218.60.56/~jnz1568/getInfo.php?workbook=18_08.xlsx&amp;sheet=A0&amp;row=1232&amp;col=7&amp;number=0&amp;sourceID=14","0")</f>
        <v>0</v>
      </c>
    </row>
    <row r="1233" spans="1:7">
      <c r="A1233" s="3">
        <v>18</v>
      </c>
      <c r="B1233" s="3">
        <v>8</v>
      </c>
      <c r="C1233" s="3">
        <v>68</v>
      </c>
      <c r="D1233" s="3">
        <v>19</v>
      </c>
      <c r="E1233" s="3">
        <v>344.472</v>
      </c>
      <c r="F1233" s="4" t="str">
        <f>HYPERLINK("http://141.218.60.56/~jnz1568/getInfo.php?workbook=18_08.xlsx&amp;sheet=A0&amp;row=1233&amp;col=6&amp;number=884900&amp;sourceID=14","884900")</f>
        <v>884900</v>
      </c>
      <c r="G1233" s="4" t="str">
        <f>HYPERLINK("http://141.218.60.56/~jnz1568/getInfo.php?workbook=18_08.xlsx&amp;sheet=A0&amp;row=1233&amp;col=7&amp;number=0&amp;sourceID=14","0")</f>
        <v>0</v>
      </c>
    </row>
    <row r="1234" spans="1:7">
      <c r="A1234" s="3">
        <v>18</v>
      </c>
      <c r="B1234" s="3">
        <v>8</v>
      </c>
      <c r="C1234" s="3">
        <v>69</v>
      </c>
      <c r="D1234" s="3">
        <v>19</v>
      </c>
      <c r="E1234" s="3">
        <v>334.1</v>
      </c>
      <c r="F1234" s="4" t="str">
        <f>HYPERLINK("http://141.218.60.56/~jnz1568/getInfo.php?workbook=18_08.xlsx&amp;sheet=A0&amp;row=1234&amp;col=6&amp;number=5.776&amp;sourceID=14","5.776")</f>
        <v>5.776</v>
      </c>
      <c r="G1234" s="4" t="str">
        <f>HYPERLINK("http://141.218.60.56/~jnz1568/getInfo.php?workbook=18_08.xlsx&amp;sheet=A0&amp;row=1234&amp;col=7&amp;number=0&amp;sourceID=14","0")</f>
        <v>0</v>
      </c>
    </row>
    <row r="1235" spans="1:7">
      <c r="A1235" s="3">
        <v>18</v>
      </c>
      <c r="B1235" s="3">
        <v>8</v>
      </c>
      <c r="C1235" s="3">
        <v>71</v>
      </c>
      <c r="D1235" s="3">
        <v>19</v>
      </c>
      <c r="E1235" s="3">
        <v>321.832</v>
      </c>
      <c r="F1235" s="4" t="str">
        <f>HYPERLINK("http://141.218.60.56/~jnz1568/getInfo.php?workbook=18_08.xlsx&amp;sheet=A0&amp;row=1235&amp;col=6&amp;number=0.03126&amp;sourceID=14","0.03126")</f>
        <v>0.03126</v>
      </c>
      <c r="G1235" s="4" t="str">
        <f>HYPERLINK("http://141.218.60.56/~jnz1568/getInfo.php?workbook=18_08.xlsx&amp;sheet=A0&amp;row=1235&amp;col=7&amp;number=0&amp;sourceID=14","0")</f>
        <v>0</v>
      </c>
    </row>
    <row r="1236" spans="1:7">
      <c r="A1236" s="3">
        <v>18</v>
      </c>
      <c r="B1236" s="3">
        <v>8</v>
      </c>
      <c r="C1236" s="3">
        <v>72</v>
      </c>
      <c r="D1236" s="3">
        <v>19</v>
      </c>
      <c r="E1236" s="3">
        <v>334.1</v>
      </c>
      <c r="F1236" s="4" t="str">
        <f>HYPERLINK("http://141.218.60.56/~jnz1568/getInfo.php?workbook=18_08.xlsx&amp;sheet=A0&amp;row=1236&amp;col=6&amp;number=11360&amp;sourceID=14","11360")</f>
        <v>11360</v>
      </c>
      <c r="G1236" s="4" t="str">
        <f>HYPERLINK("http://141.218.60.56/~jnz1568/getInfo.php?workbook=18_08.xlsx&amp;sheet=A0&amp;row=1236&amp;col=7&amp;number=0&amp;sourceID=14","0")</f>
        <v>0</v>
      </c>
    </row>
    <row r="1237" spans="1:7">
      <c r="A1237" s="3">
        <v>18</v>
      </c>
      <c r="B1237" s="3">
        <v>8</v>
      </c>
      <c r="C1237" s="3">
        <v>73</v>
      </c>
      <c r="D1237" s="3">
        <v>19</v>
      </c>
      <c r="E1237" s="3">
        <v>321.832</v>
      </c>
      <c r="F1237" s="4" t="str">
        <f>HYPERLINK("http://141.218.60.56/~jnz1568/getInfo.php?workbook=18_08.xlsx&amp;sheet=A0&amp;row=1237&amp;col=6&amp;number=0.06886&amp;sourceID=14","0.06886")</f>
        <v>0.06886</v>
      </c>
      <c r="G1237" s="4" t="str">
        <f>HYPERLINK("http://141.218.60.56/~jnz1568/getInfo.php?workbook=18_08.xlsx&amp;sheet=A0&amp;row=1237&amp;col=7&amp;number=0&amp;sourceID=14","0")</f>
        <v>0</v>
      </c>
    </row>
    <row r="1238" spans="1:7">
      <c r="A1238" s="3">
        <v>18</v>
      </c>
      <c r="B1238" s="3">
        <v>8</v>
      </c>
      <c r="C1238" s="3">
        <v>74</v>
      </c>
      <c r="D1238" s="3">
        <v>19</v>
      </c>
      <c r="E1238" s="3">
        <v>309.797</v>
      </c>
      <c r="F1238" s="4" t="str">
        <f>HYPERLINK("http://141.218.60.56/~jnz1568/getInfo.php?workbook=18_08.xlsx&amp;sheet=A0&amp;row=1238&amp;col=6&amp;number=149900&amp;sourceID=14","149900")</f>
        <v>149900</v>
      </c>
      <c r="G1238" s="4" t="str">
        <f>HYPERLINK("http://141.218.60.56/~jnz1568/getInfo.php?workbook=18_08.xlsx&amp;sheet=A0&amp;row=1238&amp;col=7&amp;number=0&amp;sourceID=14","0")</f>
        <v>0</v>
      </c>
    </row>
    <row r="1239" spans="1:7">
      <c r="A1239" s="3">
        <v>18</v>
      </c>
      <c r="B1239" s="3">
        <v>8</v>
      </c>
      <c r="C1239" s="3">
        <v>75</v>
      </c>
      <c r="D1239" s="3">
        <v>19</v>
      </c>
      <c r="E1239" s="3">
        <v>-301.558</v>
      </c>
      <c r="F1239" s="4" t="str">
        <f>HYPERLINK("http://141.218.60.56/~jnz1568/getInfo.php?workbook=18_08.xlsx&amp;sheet=A0&amp;row=1239&amp;col=6&amp;number=11290&amp;sourceID=14","11290")</f>
        <v>11290</v>
      </c>
      <c r="G1239" s="4" t="str">
        <f>HYPERLINK("http://141.218.60.56/~jnz1568/getInfo.php?workbook=18_08.xlsx&amp;sheet=A0&amp;row=1239&amp;col=7&amp;number=0&amp;sourceID=14","0")</f>
        <v>0</v>
      </c>
    </row>
    <row r="1240" spans="1:7">
      <c r="A1240" s="3">
        <v>18</v>
      </c>
      <c r="B1240" s="3">
        <v>8</v>
      </c>
      <c r="C1240" s="3">
        <v>76</v>
      </c>
      <c r="D1240" s="3">
        <v>19</v>
      </c>
      <c r="E1240" s="3">
        <v>-301.33</v>
      </c>
      <c r="F1240" s="4" t="str">
        <f>HYPERLINK("http://141.218.60.56/~jnz1568/getInfo.php?workbook=18_08.xlsx&amp;sheet=A0&amp;row=1240&amp;col=6&amp;number=477000&amp;sourceID=14","477000")</f>
        <v>477000</v>
      </c>
      <c r="G1240" s="4" t="str">
        <f>HYPERLINK("http://141.218.60.56/~jnz1568/getInfo.php?workbook=18_08.xlsx&amp;sheet=A0&amp;row=1240&amp;col=7&amp;number=0&amp;sourceID=14","0")</f>
        <v>0</v>
      </c>
    </row>
    <row r="1241" spans="1:7">
      <c r="A1241" s="3">
        <v>18</v>
      </c>
      <c r="B1241" s="3">
        <v>8</v>
      </c>
      <c r="C1241" s="3">
        <v>77</v>
      </c>
      <c r="D1241" s="3">
        <v>19</v>
      </c>
      <c r="E1241" s="3">
        <v>309.765</v>
      </c>
      <c r="F1241" s="4" t="str">
        <f>HYPERLINK("http://141.218.60.56/~jnz1568/getInfo.php?workbook=18_08.xlsx&amp;sheet=A0&amp;row=1241&amp;col=6&amp;number=353400&amp;sourceID=14","353400")</f>
        <v>353400</v>
      </c>
      <c r="G1241" s="4" t="str">
        <f>HYPERLINK("http://141.218.60.56/~jnz1568/getInfo.php?workbook=18_08.xlsx&amp;sheet=A0&amp;row=1241&amp;col=7&amp;number=0&amp;sourceID=14","0")</f>
        <v>0</v>
      </c>
    </row>
    <row r="1242" spans="1:7">
      <c r="A1242" s="3">
        <v>18</v>
      </c>
      <c r="B1242" s="3">
        <v>8</v>
      </c>
      <c r="C1242" s="3">
        <v>79</v>
      </c>
      <c r="D1242" s="3">
        <v>19</v>
      </c>
      <c r="E1242" s="3">
        <v>-298.133</v>
      </c>
      <c r="F1242" s="4" t="str">
        <f>HYPERLINK("http://141.218.60.56/~jnz1568/getInfo.php?workbook=18_08.xlsx&amp;sheet=A0&amp;row=1242&amp;col=6&amp;number=0.01543&amp;sourceID=14","0.01543")</f>
        <v>0.01543</v>
      </c>
      <c r="G1242" s="4" t="str">
        <f>HYPERLINK("http://141.218.60.56/~jnz1568/getInfo.php?workbook=18_08.xlsx&amp;sheet=A0&amp;row=1242&amp;col=7&amp;number=0&amp;sourceID=14","0")</f>
        <v>0</v>
      </c>
    </row>
    <row r="1243" spans="1:7">
      <c r="A1243" s="3">
        <v>18</v>
      </c>
      <c r="B1243" s="3">
        <v>8</v>
      </c>
      <c r="C1243" s="3">
        <v>80</v>
      </c>
      <c r="D1243" s="3">
        <v>19</v>
      </c>
      <c r="E1243" s="3">
        <v>-296.421</v>
      </c>
      <c r="F1243" s="4" t="str">
        <f>HYPERLINK("http://141.218.60.56/~jnz1568/getInfo.php?workbook=18_08.xlsx&amp;sheet=A0&amp;row=1243&amp;col=6&amp;number=374500&amp;sourceID=14","374500")</f>
        <v>374500</v>
      </c>
      <c r="G1243" s="4" t="str">
        <f>HYPERLINK("http://141.218.60.56/~jnz1568/getInfo.php?workbook=18_08.xlsx&amp;sheet=A0&amp;row=1243&amp;col=7&amp;number=0&amp;sourceID=14","0")</f>
        <v>0</v>
      </c>
    </row>
    <row r="1244" spans="1:7">
      <c r="A1244" s="3">
        <v>18</v>
      </c>
      <c r="B1244" s="3">
        <v>8</v>
      </c>
      <c r="C1244" s="3">
        <v>81</v>
      </c>
      <c r="D1244" s="3">
        <v>19</v>
      </c>
      <c r="E1244" s="3">
        <v>291.779</v>
      </c>
      <c r="F1244" s="4" t="str">
        <f>HYPERLINK("http://141.218.60.56/~jnz1568/getInfo.php?workbook=18_08.xlsx&amp;sheet=A0&amp;row=1244&amp;col=6&amp;number=172700&amp;sourceID=14","172700")</f>
        <v>172700</v>
      </c>
      <c r="G1244" s="4" t="str">
        <f>HYPERLINK("http://141.218.60.56/~jnz1568/getInfo.php?workbook=18_08.xlsx&amp;sheet=A0&amp;row=1244&amp;col=7&amp;number=0&amp;sourceID=14","0")</f>
        <v>0</v>
      </c>
    </row>
    <row r="1245" spans="1:7">
      <c r="A1245" s="3">
        <v>18</v>
      </c>
      <c r="B1245" s="3">
        <v>8</v>
      </c>
      <c r="C1245" s="3">
        <v>82</v>
      </c>
      <c r="D1245" s="3">
        <v>19</v>
      </c>
      <c r="E1245" s="3">
        <v>288.514</v>
      </c>
      <c r="F1245" s="4" t="str">
        <f>HYPERLINK("http://141.218.60.56/~jnz1568/getInfo.php?workbook=18_08.xlsx&amp;sheet=A0&amp;row=1245&amp;col=6&amp;number=1362000&amp;sourceID=14","1362000")</f>
        <v>1362000</v>
      </c>
      <c r="G1245" s="4" t="str">
        <f>HYPERLINK("http://141.218.60.56/~jnz1568/getInfo.php?workbook=18_08.xlsx&amp;sheet=A0&amp;row=1245&amp;col=7&amp;number=0&amp;sourceID=14","0")</f>
        <v>0</v>
      </c>
    </row>
    <row r="1246" spans="1:7">
      <c r="A1246" s="3">
        <v>18</v>
      </c>
      <c r="B1246" s="3">
        <v>8</v>
      </c>
      <c r="C1246" s="3">
        <v>83</v>
      </c>
      <c r="D1246" s="3">
        <v>19</v>
      </c>
      <c r="E1246" s="3">
        <v>280.588</v>
      </c>
      <c r="F1246" s="4" t="str">
        <f>HYPERLINK("http://141.218.60.56/~jnz1568/getInfo.php?workbook=18_08.xlsx&amp;sheet=A0&amp;row=1246&amp;col=6&amp;number=0.03142&amp;sourceID=14","0.03142")</f>
        <v>0.03142</v>
      </c>
      <c r="G1246" s="4" t="str">
        <f>HYPERLINK("http://141.218.60.56/~jnz1568/getInfo.php?workbook=18_08.xlsx&amp;sheet=A0&amp;row=1246&amp;col=7&amp;number=0&amp;sourceID=14","0")</f>
        <v>0</v>
      </c>
    </row>
    <row r="1247" spans="1:7">
      <c r="A1247" s="3">
        <v>18</v>
      </c>
      <c r="B1247" s="3">
        <v>8</v>
      </c>
      <c r="C1247" s="3">
        <v>84</v>
      </c>
      <c r="D1247" s="3">
        <v>19</v>
      </c>
      <c r="E1247" s="3">
        <v>288.272</v>
      </c>
      <c r="F1247" s="4" t="str">
        <f>HYPERLINK("http://141.218.60.56/~jnz1568/getInfo.php?workbook=18_08.xlsx&amp;sheet=A0&amp;row=1247&amp;col=6&amp;number=6154&amp;sourceID=14","6154")</f>
        <v>6154</v>
      </c>
      <c r="G1247" s="4" t="str">
        <f>HYPERLINK("http://141.218.60.56/~jnz1568/getInfo.php?workbook=18_08.xlsx&amp;sheet=A0&amp;row=1247&amp;col=7&amp;number=0&amp;sourceID=14","0")</f>
        <v>0</v>
      </c>
    </row>
    <row r="1248" spans="1:7">
      <c r="A1248" s="3">
        <v>18</v>
      </c>
      <c r="B1248" s="3">
        <v>8</v>
      </c>
      <c r="C1248" s="3">
        <v>85</v>
      </c>
      <c r="D1248" s="3">
        <v>19</v>
      </c>
      <c r="E1248" s="3">
        <v>276.148</v>
      </c>
      <c r="F1248" s="4" t="str">
        <f>HYPERLINK("http://141.218.60.56/~jnz1568/getInfo.php?workbook=18_08.xlsx&amp;sheet=A0&amp;row=1248&amp;col=6&amp;number=19800&amp;sourceID=14","19800")</f>
        <v>19800</v>
      </c>
      <c r="G1248" s="4" t="str">
        <f>HYPERLINK("http://141.218.60.56/~jnz1568/getInfo.php?workbook=18_08.xlsx&amp;sheet=A0&amp;row=1248&amp;col=7&amp;number=0&amp;sourceID=14","0")</f>
        <v>0</v>
      </c>
    </row>
    <row r="1249" spans="1:7">
      <c r="A1249" s="3">
        <v>18</v>
      </c>
      <c r="B1249" s="3">
        <v>8</v>
      </c>
      <c r="C1249" s="3">
        <v>86</v>
      </c>
      <c r="D1249" s="3">
        <v>19</v>
      </c>
      <c r="E1249" s="3">
        <v>254.566</v>
      </c>
      <c r="F1249" s="4" t="str">
        <f>HYPERLINK("http://141.218.60.56/~jnz1568/getInfo.php?workbook=18_08.xlsx&amp;sheet=A0&amp;row=1249&amp;col=6&amp;number=2.618e-07&amp;sourceID=14","2.618e-07")</f>
        <v>2.618e-07</v>
      </c>
      <c r="G1249" s="4" t="str">
        <f>HYPERLINK("http://141.218.60.56/~jnz1568/getInfo.php?workbook=18_08.xlsx&amp;sheet=A0&amp;row=1249&amp;col=7&amp;number=0&amp;sourceID=14","0")</f>
        <v>0</v>
      </c>
    </row>
    <row r="1250" spans="1:7">
      <c r="A1250" s="3">
        <v>18</v>
      </c>
      <c r="B1250" s="3">
        <v>8</v>
      </c>
      <c r="C1250" s="3">
        <v>21</v>
      </c>
      <c r="D1250" s="3">
        <v>20</v>
      </c>
      <c r="E1250" s="3">
        <v>-80278.406</v>
      </c>
      <c r="F1250" s="4" t="str">
        <f>HYPERLINK("http://141.218.60.56/~jnz1568/getInfo.php?workbook=18_08.xlsx&amp;sheet=A0&amp;row=1250&amp;col=6&amp;number=0.02555&amp;sourceID=14","0.02555")</f>
        <v>0.02555</v>
      </c>
      <c r="G1250" s="4" t="str">
        <f>HYPERLINK("http://141.218.60.56/~jnz1568/getInfo.php?workbook=18_08.xlsx&amp;sheet=A0&amp;row=1250&amp;col=7&amp;number=0&amp;sourceID=14","0")</f>
        <v>0</v>
      </c>
    </row>
    <row r="1251" spans="1:7">
      <c r="A1251" s="3">
        <v>18</v>
      </c>
      <c r="B1251" s="3">
        <v>8</v>
      </c>
      <c r="C1251" s="3">
        <v>22</v>
      </c>
      <c r="D1251" s="3">
        <v>20</v>
      </c>
      <c r="E1251" s="3">
        <v>-55896.211</v>
      </c>
      <c r="F1251" s="4" t="str">
        <f>HYPERLINK("http://141.218.60.56/~jnz1568/getInfo.php?workbook=18_08.xlsx&amp;sheet=A0&amp;row=1251&amp;col=6&amp;number=0.2997&amp;sourceID=14","0.2997")</f>
        <v>0.2997</v>
      </c>
      <c r="G1251" s="4" t="str">
        <f>HYPERLINK("http://141.218.60.56/~jnz1568/getInfo.php?workbook=18_08.xlsx&amp;sheet=A0&amp;row=1251&amp;col=7&amp;number=0&amp;sourceID=14","0")</f>
        <v>0</v>
      </c>
    </row>
    <row r="1252" spans="1:7">
      <c r="A1252" s="3">
        <v>18</v>
      </c>
      <c r="B1252" s="3">
        <v>8</v>
      </c>
      <c r="C1252" s="3">
        <v>26</v>
      </c>
      <c r="D1252" s="3">
        <v>20</v>
      </c>
      <c r="E1252" s="3">
        <v>-12941.41</v>
      </c>
      <c r="F1252" s="4" t="str">
        <f>HYPERLINK("http://141.218.60.56/~jnz1568/getInfo.php?workbook=18_08.xlsx&amp;sheet=A0&amp;row=1252&amp;col=6&amp;number=48.17&amp;sourceID=14","48.17")</f>
        <v>48.17</v>
      </c>
      <c r="G1252" s="4" t="str">
        <f>HYPERLINK("http://141.218.60.56/~jnz1568/getInfo.php?workbook=18_08.xlsx&amp;sheet=A0&amp;row=1252&amp;col=7&amp;number=0&amp;sourceID=14","0")</f>
        <v>0</v>
      </c>
    </row>
    <row r="1253" spans="1:7">
      <c r="A1253" s="3">
        <v>18</v>
      </c>
      <c r="B1253" s="3">
        <v>8</v>
      </c>
      <c r="C1253" s="3">
        <v>27</v>
      </c>
      <c r="D1253" s="3">
        <v>20</v>
      </c>
      <c r="E1253" s="3">
        <v>-1471.674</v>
      </c>
      <c r="F1253" s="4" t="str">
        <f>HYPERLINK("http://141.218.60.56/~jnz1568/getInfo.php?workbook=18_08.xlsx&amp;sheet=A0&amp;row=1253&amp;col=6&amp;number=4.378&amp;sourceID=14","4.378")</f>
        <v>4.378</v>
      </c>
      <c r="G1253" s="4" t="str">
        <f>HYPERLINK("http://141.218.60.56/~jnz1568/getInfo.php?workbook=18_08.xlsx&amp;sheet=A0&amp;row=1253&amp;col=7&amp;number=0&amp;sourceID=14","0")</f>
        <v>0</v>
      </c>
    </row>
    <row r="1254" spans="1:7">
      <c r="A1254" s="3">
        <v>18</v>
      </c>
      <c r="B1254" s="3">
        <v>8</v>
      </c>
      <c r="C1254" s="3">
        <v>28</v>
      </c>
      <c r="D1254" s="3">
        <v>20</v>
      </c>
      <c r="E1254" s="3">
        <v>-1547.37</v>
      </c>
      <c r="F1254" s="4" t="str">
        <f>HYPERLINK("http://141.218.60.56/~jnz1568/getInfo.php?workbook=18_08.xlsx&amp;sheet=A0&amp;row=1254&amp;col=6&amp;number=4.911&amp;sourceID=14","4.911")</f>
        <v>4.911</v>
      </c>
      <c r="G1254" s="4" t="str">
        <f>HYPERLINK("http://141.218.60.56/~jnz1568/getInfo.php?workbook=18_08.xlsx&amp;sheet=A0&amp;row=1254&amp;col=7&amp;number=0&amp;sourceID=14","0")</f>
        <v>0</v>
      </c>
    </row>
    <row r="1255" spans="1:7">
      <c r="A1255" s="3">
        <v>18</v>
      </c>
      <c r="B1255" s="3">
        <v>8</v>
      </c>
      <c r="C1255" s="3">
        <v>29</v>
      </c>
      <c r="D1255" s="3">
        <v>20</v>
      </c>
      <c r="E1255" s="3">
        <v>-1455.774</v>
      </c>
      <c r="F1255" s="4" t="str">
        <f>HYPERLINK("http://141.218.60.56/~jnz1568/getInfo.php?workbook=18_08.xlsx&amp;sheet=A0&amp;row=1255&amp;col=6&amp;number=0.0009152&amp;sourceID=14","0.0009152")</f>
        <v>0.0009152</v>
      </c>
      <c r="G1255" s="4" t="str">
        <f>HYPERLINK("http://141.218.60.56/~jnz1568/getInfo.php?workbook=18_08.xlsx&amp;sheet=A0&amp;row=1255&amp;col=7&amp;number=0&amp;sourceID=14","0")</f>
        <v>0</v>
      </c>
    </row>
    <row r="1256" spans="1:7">
      <c r="A1256" s="3">
        <v>18</v>
      </c>
      <c r="B1256" s="3">
        <v>8</v>
      </c>
      <c r="C1256" s="3">
        <v>30</v>
      </c>
      <c r="D1256" s="3">
        <v>20</v>
      </c>
      <c r="E1256" s="3">
        <v>-1783.438</v>
      </c>
      <c r="F1256" s="4" t="str">
        <f>HYPERLINK("http://141.218.60.56/~jnz1568/getInfo.php?workbook=18_08.xlsx&amp;sheet=A0&amp;row=1256&amp;col=6&amp;number=48.76&amp;sourceID=14","48.76")</f>
        <v>48.76</v>
      </c>
      <c r="G1256" s="4" t="str">
        <f>HYPERLINK("http://141.218.60.56/~jnz1568/getInfo.php?workbook=18_08.xlsx&amp;sheet=A0&amp;row=1256&amp;col=7&amp;number=0&amp;sourceID=14","0")</f>
        <v>0</v>
      </c>
    </row>
    <row r="1257" spans="1:7">
      <c r="A1257" s="3">
        <v>18</v>
      </c>
      <c r="B1257" s="3">
        <v>8</v>
      </c>
      <c r="C1257" s="3">
        <v>31</v>
      </c>
      <c r="D1257" s="3">
        <v>20</v>
      </c>
      <c r="E1257" s="3">
        <v>-1335.947</v>
      </c>
      <c r="F1257" s="4" t="str">
        <f>HYPERLINK("http://141.218.60.56/~jnz1568/getInfo.php?workbook=18_08.xlsx&amp;sheet=A0&amp;row=1257&amp;col=6&amp;number=11.54&amp;sourceID=14","11.54")</f>
        <v>11.54</v>
      </c>
      <c r="G1257" s="4" t="str">
        <f>HYPERLINK("http://141.218.60.56/~jnz1568/getInfo.php?workbook=18_08.xlsx&amp;sheet=A0&amp;row=1257&amp;col=7&amp;number=0&amp;sourceID=14","0")</f>
        <v>0</v>
      </c>
    </row>
    <row r="1258" spans="1:7">
      <c r="A1258" s="3">
        <v>18</v>
      </c>
      <c r="B1258" s="3">
        <v>8</v>
      </c>
      <c r="C1258" s="3">
        <v>32</v>
      </c>
      <c r="D1258" s="3">
        <v>20</v>
      </c>
      <c r="E1258" s="3">
        <v>-1286.006</v>
      </c>
      <c r="F1258" s="4" t="str">
        <f>HYPERLINK("http://141.218.60.56/~jnz1568/getInfo.php?workbook=18_08.xlsx&amp;sheet=A0&amp;row=1258&amp;col=6&amp;number=2.996&amp;sourceID=14","2.996")</f>
        <v>2.996</v>
      </c>
      <c r="G1258" s="4" t="str">
        <f>HYPERLINK("http://141.218.60.56/~jnz1568/getInfo.php?workbook=18_08.xlsx&amp;sheet=A0&amp;row=1258&amp;col=7&amp;number=0&amp;sourceID=14","0")</f>
        <v>0</v>
      </c>
    </row>
    <row r="1259" spans="1:7">
      <c r="A1259" s="3">
        <v>18</v>
      </c>
      <c r="B1259" s="3">
        <v>8</v>
      </c>
      <c r="C1259" s="3">
        <v>34</v>
      </c>
      <c r="D1259" s="3">
        <v>20</v>
      </c>
      <c r="E1259" s="3">
        <v>-1189.992</v>
      </c>
      <c r="F1259" s="4" t="str">
        <f>HYPERLINK("http://141.218.60.56/~jnz1568/getInfo.php?workbook=18_08.xlsx&amp;sheet=A0&amp;row=1259&amp;col=6&amp;number=0.2766&amp;sourceID=14","0.2766")</f>
        <v>0.2766</v>
      </c>
      <c r="G1259" s="4" t="str">
        <f>HYPERLINK("http://141.218.60.56/~jnz1568/getInfo.php?workbook=18_08.xlsx&amp;sheet=A0&amp;row=1259&amp;col=7&amp;number=0&amp;sourceID=14","0")</f>
        <v>0</v>
      </c>
    </row>
    <row r="1260" spans="1:7">
      <c r="A1260" s="3">
        <v>18</v>
      </c>
      <c r="B1260" s="3">
        <v>8</v>
      </c>
      <c r="C1260" s="3">
        <v>35</v>
      </c>
      <c r="D1260" s="3">
        <v>20</v>
      </c>
      <c r="E1260" s="3">
        <v>-852.318</v>
      </c>
      <c r="F1260" s="4" t="str">
        <f>HYPERLINK("http://141.218.60.56/~jnz1568/getInfo.php?workbook=18_08.xlsx&amp;sheet=A0&amp;row=1260&amp;col=6&amp;number=62.51&amp;sourceID=14","62.51")</f>
        <v>62.51</v>
      </c>
      <c r="G1260" s="4" t="str">
        <f>HYPERLINK("http://141.218.60.56/~jnz1568/getInfo.php?workbook=18_08.xlsx&amp;sheet=A0&amp;row=1260&amp;col=7&amp;number=0&amp;sourceID=14","0")</f>
        <v>0</v>
      </c>
    </row>
    <row r="1261" spans="1:7">
      <c r="A1261" s="3">
        <v>18</v>
      </c>
      <c r="B1261" s="3">
        <v>8</v>
      </c>
      <c r="C1261" s="3">
        <v>36</v>
      </c>
      <c r="D1261" s="3">
        <v>20</v>
      </c>
      <c r="E1261" s="3">
        <v>-786.733</v>
      </c>
      <c r="F1261" s="4" t="str">
        <f>HYPERLINK("http://141.218.60.56/~jnz1568/getInfo.php?workbook=18_08.xlsx&amp;sheet=A0&amp;row=1261&amp;col=6&amp;number=99.06&amp;sourceID=14","99.06")</f>
        <v>99.06</v>
      </c>
      <c r="G1261" s="4" t="str">
        <f>HYPERLINK("http://141.218.60.56/~jnz1568/getInfo.php?workbook=18_08.xlsx&amp;sheet=A0&amp;row=1261&amp;col=7&amp;number=0&amp;sourceID=14","0")</f>
        <v>0</v>
      </c>
    </row>
    <row r="1262" spans="1:7">
      <c r="A1262" s="3">
        <v>18</v>
      </c>
      <c r="B1262" s="3">
        <v>8</v>
      </c>
      <c r="C1262" s="3">
        <v>37</v>
      </c>
      <c r="D1262" s="3">
        <v>20</v>
      </c>
      <c r="E1262" s="3">
        <v>-805.708</v>
      </c>
      <c r="F1262" s="4" t="str">
        <f>HYPERLINK("http://141.218.60.56/~jnz1568/getInfo.php?workbook=18_08.xlsx&amp;sheet=A0&amp;row=1262&amp;col=6&amp;number=54.43&amp;sourceID=14","54.43")</f>
        <v>54.43</v>
      </c>
      <c r="G1262" s="4" t="str">
        <f>HYPERLINK("http://141.218.60.56/~jnz1568/getInfo.php?workbook=18_08.xlsx&amp;sheet=A0&amp;row=1262&amp;col=7&amp;number=0&amp;sourceID=14","0")</f>
        <v>0</v>
      </c>
    </row>
    <row r="1263" spans="1:7">
      <c r="A1263" s="3">
        <v>18</v>
      </c>
      <c r="B1263" s="3">
        <v>8</v>
      </c>
      <c r="C1263" s="3">
        <v>38</v>
      </c>
      <c r="D1263" s="3">
        <v>20</v>
      </c>
      <c r="E1263" s="3">
        <v>-716.506</v>
      </c>
      <c r="F1263" s="4" t="str">
        <f>HYPERLINK("http://141.218.60.56/~jnz1568/getInfo.php?workbook=18_08.xlsx&amp;sheet=A0&amp;row=1263&amp;col=6&amp;number=7254000&amp;sourceID=14","7254000")</f>
        <v>7254000</v>
      </c>
      <c r="G1263" s="4" t="str">
        <f>HYPERLINK("http://141.218.60.56/~jnz1568/getInfo.php?workbook=18_08.xlsx&amp;sheet=A0&amp;row=1263&amp;col=7&amp;number=0&amp;sourceID=14","0")</f>
        <v>0</v>
      </c>
    </row>
    <row r="1264" spans="1:7">
      <c r="A1264" s="3">
        <v>18</v>
      </c>
      <c r="B1264" s="3">
        <v>8</v>
      </c>
      <c r="C1264" s="3">
        <v>39</v>
      </c>
      <c r="D1264" s="3">
        <v>20</v>
      </c>
      <c r="E1264" s="3">
        <v>-716.027</v>
      </c>
      <c r="F1264" s="4" t="str">
        <f>HYPERLINK("http://141.218.60.56/~jnz1568/getInfo.php?workbook=18_08.xlsx&amp;sheet=A0&amp;row=1264&amp;col=6&amp;number=3263000&amp;sourceID=14","3263000")</f>
        <v>3263000</v>
      </c>
      <c r="G1264" s="4" t="str">
        <f>HYPERLINK("http://141.218.60.56/~jnz1568/getInfo.php?workbook=18_08.xlsx&amp;sheet=A0&amp;row=1264&amp;col=7&amp;number=0&amp;sourceID=14","0")</f>
        <v>0</v>
      </c>
    </row>
    <row r="1265" spans="1:7">
      <c r="A1265" s="3">
        <v>18</v>
      </c>
      <c r="B1265" s="3">
        <v>8</v>
      </c>
      <c r="C1265" s="3">
        <v>40</v>
      </c>
      <c r="D1265" s="3">
        <v>20</v>
      </c>
      <c r="E1265" s="3">
        <v>-715.188</v>
      </c>
      <c r="F1265" s="4" t="str">
        <f>HYPERLINK("http://141.218.60.56/~jnz1568/getInfo.php?workbook=18_08.xlsx&amp;sheet=A0&amp;row=1265&amp;col=6&amp;number=70500&amp;sourceID=14","70500")</f>
        <v>70500</v>
      </c>
      <c r="G1265" s="4" t="str">
        <f>HYPERLINK("http://141.218.60.56/~jnz1568/getInfo.php?workbook=18_08.xlsx&amp;sheet=A0&amp;row=1265&amp;col=7&amp;number=0&amp;sourceID=14","0")</f>
        <v>0</v>
      </c>
    </row>
    <row r="1266" spans="1:7">
      <c r="A1266" s="3">
        <v>18</v>
      </c>
      <c r="B1266" s="3">
        <v>8</v>
      </c>
      <c r="C1266" s="3">
        <v>41</v>
      </c>
      <c r="D1266" s="3">
        <v>20</v>
      </c>
      <c r="E1266" s="3">
        <v>-713.983</v>
      </c>
      <c r="F1266" s="4" t="str">
        <f>HYPERLINK("http://141.218.60.56/~jnz1568/getInfo.php?workbook=18_08.xlsx&amp;sheet=A0&amp;row=1266&amp;col=6&amp;number=0.07859&amp;sourceID=14","0.07859")</f>
        <v>0.07859</v>
      </c>
      <c r="G1266" s="4" t="str">
        <f>HYPERLINK("http://141.218.60.56/~jnz1568/getInfo.php?workbook=18_08.xlsx&amp;sheet=A0&amp;row=1266&amp;col=7&amp;number=0&amp;sourceID=14","0")</f>
        <v>0</v>
      </c>
    </row>
    <row r="1267" spans="1:7">
      <c r="A1267" s="3">
        <v>18</v>
      </c>
      <c r="B1267" s="3">
        <v>8</v>
      </c>
      <c r="C1267" s="3">
        <v>43</v>
      </c>
      <c r="D1267" s="3">
        <v>20</v>
      </c>
      <c r="E1267" s="3">
        <v>-785.159</v>
      </c>
      <c r="F1267" s="4" t="str">
        <f>HYPERLINK("http://141.218.60.56/~jnz1568/getInfo.php?workbook=18_08.xlsx&amp;sheet=A0&amp;row=1267&amp;col=6&amp;number=10.85&amp;sourceID=14","10.85")</f>
        <v>10.85</v>
      </c>
      <c r="G1267" s="4" t="str">
        <f>HYPERLINK("http://141.218.60.56/~jnz1568/getInfo.php?workbook=18_08.xlsx&amp;sheet=A0&amp;row=1267&amp;col=7&amp;number=0&amp;sourceID=14","0")</f>
        <v>0</v>
      </c>
    </row>
    <row r="1268" spans="1:7">
      <c r="A1268" s="3">
        <v>18</v>
      </c>
      <c r="B1268" s="3">
        <v>8</v>
      </c>
      <c r="C1268" s="3">
        <v>44</v>
      </c>
      <c r="D1268" s="3">
        <v>20</v>
      </c>
      <c r="E1268" s="3">
        <v>-906.988</v>
      </c>
      <c r="F1268" s="4" t="str">
        <f>HYPERLINK("http://141.218.60.56/~jnz1568/getInfo.php?workbook=18_08.xlsx&amp;sheet=A0&amp;row=1268&amp;col=6&amp;number=13.58&amp;sourceID=14","13.58")</f>
        <v>13.58</v>
      </c>
      <c r="G1268" s="4" t="str">
        <f>HYPERLINK("http://141.218.60.56/~jnz1568/getInfo.php?workbook=18_08.xlsx&amp;sheet=A0&amp;row=1268&amp;col=7&amp;number=0&amp;sourceID=14","0")</f>
        <v>0</v>
      </c>
    </row>
    <row r="1269" spans="1:7">
      <c r="A1269" s="3">
        <v>18</v>
      </c>
      <c r="B1269" s="3">
        <v>8</v>
      </c>
      <c r="C1269" s="3">
        <v>45</v>
      </c>
      <c r="D1269" s="3">
        <v>20</v>
      </c>
      <c r="E1269" s="3">
        <v>-797.314</v>
      </c>
      <c r="F1269" s="4" t="str">
        <f>HYPERLINK("http://141.218.60.56/~jnz1568/getInfo.php?workbook=18_08.xlsx&amp;sheet=A0&amp;row=1269&amp;col=6&amp;number=27.69&amp;sourceID=14","27.69")</f>
        <v>27.69</v>
      </c>
      <c r="G1269" s="4" t="str">
        <f>HYPERLINK("http://141.218.60.56/~jnz1568/getInfo.php?workbook=18_08.xlsx&amp;sheet=A0&amp;row=1269&amp;col=7&amp;number=0&amp;sourceID=14","0")</f>
        <v>0</v>
      </c>
    </row>
    <row r="1270" spans="1:7">
      <c r="A1270" s="3">
        <v>18</v>
      </c>
      <c r="B1270" s="3">
        <v>8</v>
      </c>
      <c r="C1270" s="3">
        <v>46</v>
      </c>
      <c r="D1270" s="3">
        <v>20</v>
      </c>
      <c r="E1270" s="3">
        <v>-733.861</v>
      </c>
      <c r="F1270" s="4" t="str">
        <f>HYPERLINK("http://141.218.60.56/~jnz1568/getInfo.php?workbook=18_08.xlsx&amp;sheet=A0&amp;row=1270&amp;col=6&amp;number=76.22&amp;sourceID=14","76.22")</f>
        <v>76.22</v>
      </c>
      <c r="G1270" s="4" t="str">
        <f>HYPERLINK("http://141.218.60.56/~jnz1568/getInfo.php?workbook=18_08.xlsx&amp;sheet=A0&amp;row=1270&amp;col=7&amp;number=0&amp;sourceID=14","0")</f>
        <v>0</v>
      </c>
    </row>
    <row r="1271" spans="1:7">
      <c r="A1271" s="3">
        <v>18</v>
      </c>
      <c r="B1271" s="3">
        <v>8</v>
      </c>
      <c r="C1271" s="3">
        <v>47</v>
      </c>
      <c r="D1271" s="3">
        <v>20</v>
      </c>
      <c r="E1271" s="3">
        <v>-763.625</v>
      </c>
      <c r="F1271" s="4" t="str">
        <f>HYPERLINK("http://141.218.60.56/~jnz1568/getInfo.php?workbook=18_08.xlsx&amp;sheet=A0&amp;row=1271&amp;col=6&amp;number=4.598&amp;sourceID=14","4.598")</f>
        <v>4.598</v>
      </c>
      <c r="G1271" s="4" t="str">
        <f>HYPERLINK("http://141.218.60.56/~jnz1568/getInfo.php?workbook=18_08.xlsx&amp;sheet=A0&amp;row=1271&amp;col=7&amp;number=0&amp;sourceID=14","0")</f>
        <v>0</v>
      </c>
    </row>
    <row r="1272" spans="1:7">
      <c r="A1272" s="3">
        <v>18</v>
      </c>
      <c r="B1272" s="3">
        <v>8</v>
      </c>
      <c r="C1272" s="3">
        <v>48</v>
      </c>
      <c r="D1272" s="3">
        <v>20</v>
      </c>
      <c r="E1272" s="3">
        <v>-711.727</v>
      </c>
      <c r="F1272" s="4" t="str">
        <f>HYPERLINK("http://141.218.60.56/~jnz1568/getInfo.php?workbook=18_08.xlsx&amp;sheet=A0&amp;row=1272&amp;col=6&amp;number=275.4&amp;sourceID=14","275.4")</f>
        <v>275.4</v>
      </c>
      <c r="G1272" s="4" t="str">
        <f>HYPERLINK("http://141.218.60.56/~jnz1568/getInfo.php?workbook=18_08.xlsx&amp;sheet=A0&amp;row=1272&amp;col=7&amp;number=0&amp;sourceID=14","0")</f>
        <v>0</v>
      </c>
    </row>
    <row r="1273" spans="1:7">
      <c r="A1273" s="3">
        <v>18</v>
      </c>
      <c r="B1273" s="3">
        <v>8</v>
      </c>
      <c r="C1273" s="3">
        <v>49</v>
      </c>
      <c r="D1273" s="3">
        <v>20</v>
      </c>
      <c r="E1273" s="3">
        <v>-662.216</v>
      </c>
      <c r="F1273" s="4" t="str">
        <f>HYPERLINK("http://141.218.60.56/~jnz1568/getInfo.php?workbook=18_08.xlsx&amp;sheet=A0&amp;row=1273&amp;col=6&amp;number=167.7&amp;sourceID=14","167.7")</f>
        <v>167.7</v>
      </c>
      <c r="G1273" s="4" t="str">
        <f>HYPERLINK("http://141.218.60.56/~jnz1568/getInfo.php?workbook=18_08.xlsx&amp;sheet=A0&amp;row=1273&amp;col=7&amp;number=0&amp;sourceID=14","0")</f>
        <v>0</v>
      </c>
    </row>
    <row r="1274" spans="1:7">
      <c r="A1274" s="3">
        <v>18</v>
      </c>
      <c r="B1274" s="3">
        <v>8</v>
      </c>
      <c r="C1274" s="3">
        <v>50</v>
      </c>
      <c r="D1274" s="3">
        <v>20</v>
      </c>
      <c r="E1274" s="3">
        <v>-649.733</v>
      </c>
      <c r="F1274" s="4" t="str">
        <f>HYPERLINK("http://141.218.60.56/~jnz1568/getInfo.php?workbook=18_08.xlsx&amp;sheet=A0&amp;row=1274&amp;col=6&amp;number=62.17&amp;sourceID=14","62.17")</f>
        <v>62.17</v>
      </c>
      <c r="G1274" s="4" t="str">
        <f>HYPERLINK("http://141.218.60.56/~jnz1568/getInfo.php?workbook=18_08.xlsx&amp;sheet=A0&amp;row=1274&amp;col=7&amp;number=0&amp;sourceID=14","0")</f>
        <v>0</v>
      </c>
    </row>
    <row r="1275" spans="1:7">
      <c r="A1275" s="3">
        <v>18</v>
      </c>
      <c r="B1275" s="3">
        <v>8</v>
      </c>
      <c r="C1275" s="3">
        <v>51</v>
      </c>
      <c r="D1275" s="3">
        <v>20</v>
      </c>
      <c r="E1275" s="3">
        <v>-566.224</v>
      </c>
      <c r="F1275" s="4" t="str">
        <f>HYPERLINK("http://141.218.60.56/~jnz1568/getInfo.php?workbook=18_08.xlsx&amp;sheet=A0&amp;row=1275&amp;col=6&amp;number=2189000000&amp;sourceID=14","2189000000")</f>
        <v>2189000000</v>
      </c>
      <c r="G1275" s="4" t="str">
        <f>HYPERLINK("http://141.218.60.56/~jnz1568/getInfo.php?workbook=18_08.xlsx&amp;sheet=A0&amp;row=1275&amp;col=7&amp;number=0&amp;sourceID=14","0")</f>
        <v>0</v>
      </c>
    </row>
    <row r="1276" spans="1:7">
      <c r="A1276" s="3">
        <v>18</v>
      </c>
      <c r="B1276" s="3">
        <v>8</v>
      </c>
      <c r="C1276" s="3">
        <v>52</v>
      </c>
      <c r="D1276" s="3">
        <v>20</v>
      </c>
      <c r="E1276" s="3">
        <v>-563.065</v>
      </c>
      <c r="F1276" s="4" t="str">
        <f>HYPERLINK("http://141.218.60.56/~jnz1568/getInfo.php?workbook=18_08.xlsx&amp;sheet=A0&amp;row=1276&amp;col=6&amp;number=1205000000&amp;sourceID=14","1205000000")</f>
        <v>1205000000</v>
      </c>
      <c r="G1276" s="4" t="str">
        <f>HYPERLINK("http://141.218.60.56/~jnz1568/getInfo.php?workbook=18_08.xlsx&amp;sheet=A0&amp;row=1276&amp;col=7&amp;number=0&amp;sourceID=14","0")</f>
        <v>0</v>
      </c>
    </row>
    <row r="1277" spans="1:7">
      <c r="A1277" s="3">
        <v>18</v>
      </c>
      <c r="B1277" s="3">
        <v>8</v>
      </c>
      <c r="C1277" s="3">
        <v>53</v>
      </c>
      <c r="D1277" s="3">
        <v>20</v>
      </c>
      <c r="E1277" s="3">
        <v>-643.985</v>
      </c>
      <c r="F1277" s="4" t="str">
        <f>HYPERLINK("http://141.218.60.56/~jnz1568/getInfo.php?workbook=18_08.xlsx&amp;sheet=A0&amp;row=1277&amp;col=6&amp;number=5.276&amp;sourceID=14","5.276")</f>
        <v>5.276</v>
      </c>
      <c r="G1277" s="4" t="str">
        <f>HYPERLINK("http://141.218.60.56/~jnz1568/getInfo.php?workbook=18_08.xlsx&amp;sheet=A0&amp;row=1277&amp;col=7&amp;number=0&amp;sourceID=14","0")</f>
        <v>0</v>
      </c>
    </row>
    <row r="1278" spans="1:7">
      <c r="A1278" s="3">
        <v>18</v>
      </c>
      <c r="B1278" s="3">
        <v>8</v>
      </c>
      <c r="C1278" s="3">
        <v>54</v>
      </c>
      <c r="D1278" s="3">
        <v>20</v>
      </c>
      <c r="E1278" s="3">
        <v>-560.26</v>
      </c>
      <c r="F1278" s="4" t="str">
        <f>HYPERLINK("http://141.218.60.56/~jnz1568/getInfo.php?workbook=18_08.xlsx&amp;sheet=A0&amp;row=1278&amp;col=6&amp;number=0.01198&amp;sourceID=14","0.01198")</f>
        <v>0.01198</v>
      </c>
      <c r="G1278" s="4" t="str">
        <f>HYPERLINK("http://141.218.60.56/~jnz1568/getInfo.php?workbook=18_08.xlsx&amp;sheet=A0&amp;row=1278&amp;col=7&amp;number=0&amp;sourceID=14","0")</f>
        <v>0</v>
      </c>
    </row>
    <row r="1279" spans="1:7">
      <c r="A1279" s="3">
        <v>18</v>
      </c>
      <c r="B1279" s="3">
        <v>8</v>
      </c>
      <c r="C1279" s="3">
        <v>55</v>
      </c>
      <c r="D1279" s="3">
        <v>20</v>
      </c>
      <c r="E1279" s="3">
        <v>-540.784</v>
      </c>
      <c r="F1279" s="4" t="str">
        <f>HYPERLINK("http://141.218.60.56/~jnz1568/getInfo.php?workbook=18_08.xlsx&amp;sheet=A0&amp;row=1279&amp;col=6&amp;number=40.32&amp;sourceID=14","40.32")</f>
        <v>40.32</v>
      </c>
      <c r="G1279" s="4" t="str">
        <f>HYPERLINK("http://141.218.60.56/~jnz1568/getInfo.php?workbook=18_08.xlsx&amp;sheet=A0&amp;row=1279&amp;col=7&amp;number=0&amp;sourceID=14","0")</f>
        <v>0</v>
      </c>
    </row>
    <row r="1280" spans="1:7">
      <c r="A1280" s="3">
        <v>18</v>
      </c>
      <c r="B1280" s="3">
        <v>8</v>
      </c>
      <c r="C1280" s="3">
        <v>56</v>
      </c>
      <c r="D1280" s="3">
        <v>20</v>
      </c>
      <c r="E1280" s="3">
        <v>-429.401</v>
      </c>
      <c r="F1280" s="4" t="str">
        <f>HYPERLINK("http://141.218.60.56/~jnz1568/getInfo.php?workbook=18_08.xlsx&amp;sheet=A0&amp;row=1280&amp;col=6&amp;number=1115000&amp;sourceID=14","1115000")</f>
        <v>1115000</v>
      </c>
      <c r="G1280" s="4" t="str">
        <f>HYPERLINK("http://141.218.60.56/~jnz1568/getInfo.php?workbook=18_08.xlsx&amp;sheet=A0&amp;row=1280&amp;col=7&amp;number=0&amp;sourceID=14","0")</f>
        <v>0</v>
      </c>
    </row>
    <row r="1281" spans="1:7">
      <c r="A1281" s="3">
        <v>18</v>
      </c>
      <c r="B1281" s="3">
        <v>8</v>
      </c>
      <c r="C1281" s="3">
        <v>57</v>
      </c>
      <c r="D1281" s="3">
        <v>20</v>
      </c>
      <c r="E1281" s="3">
        <v>-422.997</v>
      </c>
      <c r="F1281" s="4" t="str">
        <f>HYPERLINK("http://141.218.60.56/~jnz1568/getInfo.php?workbook=18_08.xlsx&amp;sheet=A0&amp;row=1281&amp;col=6&amp;number=0.01257&amp;sourceID=14","0.01257")</f>
        <v>0.01257</v>
      </c>
      <c r="G1281" s="4" t="str">
        <f>HYPERLINK("http://141.218.60.56/~jnz1568/getInfo.php?workbook=18_08.xlsx&amp;sheet=A0&amp;row=1281&amp;col=7&amp;number=0&amp;sourceID=14","0")</f>
        <v>0</v>
      </c>
    </row>
    <row r="1282" spans="1:7">
      <c r="A1282" s="3">
        <v>18</v>
      </c>
      <c r="B1282" s="3">
        <v>8</v>
      </c>
      <c r="C1282" s="3">
        <v>58</v>
      </c>
      <c r="D1282" s="3">
        <v>20</v>
      </c>
      <c r="E1282" s="3">
        <v>-418.176</v>
      </c>
      <c r="F1282" s="4" t="str">
        <f>HYPERLINK("http://141.218.60.56/~jnz1568/getInfo.php?workbook=18_08.xlsx&amp;sheet=A0&amp;row=1282&amp;col=6&amp;number=22090000&amp;sourceID=14","22090000")</f>
        <v>22090000</v>
      </c>
      <c r="G1282" s="4" t="str">
        <f>HYPERLINK("http://141.218.60.56/~jnz1568/getInfo.php?workbook=18_08.xlsx&amp;sheet=A0&amp;row=1282&amp;col=7&amp;number=0&amp;sourceID=14","0")</f>
        <v>0</v>
      </c>
    </row>
    <row r="1283" spans="1:7">
      <c r="A1283" s="3">
        <v>18</v>
      </c>
      <c r="B1283" s="3">
        <v>8</v>
      </c>
      <c r="C1283" s="3">
        <v>60</v>
      </c>
      <c r="D1283" s="3">
        <v>20</v>
      </c>
      <c r="E1283" s="3">
        <v>-404.02</v>
      </c>
      <c r="F1283" s="4" t="str">
        <f>HYPERLINK("http://141.218.60.56/~jnz1568/getInfo.php?workbook=18_08.xlsx&amp;sheet=A0&amp;row=1283&amp;col=6&amp;number=0.006124&amp;sourceID=14","0.006124")</f>
        <v>0.006124</v>
      </c>
      <c r="G1283" s="4" t="str">
        <f>HYPERLINK("http://141.218.60.56/~jnz1568/getInfo.php?workbook=18_08.xlsx&amp;sheet=A0&amp;row=1283&amp;col=7&amp;number=0&amp;sourceID=14","0")</f>
        <v>0</v>
      </c>
    </row>
    <row r="1284" spans="1:7">
      <c r="A1284" s="3">
        <v>18</v>
      </c>
      <c r="B1284" s="3">
        <v>8</v>
      </c>
      <c r="C1284" s="3">
        <v>64</v>
      </c>
      <c r="D1284" s="3">
        <v>20</v>
      </c>
      <c r="E1284" s="3">
        <v>-376.476</v>
      </c>
      <c r="F1284" s="4" t="str">
        <f>HYPERLINK("http://141.218.60.56/~jnz1568/getInfo.php?workbook=18_08.xlsx&amp;sheet=A0&amp;row=1284&amp;col=6&amp;number=17550000&amp;sourceID=14","17550000")</f>
        <v>17550000</v>
      </c>
      <c r="G1284" s="4" t="str">
        <f>HYPERLINK("http://141.218.60.56/~jnz1568/getInfo.php?workbook=18_08.xlsx&amp;sheet=A0&amp;row=1284&amp;col=7&amp;number=0&amp;sourceID=14","0")</f>
        <v>0</v>
      </c>
    </row>
    <row r="1285" spans="1:7">
      <c r="A1285" s="3">
        <v>18</v>
      </c>
      <c r="B1285" s="3">
        <v>8</v>
      </c>
      <c r="C1285" s="3">
        <v>65</v>
      </c>
      <c r="D1285" s="3">
        <v>20</v>
      </c>
      <c r="E1285" s="3">
        <v>-423.814</v>
      </c>
      <c r="F1285" s="4" t="str">
        <f>HYPERLINK("http://141.218.60.56/~jnz1568/getInfo.php?workbook=18_08.xlsx&amp;sheet=A0&amp;row=1285&amp;col=6&amp;number=371&amp;sourceID=14","371")</f>
        <v>371</v>
      </c>
      <c r="G1285" s="4" t="str">
        <f>HYPERLINK("http://141.218.60.56/~jnz1568/getInfo.php?workbook=18_08.xlsx&amp;sheet=A0&amp;row=1285&amp;col=7&amp;number=0&amp;sourceID=14","0")</f>
        <v>0</v>
      </c>
    </row>
    <row r="1286" spans="1:7">
      <c r="A1286" s="3">
        <v>18</v>
      </c>
      <c r="B1286" s="3">
        <v>8</v>
      </c>
      <c r="C1286" s="3">
        <v>66</v>
      </c>
      <c r="D1286" s="3">
        <v>20</v>
      </c>
      <c r="E1286" s="3">
        <v>-379.089</v>
      </c>
      <c r="F1286" s="4" t="str">
        <f>HYPERLINK("http://141.218.60.56/~jnz1568/getInfo.php?workbook=18_08.xlsx&amp;sheet=A0&amp;row=1286&amp;col=6&amp;number=19190000&amp;sourceID=14","19190000")</f>
        <v>19190000</v>
      </c>
      <c r="G1286" s="4" t="str">
        <f>HYPERLINK("http://141.218.60.56/~jnz1568/getInfo.php?workbook=18_08.xlsx&amp;sheet=A0&amp;row=1286&amp;col=7&amp;number=0&amp;sourceID=14","0")</f>
        <v>0</v>
      </c>
    </row>
    <row r="1287" spans="1:7">
      <c r="A1287" s="3">
        <v>18</v>
      </c>
      <c r="B1287" s="3">
        <v>8</v>
      </c>
      <c r="C1287" s="3">
        <v>67</v>
      </c>
      <c r="D1287" s="3">
        <v>20</v>
      </c>
      <c r="E1287" s="3">
        <v>-390.278</v>
      </c>
      <c r="F1287" s="4" t="str">
        <f>HYPERLINK("http://141.218.60.56/~jnz1568/getInfo.php?workbook=18_08.xlsx&amp;sheet=A0&amp;row=1287&amp;col=6&amp;number=96220000&amp;sourceID=14","96220000")</f>
        <v>96220000</v>
      </c>
      <c r="G1287" s="4" t="str">
        <f>HYPERLINK("http://141.218.60.56/~jnz1568/getInfo.php?workbook=18_08.xlsx&amp;sheet=A0&amp;row=1287&amp;col=7&amp;number=0&amp;sourceID=14","0")</f>
        <v>0</v>
      </c>
    </row>
    <row r="1288" spans="1:7">
      <c r="A1288" s="3">
        <v>18</v>
      </c>
      <c r="B1288" s="3">
        <v>8</v>
      </c>
      <c r="C1288" s="3">
        <v>68</v>
      </c>
      <c r="D1288" s="3">
        <v>20</v>
      </c>
      <c r="E1288" s="3">
        <v>-375.327</v>
      </c>
      <c r="F1288" s="4" t="str">
        <f>HYPERLINK("http://141.218.60.56/~jnz1568/getInfo.php?workbook=18_08.xlsx&amp;sheet=A0&amp;row=1288&amp;col=6&amp;number=0.009651&amp;sourceID=14","0.009651")</f>
        <v>0.009651</v>
      </c>
      <c r="G1288" s="4" t="str">
        <f>HYPERLINK("http://141.218.60.56/~jnz1568/getInfo.php?workbook=18_08.xlsx&amp;sheet=A0&amp;row=1288&amp;col=7&amp;number=0&amp;sourceID=14","0")</f>
        <v>0</v>
      </c>
    </row>
    <row r="1289" spans="1:7">
      <c r="A1289" s="3">
        <v>18</v>
      </c>
      <c r="B1289" s="3">
        <v>8</v>
      </c>
      <c r="C1289" s="3">
        <v>69</v>
      </c>
      <c r="D1289" s="3">
        <v>20</v>
      </c>
      <c r="E1289" s="3">
        <v>-364.885</v>
      </c>
      <c r="F1289" s="4" t="str">
        <f>HYPERLINK("http://141.218.60.56/~jnz1568/getInfo.php?workbook=18_08.xlsx&amp;sheet=A0&amp;row=1289&amp;col=6&amp;number=296400000&amp;sourceID=14","296400000")</f>
        <v>296400000</v>
      </c>
      <c r="G1289" s="4" t="str">
        <f>HYPERLINK("http://141.218.60.56/~jnz1568/getInfo.php?workbook=18_08.xlsx&amp;sheet=A0&amp;row=1289&amp;col=7&amp;number=0&amp;sourceID=14","0")</f>
        <v>0</v>
      </c>
    </row>
    <row r="1290" spans="1:7">
      <c r="A1290" s="3">
        <v>18</v>
      </c>
      <c r="B1290" s="3">
        <v>8</v>
      </c>
      <c r="C1290" s="3">
        <v>70</v>
      </c>
      <c r="D1290" s="3">
        <v>20</v>
      </c>
      <c r="E1290" s="3">
        <v>-359.581</v>
      </c>
      <c r="F1290" s="4" t="str">
        <f>HYPERLINK("http://141.218.60.56/~jnz1568/getInfo.php?workbook=18_08.xlsx&amp;sheet=A0&amp;row=1290&amp;col=6&amp;number=714900000&amp;sourceID=14","714900000")</f>
        <v>714900000</v>
      </c>
      <c r="G1290" s="4" t="str">
        <f>HYPERLINK("http://141.218.60.56/~jnz1568/getInfo.php?workbook=18_08.xlsx&amp;sheet=A0&amp;row=1290&amp;col=7&amp;number=0&amp;sourceID=14","0")</f>
        <v>0</v>
      </c>
    </row>
    <row r="1291" spans="1:7">
      <c r="A1291" s="3">
        <v>18</v>
      </c>
      <c r="B1291" s="3">
        <v>8</v>
      </c>
      <c r="C1291" s="3">
        <v>71</v>
      </c>
      <c r="D1291" s="3">
        <v>20</v>
      </c>
      <c r="E1291" s="3">
        <v>-358.732</v>
      </c>
      <c r="F1291" s="4" t="str">
        <f>HYPERLINK("http://141.218.60.56/~jnz1568/getInfo.php?workbook=18_08.xlsx&amp;sheet=A0&amp;row=1291&amp;col=6&amp;number=236500000&amp;sourceID=14","236500000")</f>
        <v>236500000</v>
      </c>
      <c r="G1291" s="4" t="str">
        <f>HYPERLINK("http://141.218.60.56/~jnz1568/getInfo.php?workbook=18_08.xlsx&amp;sheet=A0&amp;row=1291&amp;col=7&amp;number=0&amp;sourceID=14","0")</f>
        <v>0</v>
      </c>
    </row>
    <row r="1292" spans="1:7">
      <c r="A1292" s="3">
        <v>18</v>
      </c>
      <c r="B1292" s="3">
        <v>8</v>
      </c>
      <c r="C1292" s="3">
        <v>72</v>
      </c>
      <c r="D1292" s="3">
        <v>20</v>
      </c>
      <c r="E1292" s="3">
        <v>-367.635</v>
      </c>
      <c r="F1292" s="4" t="str">
        <f>HYPERLINK("http://141.218.60.56/~jnz1568/getInfo.php?workbook=18_08.xlsx&amp;sheet=A0&amp;row=1292&amp;col=6&amp;number=27310000&amp;sourceID=14","27310000")</f>
        <v>27310000</v>
      </c>
      <c r="G1292" s="4" t="str">
        <f>HYPERLINK("http://141.218.60.56/~jnz1568/getInfo.php?workbook=18_08.xlsx&amp;sheet=A0&amp;row=1292&amp;col=7&amp;number=0&amp;sourceID=14","0")</f>
        <v>0</v>
      </c>
    </row>
    <row r="1293" spans="1:7">
      <c r="A1293" s="3">
        <v>18</v>
      </c>
      <c r="B1293" s="3">
        <v>8</v>
      </c>
      <c r="C1293" s="3">
        <v>73</v>
      </c>
      <c r="D1293" s="3">
        <v>20</v>
      </c>
      <c r="E1293" s="3">
        <v>-352.959</v>
      </c>
      <c r="F1293" s="4" t="str">
        <f>HYPERLINK("http://141.218.60.56/~jnz1568/getInfo.php?workbook=18_08.xlsx&amp;sheet=A0&amp;row=1293&amp;col=6&amp;number=557400000&amp;sourceID=14","557400000")</f>
        <v>557400000</v>
      </c>
      <c r="G1293" s="4" t="str">
        <f>HYPERLINK("http://141.218.60.56/~jnz1568/getInfo.php?workbook=18_08.xlsx&amp;sheet=A0&amp;row=1293&amp;col=7&amp;number=0&amp;sourceID=14","0")</f>
        <v>0</v>
      </c>
    </row>
    <row r="1294" spans="1:7">
      <c r="A1294" s="3">
        <v>18</v>
      </c>
      <c r="B1294" s="3">
        <v>8</v>
      </c>
      <c r="C1294" s="3">
        <v>74</v>
      </c>
      <c r="D1294" s="3">
        <v>20</v>
      </c>
      <c r="E1294" s="3">
        <v>-335.869</v>
      </c>
      <c r="F1294" s="4" t="str">
        <f>HYPERLINK("http://141.218.60.56/~jnz1568/getInfo.php?workbook=18_08.xlsx&amp;sheet=A0&amp;row=1294&amp;col=6&amp;number=0.08558&amp;sourceID=14","0.08558")</f>
        <v>0.08558</v>
      </c>
      <c r="G1294" s="4" t="str">
        <f>HYPERLINK("http://141.218.60.56/~jnz1568/getInfo.php?workbook=18_08.xlsx&amp;sheet=A0&amp;row=1294&amp;col=7&amp;number=0&amp;sourceID=14","0")</f>
        <v>0</v>
      </c>
    </row>
    <row r="1295" spans="1:7">
      <c r="A1295" s="3">
        <v>18</v>
      </c>
      <c r="B1295" s="3">
        <v>8</v>
      </c>
      <c r="C1295" s="3">
        <v>75</v>
      </c>
      <c r="D1295" s="3">
        <v>20</v>
      </c>
      <c r="E1295" s="3">
        <v>-332.021</v>
      </c>
      <c r="F1295" s="4" t="str">
        <f>HYPERLINK("http://141.218.60.56/~jnz1568/getInfo.php?workbook=18_08.xlsx&amp;sheet=A0&amp;row=1295&amp;col=6&amp;number=480300&amp;sourceID=14","480300")</f>
        <v>480300</v>
      </c>
      <c r="G1295" s="4" t="str">
        <f>HYPERLINK("http://141.218.60.56/~jnz1568/getInfo.php?workbook=18_08.xlsx&amp;sheet=A0&amp;row=1295&amp;col=7&amp;number=0&amp;sourceID=14","0")</f>
        <v>0</v>
      </c>
    </row>
    <row r="1296" spans="1:7">
      <c r="A1296" s="3">
        <v>18</v>
      </c>
      <c r="B1296" s="3">
        <v>8</v>
      </c>
      <c r="C1296" s="3">
        <v>77</v>
      </c>
      <c r="D1296" s="3">
        <v>20</v>
      </c>
      <c r="E1296" s="3">
        <v>-329.52</v>
      </c>
      <c r="F1296" s="4" t="str">
        <f>HYPERLINK("http://141.218.60.56/~jnz1568/getInfo.php?workbook=18_08.xlsx&amp;sheet=A0&amp;row=1296&amp;col=6&amp;number=0.002142&amp;sourceID=14","0.002142")</f>
        <v>0.002142</v>
      </c>
      <c r="G1296" s="4" t="str">
        <f>HYPERLINK("http://141.218.60.56/~jnz1568/getInfo.php?workbook=18_08.xlsx&amp;sheet=A0&amp;row=1296&amp;col=7&amp;number=0&amp;sourceID=14","0")</f>
        <v>0</v>
      </c>
    </row>
    <row r="1297" spans="1:7">
      <c r="A1297" s="3">
        <v>18</v>
      </c>
      <c r="B1297" s="3">
        <v>8</v>
      </c>
      <c r="C1297" s="3">
        <v>78</v>
      </c>
      <c r="D1297" s="3">
        <v>20</v>
      </c>
      <c r="E1297" s="3">
        <v>-331.117</v>
      </c>
      <c r="F1297" s="4" t="str">
        <f>HYPERLINK("http://141.218.60.56/~jnz1568/getInfo.php?workbook=18_08.xlsx&amp;sheet=A0&amp;row=1297&amp;col=6&amp;number=185200000&amp;sourceID=14","185200000")</f>
        <v>185200000</v>
      </c>
      <c r="G1297" s="4" t="str">
        <f>HYPERLINK("http://141.218.60.56/~jnz1568/getInfo.php?workbook=18_08.xlsx&amp;sheet=A0&amp;row=1297&amp;col=7&amp;number=0&amp;sourceID=14","0")</f>
        <v>0</v>
      </c>
    </row>
    <row r="1298" spans="1:7">
      <c r="A1298" s="3">
        <v>18</v>
      </c>
      <c r="B1298" s="3">
        <v>8</v>
      </c>
      <c r="C1298" s="3">
        <v>79</v>
      </c>
      <c r="D1298" s="3">
        <v>20</v>
      </c>
      <c r="E1298" s="3">
        <v>-327.874</v>
      </c>
      <c r="F1298" s="4" t="str">
        <f>HYPERLINK("http://141.218.60.56/~jnz1568/getInfo.php?workbook=18_08.xlsx&amp;sheet=A0&amp;row=1298&amp;col=6&amp;number=182400000&amp;sourceID=14","182400000")</f>
        <v>182400000</v>
      </c>
      <c r="G1298" s="4" t="str">
        <f>HYPERLINK("http://141.218.60.56/~jnz1568/getInfo.php?workbook=18_08.xlsx&amp;sheet=A0&amp;row=1298&amp;col=7&amp;number=0&amp;sourceID=14","0")</f>
        <v>0</v>
      </c>
    </row>
    <row r="1299" spans="1:7">
      <c r="A1299" s="3">
        <v>18</v>
      </c>
      <c r="B1299" s="3">
        <v>8</v>
      </c>
      <c r="C1299" s="3">
        <v>80</v>
      </c>
      <c r="D1299" s="3">
        <v>20</v>
      </c>
      <c r="E1299" s="3">
        <v>-325.805</v>
      </c>
      <c r="F1299" s="4" t="str">
        <f>HYPERLINK("http://141.218.60.56/~jnz1568/getInfo.php?workbook=18_08.xlsx&amp;sheet=A0&amp;row=1299&amp;col=6&amp;number=26470&amp;sourceID=14","26470")</f>
        <v>26470</v>
      </c>
      <c r="G1299" s="4" t="str">
        <f>HYPERLINK("http://141.218.60.56/~jnz1568/getInfo.php?workbook=18_08.xlsx&amp;sheet=A0&amp;row=1299&amp;col=7&amp;number=0&amp;sourceID=14","0")</f>
        <v>0</v>
      </c>
    </row>
    <row r="1300" spans="1:7">
      <c r="A1300" s="3">
        <v>18</v>
      </c>
      <c r="B1300" s="3">
        <v>8</v>
      </c>
      <c r="C1300" s="3">
        <v>81</v>
      </c>
      <c r="D1300" s="3">
        <v>20</v>
      </c>
      <c r="E1300" s="3">
        <v>-315.197</v>
      </c>
      <c r="F1300" s="4" t="str">
        <f>HYPERLINK("http://141.218.60.56/~jnz1568/getInfo.php?workbook=18_08.xlsx&amp;sheet=A0&amp;row=1300&amp;col=6&amp;number=3477000&amp;sourceID=14","3477000")</f>
        <v>3477000</v>
      </c>
      <c r="G1300" s="4" t="str">
        <f>HYPERLINK("http://141.218.60.56/~jnz1568/getInfo.php?workbook=18_08.xlsx&amp;sheet=A0&amp;row=1300&amp;col=7&amp;number=0&amp;sourceID=14","0")</f>
        <v>0</v>
      </c>
    </row>
    <row r="1301" spans="1:7">
      <c r="A1301" s="3">
        <v>18</v>
      </c>
      <c r="B1301" s="3">
        <v>8</v>
      </c>
      <c r="C1301" s="3">
        <v>82</v>
      </c>
      <c r="D1301" s="3">
        <v>20</v>
      </c>
      <c r="E1301" s="3">
        <v>-311.981</v>
      </c>
      <c r="F1301" s="4" t="str">
        <f>HYPERLINK("http://141.218.60.56/~jnz1568/getInfo.php?workbook=18_08.xlsx&amp;sheet=A0&amp;row=1301&amp;col=6&amp;number=0.1047&amp;sourceID=14","0.1047")</f>
        <v>0.1047</v>
      </c>
      <c r="G1301" s="4" t="str">
        <f>HYPERLINK("http://141.218.60.56/~jnz1568/getInfo.php?workbook=18_08.xlsx&amp;sheet=A0&amp;row=1301&amp;col=7&amp;number=0&amp;sourceID=14","0")</f>
        <v>0</v>
      </c>
    </row>
    <row r="1302" spans="1:7">
      <c r="A1302" s="3">
        <v>18</v>
      </c>
      <c r="B1302" s="3">
        <v>8</v>
      </c>
      <c r="C1302" s="3">
        <v>83</v>
      </c>
      <c r="D1302" s="3">
        <v>20</v>
      </c>
      <c r="E1302" s="3">
        <v>-311.774</v>
      </c>
      <c r="F1302" s="4" t="str">
        <f>HYPERLINK("http://141.218.60.56/~jnz1568/getInfo.php?workbook=18_08.xlsx&amp;sheet=A0&amp;row=1302&amp;col=6&amp;number=10900000&amp;sourceID=14","10900000")</f>
        <v>10900000</v>
      </c>
      <c r="G1302" s="4" t="str">
        <f>HYPERLINK("http://141.218.60.56/~jnz1568/getInfo.php?workbook=18_08.xlsx&amp;sheet=A0&amp;row=1302&amp;col=7&amp;number=0&amp;sourceID=14","0")</f>
        <v>0</v>
      </c>
    </row>
    <row r="1303" spans="1:7">
      <c r="A1303" s="3">
        <v>18</v>
      </c>
      <c r="B1303" s="3">
        <v>8</v>
      </c>
      <c r="C1303" s="3">
        <v>84</v>
      </c>
      <c r="D1303" s="3">
        <v>20</v>
      </c>
      <c r="E1303" s="3">
        <v>-299.856</v>
      </c>
      <c r="F1303" s="4" t="str">
        <f>HYPERLINK("http://141.218.60.56/~jnz1568/getInfo.php?workbook=18_08.xlsx&amp;sheet=A0&amp;row=1303&amp;col=6&amp;number=1414000&amp;sourceID=14","1414000")</f>
        <v>1414000</v>
      </c>
      <c r="G1303" s="4" t="str">
        <f>HYPERLINK("http://141.218.60.56/~jnz1568/getInfo.php?workbook=18_08.xlsx&amp;sheet=A0&amp;row=1303&amp;col=7&amp;number=0&amp;sourceID=14","0")</f>
        <v>0</v>
      </c>
    </row>
    <row r="1304" spans="1:7">
      <c r="A1304" s="3">
        <v>18</v>
      </c>
      <c r="B1304" s="3">
        <v>8</v>
      </c>
      <c r="C1304" s="3">
        <v>85</v>
      </c>
      <c r="D1304" s="3">
        <v>20</v>
      </c>
      <c r="E1304" s="3">
        <v>-296.607</v>
      </c>
      <c r="F1304" s="4" t="str">
        <f>HYPERLINK("http://141.218.60.56/~jnz1568/getInfo.php?workbook=18_08.xlsx&amp;sheet=A0&amp;row=1304&amp;col=6&amp;number=0.0007407&amp;sourceID=14","0.0007407")</f>
        <v>0.0007407</v>
      </c>
      <c r="G1304" s="4" t="str">
        <f>HYPERLINK("http://141.218.60.56/~jnz1568/getInfo.php?workbook=18_08.xlsx&amp;sheet=A0&amp;row=1304&amp;col=7&amp;number=0&amp;sourceID=14","0")</f>
        <v>0</v>
      </c>
    </row>
    <row r="1305" spans="1:7">
      <c r="A1305" s="3">
        <v>18</v>
      </c>
      <c r="B1305" s="3">
        <v>8</v>
      </c>
      <c r="C1305" s="3">
        <v>86</v>
      </c>
      <c r="D1305" s="3">
        <v>20</v>
      </c>
      <c r="E1305" s="3">
        <v>-271.644</v>
      </c>
      <c r="F1305" s="4" t="str">
        <f>HYPERLINK("http://141.218.60.56/~jnz1568/getInfo.php?workbook=18_08.xlsx&amp;sheet=A0&amp;row=1305&amp;col=6&amp;number=153100&amp;sourceID=14","153100")</f>
        <v>153100</v>
      </c>
      <c r="G1305" s="4" t="str">
        <f>HYPERLINK("http://141.218.60.56/~jnz1568/getInfo.php?workbook=18_08.xlsx&amp;sheet=A0&amp;row=1305&amp;col=7&amp;number=0&amp;sourceID=14","0")</f>
        <v>0</v>
      </c>
    </row>
    <row r="1306" spans="1:7">
      <c r="A1306" s="3">
        <v>18</v>
      </c>
      <c r="B1306" s="3">
        <v>8</v>
      </c>
      <c r="C1306" s="3">
        <v>22</v>
      </c>
      <c r="D1306" s="3">
        <v>21</v>
      </c>
      <c r="E1306" s="3">
        <v>-184038.359</v>
      </c>
      <c r="F1306" s="4" t="str">
        <f>HYPERLINK("http://141.218.60.56/~jnz1568/getInfo.php?workbook=18_08.xlsx&amp;sheet=A0&amp;row=1306&amp;col=6&amp;number=1.961e-09&amp;sourceID=14","1.961e-09")</f>
        <v>1.961e-09</v>
      </c>
      <c r="G1306" s="4" t="str">
        <f>HYPERLINK("http://141.218.60.56/~jnz1568/getInfo.php?workbook=18_08.xlsx&amp;sheet=A0&amp;row=1306&amp;col=7&amp;number=0&amp;sourceID=14","0")</f>
        <v>0</v>
      </c>
    </row>
    <row r="1307" spans="1:7">
      <c r="A1307" s="3">
        <v>18</v>
      </c>
      <c r="B1307" s="3">
        <v>8</v>
      </c>
      <c r="C1307" s="3">
        <v>26</v>
      </c>
      <c r="D1307" s="3">
        <v>21</v>
      </c>
      <c r="E1307" s="3">
        <v>-15428.604</v>
      </c>
      <c r="F1307" s="4" t="str">
        <f>HYPERLINK("http://141.218.60.56/~jnz1568/getInfo.php?workbook=18_08.xlsx&amp;sheet=A0&amp;row=1307&amp;col=6&amp;number=7.337&amp;sourceID=14","7.337")</f>
        <v>7.337</v>
      </c>
      <c r="G1307" s="4" t="str">
        <f>HYPERLINK("http://141.218.60.56/~jnz1568/getInfo.php?workbook=18_08.xlsx&amp;sheet=A0&amp;row=1307&amp;col=7&amp;number=0&amp;sourceID=14","0")</f>
        <v>0</v>
      </c>
    </row>
    <row r="1308" spans="1:7">
      <c r="A1308" s="3">
        <v>18</v>
      </c>
      <c r="B1308" s="3">
        <v>8</v>
      </c>
      <c r="C1308" s="3">
        <v>27</v>
      </c>
      <c r="D1308" s="3">
        <v>21</v>
      </c>
      <c r="E1308" s="3">
        <v>-1499.157</v>
      </c>
      <c r="F1308" s="4" t="str">
        <f>HYPERLINK("http://141.218.60.56/~jnz1568/getInfo.php?workbook=18_08.xlsx&amp;sheet=A0&amp;row=1308&amp;col=6&amp;number=8.572&amp;sourceID=14","8.572")</f>
        <v>8.572</v>
      </c>
      <c r="G1308" s="4" t="str">
        <f>HYPERLINK("http://141.218.60.56/~jnz1568/getInfo.php?workbook=18_08.xlsx&amp;sheet=A0&amp;row=1308&amp;col=7&amp;number=0&amp;sourceID=14","0")</f>
        <v>0</v>
      </c>
    </row>
    <row r="1309" spans="1:7">
      <c r="A1309" s="3">
        <v>18</v>
      </c>
      <c r="B1309" s="3">
        <v>8</v>
      </c>
      <c r="C1309" s="3">
        <v>28</v>
      </c>
      <c r="D1309" s="3">
        <v>21</v>
      </c>
      <c r="E1309" s="3">
        <v>-1577.781</v>
      </c>
      <c r="F1309" s="4" t="str">
        <f>HYPERLINK("http://141.218.60.56/~jnz1568/getInfo.php?workbook=18_08.xlsx&amp;sheet=A0&amp;row=1309&amp;col=6&amp;number=8.702&amp;sourceID=14","8.702")</f>
        <v>8.702</v>
      </c>
      <c r="G1309" s="4" t="str">
        <f>HYPERLINK("http://141.218.60.56/~jnz1568/getInfo.php?workbook=18_08.xlsx&amp;sheet=A0&amp;row=1309&amp;col=7&amp;number=0&amp;sourceID=14","0")</f>
        <v>0</v>
      </c>
    </row>
    <row r="1310" spans="1:7">
      <c r="A1310" s="3">
        <v>18</v>
      </c>
      <c r="B1310" s="3">
        <v>8</v>
      </c>
      <c r="C1310" s="3">
        <v>29</v>
      </c>
      <c r="D1310" s="3">
        <v>21</v>
      </c>
      <c r="E1310" s="3">
        <v>-1482.661</v>
      </c>
      <c r="F1310" s="4" t="str">
        <f>HYPERLINK("http://141.218.60.56/~jnz1568/getInfo.php?workbook=18_08.xlsx&amp;sheet=A0&amp;row=1310&amp;col=6&amp;number=10.3&amp;sourceID=14","10.3")</f>
        <v>10.3</v>
      </c>
      <c r="G1310" s="4" t="str">
        <f>HYPERLINK("http://141.218.60.56/~jnz1568/getInfo.php?workbook=18_08.xlsx&amp;sheet=A0&amp;row=1310&amp;col=7&amp;number=0&amp;sourceID=14","0")</f>
        <v>0</v>
      </c>
    </row>
    <row r="1311" spans="1:7">
      <c r="A1311" s="3">
        <v>18</v>
      </c>
      <c r="B1311" s="3">
        <v>8</v>
      </c>
      <c r="C1311" s="3">
        <v>30</v>
      </c>
      <c r="D1311" s="3">
        <v>21</v>
      </c>
      <c r="E1311" s="3">
        <v>-1823.958</v>
      </c>
      <c r="F1311" s="4" t="str">
        <f>HYPERLINK("http://141.218.60.56/~jnz1568/getInfo.php?workbook=18_08.xlsx&amp;sheet=A0&amp;row=1311&amp;col=6&amp;number=17.12&amp;sourceID=14","17.12")</f>
        <v>17.12</v>
      </c>
      <c r="G1311" s="4" t="str">
        <f>HYPERLINK("http://141.218.60.56/~jnz1568/getInfo.php?workbook=18_08.xlsx&amp;sheet=A0&amp;row=1311&amp;col=7&amp;number=0&amp;sourceID=14","0")</f>
        <v>0</v>
      </c>
    </row>
    <row r="1312" spans="1:7">
      <c r="A1312" s="3">
        <v>18</v>
      </c>
      <c r="B1312" s="3">
        <v>8</v>
      </c>
      <c r="C1312" s="3">
        <v>31</v>
      </c>
      <c r="D1312" s="3">
        <v>21</v>
      </c>
      <c r="E1312" s="3">
        <v>-1358.556</v>
      </c>
      <c r="F1312" s="4" t="str">
        <f>HYPERLINK("http://141.218.60.56/~jnz1568/getInfo.php?workbook=18_08.xlsx&amp;sheet=A0&amp;row=1312&amp;col=6&amp;number=24.39&amp;sourceID=14","24.39")</f>
        <v>24.39</v>
      </c>
      <c r="G1312" s="4" t="str">
        <f>HYPERLINK("http://141.218.60.56/~jnz1568/getInfo.php?workbook=18_08.xlsx&amp;sheet=A0&amp;row=1312&amp;col=7&amp;number=0&amp;sourceID=14","0")</f>
        <v>0</v>
      </c>
    </row>
    <row r="1313" spans="1:7">
      <c r="A1313" s="3">
        <v>18</v>
      </c>
      <c r="B1313" s="3">
        <v>8</v>
      </c>
      <c r="C1313" s="3">
        <v>32</v>
      </c>
      <c r="D1313" s="3">
        <v>21</v>
      </c>
      <c r="E1313" s="3">
        <v>-1306.943</v>
      </c>
      <c r="F1313" s="4" t="str">
        <f>HYPERLINK("http://141.218.60.56/~jnz1568/getInfo.php?workbook=18_08.xlsx&amp;sheet=A0&amp;row=1313&amp;col=6&amp;number=5.237&amp;sourceID=14","5.237")</f>
        <v>5.237</v>
      </c>
      <c r="G1313" s="4" t="str">
        <f>HYPERLINK("http://141.218.60.56/~jnz1568/getInfo.php?workbook=18_08.xlsx&amp;sheet=A0&amp;row=1313&amp;col=7&amp;number=0&amp;sourceID=14","0")</f>
        <v>0</v>
      </c>
    </row>
    <row r="1314" spans="1:7">
      <c r="A1314" s="3">
        <v>18</v>
      </c>
      <c r="B1314" s="3">
        <v>8</v>
      </c>
      <c r="C1314" s="3">
        <v>33</v>
      </c>
      <c r="D1314" s="3">
        <v>21</v>
      </c>
      <c r="E1314" s="3">
        <v>-1256.478</v>
      </c>
      <c r="F1314" s="4" t="str">
        <f>HYPERLINK("http://141.218.60.56/~jnz1568/getInfo.php?workbook=18_08.xlsx&amp;sheet=A0&amp;row=1314&amp;col=6&amp;number=6.307&amp;sourceID=14","6.307")</f>
        <v>6.307</v>
      </c>
      <c r="G1314" s="4" t="str">
        <f>HYPERLINK("http://141.218.60.56/~jnz1568/getInfo.php?workbook=18_08.xlsx&amp;sheet=A0&amp;row=1314&amp;col=7&amp;number=0&amp;sourceID=14","0")</f>
        <v>0</v>
      </c>
    </row>
    <row r="1315" spans="1:7">
      <c r="A1315" s="3">
        <v>18</v>
      </c>
      <c r="B1315" s="3">
        <v>8</v>
      </c>
      <c r="C1315" s="3">
        <v>34</v>
      </c>
      <c r="D1315" s="3">
        <v>21</v>
      </c>
      <c r="E1315" s="3">
        <v>-1207.897</v>
      </c>
      <c r="F1315" s="4" t="str">
        <f>HYPERLINK("http://141.218.60.56/~jnz1568/getInfo.php?workbook=18_08.xlsx&amp;sheet=A0&amp;row=1315&amp;col=6&amp;number=1.288&amp;sourceID=14","1.288")</f>
        <v>1.288</v>
      </c>
      <c r="G1315" s="4" t="str">
        <f>HYPERLINK("http://141.218.60.56/~jnz1568/getInfo.php?workbook=18_08.xlsx&amp;sheet=A0&amp;row=1315&amp;col=7&amp;number=0&amp;sourceID=14","0")</f>
        <v>0</v>
      </c>
    </row>
    <row r="1316" spans="1:7">
      <c r="A1316" s="3">
        <v>18</v>
      </c>
      <c r="B1316" s="3">
        <v>8</v>
      </c>
      <c r="C1316" s="3">
        <v>35</v>
      </c>
      <c r="D1316" s="3">
        <v>21</v>
      </c>
      <c r="E1316" s="3">
        <v>-861.464</v>
      </c>
      <c r="F1316" s="4" t="str">
        <f>HYPERLINK("http://141.218.60.56/~jnz1568/getInfo.php?workbook=18_08.xlsx&amp;sheet=A0&amp;row=1316&amp;col=6&amp;number=43&amp;sourceID=14","43")</f>
        <v>43</v>
      </c>
      <c r="G1316" s="4" t="str">
        <f>HYPERLINK("http://141.218.60.56/~jnz1568/getInfo.php?workbook=18_08.xlsx&amp;sheet=A0&amp;row=1316&amp;col=7&amp;number=0&amp;sourceID=14","0")</f>
        <v>0</v>
      </c>
    </row>
    <row r="1317" spans="1:7">
      <c r="A1317" s="3">
        <v>18</v>
      </c>
      <c r="B1317" s="3">
        <v>8</v>
      </c>
      <c r="C1317" s="3">
        <v>36</v>
      </c>
      <c r="D1317" s="3">
        <v>21</v>
      </c>
      <c r="E1317" s="3">
        <v>-794.519</v>
      </c>
      <c r="F1317" s="4" t="str">
        <f>HYPERLINK("http://141.218.60.56/~jnz1568/getInfo.php?workbook=18_08.xlsx&amp;sheet=A0&amp;row=1317&amp;col=6&amp;number=140.5&amp;sourceID=14","140.5")</f>
        <v>140.5</v>
      </c>
      <c r="G1317" s="4" t="str">
        <f>HYPERLINK("http://141.218.60.56/~jnz1568/getInfo.php?workbook=18_08.xlsx&amp;sheet=A0&amp;row=1317&amp;col=7&amp;number=0&amp;sourceID=14","0")</f>
        <v>0</v>
      </c>
    </row>
    <row r="1318" spans="1:7">
      <c r="A1318" s="3">
        <v>18</v>
      </c>
      <c r="B1318" s="3">
        <v>8</v>
      </c>
      <c r="C1318" s="3">
        <v>37</v>
      </c>
      <c r="D1318" s="3">
        <v>21</v>
      </c>
      <c r="E1318" s="3">
        <v>-813.876</v>
      </c>
      <c r="F1318" s="4" t="str">
        <f>HYPERLINK("http://141.218.60.56/~jnz1568/getInfo.php?workbook=18_08.xlsx&amp;sheet=A0&amp;row=1318&amp;col=6&amp;number=78.69&amp;sourceID=14","78.69")</f>
        <v>78.69</v>
      </c>
      <c r="G1318" s="4" t="str">
        <f>HYPERLINK("http://141.218.60.56/~jnz1568/getInfo.php?workbook=18_08.xlsx&amp;sheet=A0&amp;row=1318&amp;col=7&amp;number=0&amp;sourceID=14","0")</f>
        <v>0</v>
      </c>
    </row>
    <row r="1319" spans="1:7">
      <c r="A1319" s="3">
        <v>18</v>
      </c>
      <c r="B1319" s="3">
        <v>8</v>
      </c>
      <c r="C1319" s="3">
        <v>38</v>
      </c>
      <c r="D1319" s="3">
        <v>21</v>
      </c>
      <c r="E1319" s="3">
        <v>-722.958</v>
      </c>
      <c r="F1319" s="4" t="str">
        <f>HYPERLINK("http://141.218.60.56/~jnz1568/getInfo.php?workbook=18_08.xlsx&amp;sheet=A0&amp;row=1319&amp;col=6&amp;number=0.01577&amp;sourceID=14","0.01577")</f>
        <v>0.01577</v>
      </c>
      <c r="G1319" s="4" t="str">
        <f>HYPERLINK("http://141.218.60.56/~jnz1568/getInfo.php?workbook=18_08.xlsx&amp;sheet=A0&amp;row=1319&amp;col=7&amp;number=0&amp;sourceID=14","0")</f>
        <v>0</v>
      </c>
    </row>
    <row r="1320" spans="1:7">
      <c r="A1320" s="3">
        <v>18</v>
      </c>
      <c r="B1320" s="3">
        <v>8</v>
      </c>
      <c r="C1320" s="3">
        <v>39</v>
      </c>
      <c r="D1320" s="3">
        <v>21</v>
      </c>
      <c r="E1320" s="3">
        <v>-722.471</v>
      </c>
      <c r="F1320" s="4" t="str">
        <f>HYPERLINK("http://141.218.60.56/~jnz1568/getInfo.php?workbook=18_08.xlsx&amp;sheet=A0&amp;row=1320&amp;col=6&amp;number=3756000&amp;sourceID=14","3756000")</f>
        <v>3756000</v>
      </c>
      <c r="G1320" s="4" t="str">
        <f>HYPERLINK("http://141.218.60.56/~jnz1568/getInfo.php?workbook=18_08.xlsx&amp;sheet=A0&amp;row=1320&amp;col=7&amp;number=0&amp;sourceID=14","0")</f>
        <v>0</v>
      </c>
    </row>
    <row r="1321" spans="1:7">
      <c r="A1321" s="3">
        <v>18</v>
      </c>
      <c r="B1321" s="3">
        <v>8</v>
      </c>
      <c r="C1321" s="3">
        <v>40</v>
      </c>
      <c r="D1321" s="3">
        <v>21</v>
      </c>
      <c r="E1321" s="3">
        <v>-721.616</v>
      </c>
      <c r="F1321" s="4" t="str">
        <f>HYPERLINK("http://141.218.60.56/~jnz1568/getInfo.php?workbook=18_08.xlsx&amp;sheet=A0&amp;row=1321&amp;col=6&amp;number=6018000&amp;sourceID=14","6018000")</f>
        <v>6018000</v>
      </c>
      <c r="G1321" s="4" t="str">
        <f>HYPERLINK("http://141.218.60.56/~jnz1568/getInfo.php?workbook=18_08.xlsx&amp;sheet=A0&amp;row=1321&amp;col=7&amp;number=0&amp;sourceID=14","0")</f>
        <v>0</v>
      </c>
    </row>
    <row r="1322" spans="1:7">
      <c r="A1322" s="3">
        <v>18</v>
      </c>
      <c r="B1322" s="3">
        <v>8</v>
      </c>
      <c r="C1322" s="3">
        <v>41</v>
      </c>
      <c r="D1322" s="3">
        <v>21</v>
      </c>
      <c r="E1322" s="3">
        <v>-720.39</v>
      </c>
      <c r="F1322" s="4" t="str">
        <f>HYPERLINK("http://141.218.60.56/~jnz1568/getInfo.php?workbook=18_08.xlsx&amp;sheet=A0&amp;row=1322&amp;col=6&amp;number=2587000&amp;sourceID=14","2587000")</f>
        <v>2587000</v>
      </c>
      <c r="G1322" s="4" t="str">
        <f>HYPERLINK("http://141.218.60.56/~jnz1568/getInfo.php?workbook=18_08.xlsx&amp;sheet=A0&amp;row=1322&amp;col=7&amp;number=0&amp;sourceID=14","0")</f>
        <v>0</v>
      </c>
    </row>
    <row r="1323" spans="1:7">
      <c r="A1323" s="3">
        <v>18</v>
      </c>
      <c r="B1323" s="3">
        <v>8</v>
      </c>
      <c r="C1323" s="3">
        <v>42</v>
      </c>
      <c r="D1323" s="3">
        <v>21</v>
      </c>
      <c r="E1323" s="3">
        <v>-718.363</v>
      </c>
      <c r="F1323" s="4" t="str">
        <f>HYPERLINK("http://141.218.60.56/~jnz1568/getInfo.php?workbook=18_08.xlsx&amp;sheet=A0&amp;row=1323&amp;col=6&amp;number=0.1415&amp;sourceID=14","0.1415")</f>
        <v>0.1415</v>
      </c>
      <c r="G1323" s="4" t="str">
        <f>HYPERLINK("http://141.218.60.56/~jnz1568/getInfo.php?workbook=18_08.xlsx&amp;sheet=A0&amp;row=1323&amp;col=7&amp;number=0&amp;sourceID=14","0")</f>
        <v>0</v>
      </c>
    </row>
    <row r="1324" spans="1:7">
      <c r="A1324" s="3">
        <v>18</v>
      </c>
      <c r="B1324" s="3">
        <v>8</v>
      </c>
      <c r="C1324" s="3">
        <v>43</v>
      </c>
      <c r="D1324" s="3">
        <v>21</v>
      </c>
      <c r="E1324" s="3">
        <v>-792.914</v>
      </c>
      <c r="F1324" s="4" t="str">
        <f>HYPERLINK("http://141.218.60.56/~jnz1568/getInfo.php?workbook=18_08.xlsx&amp;sheet=A0&amp;row=1324&amp;col=6&amp;number=90.12&amp;sourceID=14","90.12")</f>
        <v>90.12</v>
      </c>
      <c r="G1324" s="4" t="str">
        <f>HYPERLINK("http://141.218.60.56/~jnz1568/getInfo.php?workbook=18_08.xlsx&amp;sheet=A0&amp;row=1324&amp;col=7&amp;number=0&amp;sourceID=14","0")</f>
        <v>0</v>
      </c>
    </row>
    <row r="1325" spans="1:7">
      <c r="A1325" s="3">
        <v>18</v>
      </c>
      <c r="B1325" s="3">
        <v>8</v>
      </c>
      <c r="C1325" s="3">
        <v>44</v>
      </c>
      <c r="D1325" s="3">
        <v>21</v>
      </c>
      <c r="E1325" s="3">
        <v>-917.352</v>
      </c>
      <c r="F1325" s="4" t="str">
        <f>HYPERLINK("http://141.218.60.56/~jnz1568/getInfo.php?workbook=18_08.xlsx&amp;sheet=A0&amp;row=1325&amp;col=6&amp;number=165.1&amp;sourceID=14","165.1")</f>
        <v>165.1</v>
      </c>
      <c r="G1325" s="4" t="str">
        <f>HYPERLINK("http://141.218.60.56/~jnz1568/getInfo.php?workbook=18_08.xlsx&amp;sheet=A0&amp;row=1325&amp;col=7&amp;number=0&amp;sourceID=14","0")</f>
        <v>0</v>
      </c>
    </row>
    <row r="1326" spans="1:7">
      <c r="A1326" s="3">
        <v>18</v>
      </c>
      <c r="B1326" s="3">
        <v>8</v>
      </c>
      <c r="C1326" s="3">
        <v>45</v>
      </c>
      <c r="D1326" s="3">
        <v>21</v>
      </c>
      <c r="E1326" s="3">
        <v>-805.312</v>
      </c>
      <c r="F1326" s="4" t="str">
        <f>HYPERLINK("http://141.218.60.56/~jnz1568/getInfo.php?workbook=18_08.xlsx&amp;sheet=A0&amp;row=1326&amp;col=6&amp;number=98.89&amp;sourceID=14","98.89")</f>
        <v>98.89</v>
      </c>
      <c r="G1326" s="4" t="str">
        <f>HYPERLINK("http://141.218.60.56/~jnz1568/getInfo.php?workbook=18_08.xlsx&amp;sheet=A0&amp;row=1326&amp;col=7&amp;number=0&amp;sourceID=14","0")</f>
        <v>0</v>
      </c>
    </row>
    <row r="1327" spans="1:7">
      <c r="A1327" s="3">
        <v>18</v>
      </c>
      <c r="B1327" s="3">
        <v>8</v>
      </c>
      <c r="C1327" s="3">
        <v>46</v>
      </c>
      <c r="D1327" s="3">
        <v>21</v>
      </c>
      <c r="E1327" s="3">
        <v>-740.631</v>
      </c>
      <c r="F1327" s="4" t="str">
        <f>HYPERLINK("http://141.218.60.56/~jnz1568/getInfo.php?workbook=18_08.xlsx&amp;sheet=A0&amp;row=1327&amp;col=6&amp;number=166.9&amp;sourceID=14","166.9")</f>
        <v>166.9</v>
      </c>
      <c r="G1327" s="4" t="str">
        <f>HYPERLINK("http://141.218.60.56/~jnz1568/getInfo.php?workbook=18_08.xlsx&amp;sheet=A0&amp;row=1327&amp;col=7&amp;number=0&amp;sourceID=14","0")</f>
        <v>0</v>
      </c>
    </row>
    <row r="1328" spans="1:7">
      <c r="A1328" s="3">
        <v>18</v>
      </c>
      <c r="B1328" s="3">
        <v>8</v>
      </c>
      <c r="C1328" s="3">
        <v>47</v>
      </c>
      <c r="D1328" s="3">
        <v>21</v>
      </c>
      <c r="E1328" s="3">
        <v>-770.958</v>
      </c>
      <c r="F1328" s="4" t="str">
        <f>HYPERLINK("http://141.218.60.56/~jnz1568/getInfo.php?workbook=18_08.xlsx&amp;sheet=A0&amp;row=1328&amp;col=6&amp;number=121.2&amp;sourceID=14","121.2")</f>
        <v>121.2</v>
      </c>
      <c r="G1328" s="4" t="str">
        <f>HYPERLINK("http://141.218.60.56/~jnz1568/getInfo.php?workbook=18_08.xlsx&amp;sheet=A0&amp;row=1328&amp;col=7&amp;number=0&amp;sourceID=14","0")</f>
        <v>0</v>
      </c>
    </row>
    <row r="1329" spans="1:7">
      <c r="A1329" s="3">
        <v>18</v>
      </c>
      <c r="B1329" s="3">
        <v>8</v>
      </c>
      <c r="C1329" s="3">
        <v>48</v>
      </c>
      <c r="D1329" s="3">
        <v>21</v>
      </c>
      <c r="E1329" s="3">
        <v>-718.093</v>
      </c>
      <c r="F1329" s="4" t="str">
        <f>HYPERLINK("http://141.218.60.56/~jnz1568/getInfo.php?workbook=18_08.xlsx&amp;sheet=A0&amp;row=1329&amp;col=6&amp;number=294.1&amp;sourceID=14","294.1")</f>
        <v>294.1</v>
      </c>
      <c r="G1329" s="4" t="str">
        <f>HYPERLINK("http://141.218.60.56/~jnz1568/getInfo.php?workbook=18_08.xlsx&amp;sheet=A0&amp;row=1329&amp;col=7&amp;number=0&amp;sourceID=14","0")</f>
        <v>0</v>
      </c>
    </row>
    <row r="1330" spans="1:7">
      <c r="A1330" s="3">
        <v>18</v>
      </c>
      <c r="B1330" s="3">
        <v>8</v>
      </c>
      <c r="C1330" s="3">
        <v>49</v>
      </c>
      <c r="D1330" s="3">
        <v>21</v>
      </c>
      <c r="E1330" s="3">
        <v>-667.724</v>
      </c>
      <c r="F1330" s="4" t="str">
        <f>HYPERLINK("http://141.218.60.56/~jnz1568/getInfo.php?workbook=18_08.xlsx&amp;sheet=A0&amp;row=1330&amp;col=6&amp;number=166.2&amp;sourceID=14","166.2")</f>
        <v>166.2</v>
      </c>
      <c r="G1330" s="4" t="str">
        <f>HYPERLINK("http://141.218.60.56/~jnz1568/getInfo.php?workbook=18_08.xlsx&amp;sheet=A0&amp;row=1330&amp;col=7&amp;number=0&amp;sourceID=14","0")</f>
        <v>0</v>
      </c>
    </row>
    <row r="1331" spans="1:7">
      <c r="A1331" s="3">
        <v>18</v>
      </c>
      <c r="B1331" s="3">
        <v>8</v>
      </c>
      <c r="C1331" s="3">
        <v>50</v>
      </c>
      <c r="D1331" s="3">
        <v>21</v>
      </c>
      <c r="E1331" s="3">
        <v>-655.035</v>
      </c>
      <c r="F1331" s="4" t="str">
        <f>HYPERLINK("http://141.218.60.56/~jnz1568/getInfo.php?workbook=18_08.xlsx&amp;sheet=A0&amp;row=1331&amp;col=6&amp;number=284.8&amp;sourceID=14","284.8")</f>
        <v>284.8</v>
      </c>
      <c r="G1331" s="4" t="str">
        <f>HYPERLINK("http://141.218.60.56/~jnz1568/getInfo.php?workbook=18_08.xlsx&amp;sheet=A0&amp;row=1331&amp;col=7&amp;number=0&amp;sourceID=14","0")</f>
        <v>0</v>
      </c>
    </row>
    <row r="1332" spans="1:7">
      <c r="A1332" s="3">
        <v>18</v>
      </c>
      <c r="B1332" s="3">
        <v>8</v>
      </c>
      <c r="C1332" s="3">
        <v>51</v>
      </c>
      <c r="D1332" s="3">
        <v>21</v>
      </c>
      <c r="E1332" s="3">
        <v>-570.246</v>
      </c>
      <c r="F1332" s="4" t="str">
        <f>HYPERLINK("http://141.218.60.56/~jnz1568/getInfo.php?workbook=18_08.xlsx&amp;sheet=A0&amp;row=1332&amp;col=6&amp;number=689800000&amp;sourceID=14","689800000")</f>
        <v>689800000</v>
      </c>
      <c r="G1332" s="4" t="str">
        <f>HYPERLINK("http://141.218.60.56/~jnz1568/getInfo.php?workbook=18_08.xlsx&amp;sheet=A0&amp;row=1332&amp;col=7&amp;number=0&amp;sourceID=14","0")</f>
        <v>0</v>
      </c>
    </row>
    <row r="1333" spans="1:7">
      <c r="A1333" s="3">
        <v>18</v>
      </c>
      <c r="B1333" s="3">
        <v>8</v>
      </c>
      <c r="C1333" s="3">
        <v>52</v>
      </c>
      <c r="D1333" s="3">
        <v>21</v>
      </c>
      <c r="E1333" s="3">
        <v>-567.042</v>
      </c>
      <c r="F1333" s="4" t="str">
        <f>HYPERLINK("http://141.218.60.56/~jnz1568/getInfo.php?workbook=18_08.xlsx&amp;sheet=A0&amp;row=1333&amp;col=6&amp;number=76200000&amp;sourceID=14","76200000")</f>
        <v>76200000</v>
      </c>
      <c r="G1333" s="4" t="str">
        <f>HYPERLINK("http://141.218.60.56/~jnz1568/getInfo.php?workbook=18_08.xlsx&amp;sheet=A0&amp;row=1333&amp;col=7&amp;number=0&amp;sourceID=14","0")</f>
        <v>0</v>
      </c>
    </row>
    <row r="1334" spans="1:7">
      <c r="A1334" s="3">
        <v>18</v>
      </c>
      <c r="B1334" s="3">
        <v>8</v>
      </c>
      <c r="C1334" s="3">
        <v>53</v>
      </c>
      <c r="D1334" s="3">
        <v>21</v>
      </c>
      <c r="E1334" s="3">
        <v>-649.192</v>
      </c>
      <c r="F1334" s="4" t="str">
        <f>HYPERLINK("http://141.218.60.56/~jnz1568/getInfo.php?workbook=18_08.xlsx&amp;sheet=A0&amp;row=1334&amp;col=6&amp;number=324.9&amp;sourceID=14","324.9")</f>
        <v>324.9</v>
      </c>
      <c r="G1334" s="4" t="str">
        <f>HYPERLINK("http://141.218.60.56/~jnz1568/getInfo.php?workbook=18_08.xlsx&amp;sheet=A0&amp;row=1334&amp;col=7&amp;number=0&amp;sourceID=14","0")</f>
        <v>0</v>
      </c>
    </row>
    <row r="1335" spans="1:7">
      <c r="A1335" s="3">
        <v>18</v>
      </c>
      <c r="B1335" s="3">
        <v>8</v>
      </c>
      <c r="C1335" s="3">
        <v>54</v>
      </c>
      <c r="D1335" s="3">
        <v>21</v>
      </c>
      <c r="E1335" s="3">
        <v>-564.197</v>
      </c>
      <c r="F1335" s="4" t="str">
        <f>HYPERLINK("http://141.218.60.56/~jnz1568/getInfo.php?workbook=18_08.xlsx&amp;sheet=A0&amp;row=1335&amp;col=6&amp;number=2897000000&amp;sourceID=14","2897000000")</f>
        <v>2897000000</v>
      </c>
      <c r="G1335" s="4" t="str">
        <f>HYPERLINK("http://141.218.60.56/~jnz1568/getInfo.php?workbook=18_08.xlsx&amp;sheet=A0&amp;row=1335&amp;col=7&amp;number=0&amp;sourceID=14","0")</f>
        <v>0</v>
      </c>
    </row>
    <row r="1336" spans="1:7">
      <c r="A1336" s="3">
        <v>18</v>
      </c>
      <c r="B1336" s="3">
        <v>8</v>
      </c>
      <c r="C1336" s="3">
        <v>55</v>
      </c>
      <c r="D1336" s="3">
        <v>21</v>
      </c>
      <c r="E1336" s="3">
        <v>-544.452</v>
      </c>
      <c r="F1336" s="4" t="str">
        <f>HYPERLINK("http://141.218.60.56/~jnz1568/getInfo.php?workbook=18_08.xlsx&amp;sheet=A0&amp;row=1336&amp;col=6&amp;number=192.3&amp;sourceID=14","192.3")</f>
        <v>192.3</v>
      </c>
      <c r="G1336" s="4" t="str">
        <f>HYPERLINK("http://141.218.60.56/~jnz1568/getInfo.php?workbook=18_08.xlsx&amp;sheet=A0&amp;row=1336&amp;col=7&amp;number=0&amp;sourceID=14","0")</f>
        <v>0</v>
      </c>
    </row>
    <row r="1337" spans="1:7">
      <c r="A1337" s="3">
        <v>18</v>
      </c>
      <c r="B1337" s="3">
        <v>8</v>
      </c>
      <c r="C1337" s="3">
        <v>56</v>
      </c>
      <c r="D1337" s="3">
        <v>21</v>
      </c>
      <c r="E1337" s="3">
        <v>-431.711</v>
      </c>
      <c r="F1337" s="4" t="str">
        <f>HYPERLINK("http://141.218.60.56/~jnz1568/getInfo.php?workbook=18_08.xlsx&amp;sheet=A0&amp;row=1337&amp;col=6&amp;number=605500&amp;sourceID=14","605500")</f>
        <v>605500</v>
      </c>
      <c r="G1337" s="4" t="str">
        <f>HYPERLINK("http://141.218.60.56/~jnz1568/getInfo.php?workbook=18_08.xlsx&amp;sheet=A0&amp;row=1337&amp;col=7&amp;number=0&amp;sourceID=14","0")</f>
        <v>0</v>
      </c>
    </row>
    <row r="1338" spans="1:7">
      <c r="A1338" s="3">
        <v>18</v>
      </c>
      <c r="B1338" s="3">
        <v>8</v>
      </c>
      <c r="C1338" s="3">
        <v>57</v>
      </c>
      <c r="D1338" s="3">
        <v>21</v>
      </c>
      <c r="E1338" s="3">
        <v>-425.237</v>
      </c>
      <c r="F1338" s="4" t="str">
        <f>HYPERLINK("http://141.218.60.56/~jnz1568/getInfo.php?workbook=18_08.xlsx&amp;sheet=A0&amp;row=1338&amp;col=6&amp;number=2336000&amp;sourceID=14","2336000")</f>
        <v>2336000</v>
      </c>
      <c r="G1338" s="4" t="str">
        <f>HYPERLINK("http://141.218.60.56/~jnz1568/getInfo.php?workbook=18_08.xlsx&amp;sheet=A0&amp;row=1338&amp;col=7&amp;number=0&amp;sourceID=14","0")</f>
        <v>0</v>
      </c>
    </row>
    <row r="1339" spans="1:7">
      <c r="A1339" s="3">
        <v>18</v>
      </c>
      <c r="B1339" s="3">
        <v>8</v>
      </c>
      <c r="C1339" s="3">
        <v>58</v>
      </c>
      <c r="D1339" s="3">
        <v>21</v>
      </c>
      <c r="E1339" s="3">
        <v>-420.365</v>
      </c>
      <c r="F1339" s="4" t="str">
        <f>HYPERLINK("http://141.218.60.56/~jnz1568/getInfo.php?workbook=18_08.xlsx&amp;sheet=A0&amp;row=1339&amp;col=6&amp;number=0.6849&amp;sourceID=14","0.6849")</f>
        <v>0.6849</v>
      </c>
      <c r="G1339" s="4" t="str">
        <f>HYPERLINK("http://141.218.60.56/~jnz1568/getInfo.php?workbook=18_08.xlsx&amp;sheet=A0&amp;row=1339&amp;col=7&amp;number=0&amp;sourceID=14","0")</f>
        <v>0</v>
      </c>
    </row>
    <row r="1340" spans="1:7">
      <c r="A1340" s="3">
        <v>18</v>
      </c>
      <c r="B1340" s="3">
        <v>8</v>
      </c>
      <c r="C1340" s="3">
        <v>59</v>
      </c>
      <c r="D1340" s="3">
        <v>21</v>
      </c>
      <c r="E1340" s="3">
        <v>-417.895</v>
      </c>
      <c r="F1340" s="4" t="str">
        <f>HYPERLINK("http://141.218.60.56/~jnz1568/getInfo.php?workbook=18_08.xlsx&amp;sheet=A0&amp;row=1340&amp;col=6&amp;number=0.04228&amp;sourceID=14","0.04228")</f>
        <v>0.04228</v>
      </c>
      <c r="G1340" s="4" t="str">
        <f>HYPERLINK("http://141.218.60.56/~jnz1568/getInfo.php?workbook=18_08.xlsx&amp;sheet=A0&amp;row=1340&amp;col=7&amp;number=0&amp;sourceID=14","0")</f>
        <v>0</v>
      </c>
    </row>
    <row r="1341" spans="1:7">
      <c r="A1341" s="3">
        <v>18</v>
      </c>
      <c r="B1341" s="3">
        <v>8</v>
      </c>
      <c r="C1341" s="3">
        <v>60</v>
      </c>
      <c r="D1341" s="3">
        <v>21</v>
      </c>
      <c r="E1341" s="3">
        <v>-406.064</v>
      </c>
      <c r="F1341" s="4" t="str">
        <f>HYPERLINK("http://141.218.60.56/~jnz1568/getInfo.php?workbook=18_08.xlsx&amp;sheet=A0&amp;row=1341&amp;col=6&amp;number=870700&amp;sourceID=14","870700")</f>
        <v>870700</v>
      </c>
      <c r="G1341" s="4" t="str">
        <f>HYPERLINK("http://141.218.60.56/~jnz1568/getInfo.php?workbook=18_08.xlsx&amp;sheet=A0&amp;row=1341&amp;col=7&amp;number=0&amp;sourceID=14","0")</f>
        <v>0</v>
      </c>
    </row>
    <row r="1342" spans="1:7">
      <c r="A1342" s="3">
        <v>18</v>
      </c>
      <c r="B1342" s="3">
        <v>8</v>
      </c>
      <c r="C1342" s="3">
        <v>61</v>
      </c>
      <c r="D1342" s="3">
        <v>21</v>
      </c>
      <c r="E1342" s="3">
        <v>-403.437</v>
      </c>
      <c r="F1342" s="4" t="str">
        <f>HYPERLINK("http://141.218.60.56/~jnz1568/getInfo.php?workbook=18_08.xlsx&amp;sheet=A0&amp;row=1342&amp;col=6&amp;number=0.03382&amp;sourceID=14","0.03382")</f>
        <v>0.03382</v>
      </c>
      <c r="G1342" s="4" t="str">
        <f>HYPERLINK("http://141.218.60.56/~jnz1568/getInfo.php?workbook=18_08.xlsx&amp;sheet=A0&amp;row=1342&amp;col=7&amp;number=0&amp;sourceID=14","0")</f>
        <v>0</v>
      </c>
    </row>
    <row r="1343" spans="1:7">
      <c r="A1343" s="3">
        <v>18</v>
      </c>
      <c r="B1343" s="3">
        <v>8</v>
      </c>
      <c r="C1343" s="3">
        <v>63</v>
      </c>
      <c r="D1343" s="3">
        <v>21</v>
      </c>
      <c r="E1343" s="3">
        <v>-395.192</v>
      </c>
      <c r="F1343" s="4" t="str">
        <f>HYPERLINK("http://141.218.60.56/~jnz1568/getInfo.php?workbook=18_08.xlsx&amp;sheet=A0&amp;row=1343&amp;col=6&amp;number=0.007578&amp;sourceID=14","0.007578")</f>
        <v>0.007578</v>
      </c>
      <c r="G1343" s="4" t="str">
        <f>HYPERLINK("http://141.218.60.56/~jnz1568/getInfo.php?workbook=18_08.xlsx&amp;sheet=A0&amp;row=1343&amp;col=7&amp;number=0&amp;sourceID=14","0")</f>
        <v>0</v>
      </c>
    </row>
    <row r="1344" spans="1:7">
      <c r="A1344" s="3">
        <v>18</v>
      </c>
      <c r="B1344" s="3">
        <v>8</v>
      </c>
      <c r="C1344" s="3">
        <v>64</v>
      </c>
      <c r="D1344" s="3">
        <v>21</v>
      </c>
      <c r="E1344" s="3">
        <v>-378.25</v>
      </c>
      <c r="F1344" s="4" t="str">
        <f>HYPERLINK("http://141.218.60.56/~jnz1568/getInfo.php?workbook=18_08.xlsx&amp;sheet=A0&amp;row=1344&amp;col=6&amp;number=1282000&amp;sourceID=14","1282000")</f>
        <v>1282000</v>
      </c>
      <c r="G1344" s="4" t="str">
        <f>HYPERLINK("http://141.218.60.56/~jnz1568/getInfo.php?workbook=18_08.xlsx&amp;sheet=A0&amp;row=1344&amp;col=7&amp;number=0&amp;sourceID=14","0")</f>
        <v>0</v>
      </c>
    </row>
    <row r="1345" spans="1:7">
      <c r="A1345" s="3">
        <v>18</v>
      </c>
      <c r="B1345" s="3">
        <v>8</v>
      </c>
      <c r="C1345" s="3">
        <v>65</v>
      </c>
      <c r="D1345" s="3">
        <v>21</v>
      </c>
      <c r="E1345" s="3">
        <v>-426.064</v>
      </c>
      <c r="F1345" s="4" t="str">
        <f>HYPERLINK("http://141.218.60.56/~jnz1568/getInfo.php?workbook=18_08.xlsx&amp;sheet=A0&amp;row=1345&amp;col=6&amp;number=2.501&amp;sourceID=14","2.501")</f>
        <v>2.501</v>
      </c>
      <c r="G1345" s="4" t="str">
        <f>HYPERLINK("http://141.218.60.56/~jnz1568/getInfo.php?workbook=18_08.xlsx&amp;sheet=A0&amp;row=1345&amp;col=7&amp;number=0&amp;sourceID=14","0")</f>
        <v>0</v>
      </c>
    </row>
    <row r="1346" spans="1:7">
      <c r="A1346" s="3">
        <v>18</v>
      </c>
      <c r="B1346" s="3">
        <v>8</v>
      </c>
      <c r="C1346" s="3">
        <v>66</v>
      </c>
      <c r="D1346" s="3">
        <v>21</v>
      </c>
      <c r="E1346" s="3">
        <v>-380.887</v>
      </c>
      <c r="F1346" s="4" t="str">
        <f>HYPERLINK("http://141.218.60.56/~jnz1568/getInfo.php?workbook=18_08.xlsx&amp;sheet=A0&amp;row=1346&amp;col=6&amp;number=197000000&amp;sourceID=14","197000000")</f>
        <v>197000000</v>
      </c>
      <c r="G1346" s="4" t="str">
        <f>HYPERLINK("http://141.218.60.56/~jnz1568/getInfo.php?workbook=18_08.xlsx&amp;sheet=A0&amp;row=1346&amp;col=7&amp;number=0&amp;sourceID=14","0")</f>
        <v>0</v>
      </c>
    </row>
    <row r="1347" spans="1:7">
      <c r="A1347" s="3">
        <v>18</v>
      </c>
      <c r="B1347" s="3">
        <v>8</v>
      </c>
      <c r="C1347" s="3">
        <v>67</v>
      </c>
      <c r="D1347" s="3">
        <v>21</v>
      </c>
      <c r="E1347" s="3">
        <v>-392.185</v>
      </c>
      <c r="F1347" s="4" t="str">
        <f>HYPERLINK("http://141.218.60.56/~jnz1568/getInfo.php?workbook=18_08.xlsx&amp;sheet=A0&amp;row=1347&amp;col=6&amp;number=44860000&amp;sourceID=14","44860000")</f>
        <v>44860000</v>
      </c>
      <c r="G1347" s="4" t="str">
        <f>HYPERLINK("http://141.218.60.56/~jnz1568/getInfo.php?workbook=18_08.xlsx&amp;sheet=A0&amp;row=1347&amp;col=7&amp;number=0&amp;sourceID=14","0")</f>
        <v>0</v>
      </c>
    </row>
    <row r="1348" spans="1:7">
      <c r="A1348" s="3">
        <v>18</v>
      </c>
      <c r="B1348" s="3">
        <v>8</v>
      </c>
      <c r="C1348" s="3">
        <v>68</v>
      </c>
      <c r="D1348" s="3">
        <v>21</v>
      </c>
      <c r="E1348" s="3">
        <v>-377.09</v>
      </c>
      <c r="F1348" s="4" t="str">
        <f>HYPERLINK("http://141.218.60.56/~jnz1568/getInfo.php?workbook=18_08.xlsx&amp;sheet=A0&amp;row=1348&amp;col=6&amp;number=137400000&amp;sourceID=14","137400000")</f>
        <v>137400000</v>
      </c>
      <c r="G1348" s="4" t="str">
        <f>HYPERLINK("http://141.218.60.56/~jnz1568/getInfo.php?workbook=18_08.xlsx&amp;sheet=A0&amp;row=1348&amp;col=7&amp;number=0&amp;sourceID=14","0")</f>
        <v>0</v>
      </c>
    </row>
    <row r="1349" spans="1:7">
      <c r="A1349" s="3">
        <v>18</v>
      </c>
      <c r="B1349" s="3">
        <v>8</v>
      </c>
      <c r="C1349" s="3">
        <v>69</v>
      </c>
      <c r="D1349" s="3">
        <v>21</v>
      </c>
      <c r="E1349" s="3">
        <v>-366.551</v>
      </c>
      <c r="F1349" s="4" t="str">
        <f>HYPERLINK("http://141.218.60.56/~jnz1568/getInfo.php?workbook=18_08.xlsx&amp;sheet=A0&amp;row=1349&amp;col=6&amp;number=587100000&amp;sourceID=14","587100000")</f>
        <v>587100000</v>
      </c>
      <c r="G1349" s="4" t="str">
        <f>HYPERLINK("http://141.218.60.56/~jnz1568/getInfo.php?workbook=18_08.xlsx&amp;sheet=A0&amp;row=1349&amp;col=7&amp;number=0&amp;sourceID=14","0")</f>
        <v>0</v>
      </c>
    </row>
    <row r="1350" spans="1:7">
      <c r="A1350" s="3">
        <v>18</v>
      </c>
      <c r="B1350" s="3">
        <v>8</v>
      </c>
      <c r="C1350" s="3">
        <v>70</v>
      </c>
      <c r="D1350" s="3">
        <v>21</v>
      </c>
      <c r="E1350" s="3">
        <v>-361.199</v>
      </c>
      <c r="F1350" s="4" t="str">
        <f>HYPERLINK("http://141.218.60.56/~jnz1568/getInfo.php?workbook=18_08.xlsx&amp;sheet=A0&amp;row=1350&amp;col=6&amp;number=0.04951&amp;sourceID=14","0.04951")</f>
        <v>0.04951</v>
      </c>
      <c r="G1350" s="4" t="str">
        <f>HYPERLINK("http://141.218.60.56/~jnz1568/getInfo.php?workbook=18_08.xlsx&amp;sheet=A0&amp;row=1350&amp;col=7&amp;number=0&amp;sourceID=14","0")</f>
        <v>0</v>
      </c>
    </row>
    <row r="1351" spans="1:7">
      <c r="A1351" s="3">
        <v>18</v>
      </c>
      <c r="B1351" s="3">
        <v>8</v>
      </c>
      <c r="C1351" s="3">
        <v>71</v>
      </c>
      <c r="D1351" s="3">
        <v>21</v>
      </c>
      <c r="E1351" s="3">
        <v>-360.343</v>
      </c>
      <c r="F1351" s="4" t="str">
        <f>HYPERLINK("http://141.218.60.56/~jnz1568/getInfo.php?workbook=18_08.xlsx&amp;sheet=A0&amp;row=1351&amp;col=6&amp;number=316300000&amp;sourceID=14","316300000")</f>
        <v>316300000</v>
      </c>
      <c r="G1351" s="4" t="str">
        <f>HYPERLINK("http://141.218.60.56/~jnz1568/getInfo.php?workbook=18_08.xlsx&amp;sheet=A0&amp;row=1351&amp;col=7&amp;number=0&amp;sourceID=14","0")</f>
        <v>0</v>
      </c>
    </row>
    <row r="1352" spans="1:7">
      <c r="A1352" s="3">
        <v>18</v>
      </c>
      <c r="B1352" s="3">
        <v>8</v>
      </c>
      <c r="C1352" s="3">
        <v>72</v>
      </c>
      <c r="D1352" s="3">
        <v>21</v>
      </c>
      <c r="E1352" s="3">
        <v>-369.327</v>
      </c>
      <c r="F1352" s="4" t="str">
        <f>HYPERLINK("http://141.218.60.56/~jnz1568/getInfo.php?workbook=18_08.xlsx&amp;sheet=A0&amp;row=1352&amp;col=6&amp;number=78530000&amp;sourceID=14","78530000")</f>
        <v>78530000</v>
      </c>
      <c r="G1352" s="4" t="str">
        <f>HYPERLINK("http://141.218.60.56/~jnz1568/getInfo.php?workbook=18_08.xlsx&amp;sheet=A0&amp;row=1352&amp;col=7&amp;number=0&amp;sourceID=14","0")</f>
        <v>0</v>
      </c>
    </row>
    <row r="1353" spans="1:7">
      <c r="A1353" s="3">
        <v>18</v>
      </c>
      <c r="B1353" s="3">
        <v>8</v>
      </c>
      <c r="C1353" s="3">
        <v>73</v>
      </c>
      <c r="D1353" s="3">
        <v>21</v>
      </c>
      <c r="E1353" s="3">
        <v>-354.517</v>
      </c>
      <c r="F1353" s="4" t="str">
        <f>HYPERLINK("http://141.218.60.56/~jnz1568/getInfo.php?workbook=18_08.xlsx&amp;sheet=A0&amp;row=1353&amp;col=6&amp;number=1306000000&amp;sourceID=14","1306000000")</f>
        <v>1306000000</v>
      </c>
      <c r="G1353" s="4" t="str">
        <f>HYPERLINK("http://141.218.60.56/~jnz1568/getInfo.php?workbook=18_08.xlsx&amp;sheet=A0&amp;row=1353&amp;col=7&amp;number=0&amp;sourceID=14","0")</f>
        <v>0</v>
      </c>
    </row>
    <row r="1354" spans="1:7">
      <c r="A1354" s="3">
        <v>18</v>
      </c>
      <c r="B1354" s="3">
        <v>8</v>
      </c>
      <c r="C1354" s="3">
        <v>74</v>
      </c>
      <c r="D1354" s="3">
        <v>21</v>
      </c>
      <c r="E1354" s="3">
        <v>-337.28</v>
      </c>
      <c r="F1354" s="4" t="str">
        <f>HYPERLINK("http://141.218.60.56/~jnz1568/getInfo.php?workbook=18_08.xlsx&amp;sheet=A0&amp;row=1354&amp;col=6&amp;number=59160&amp;sourceID=14","59160")</f>
        <v>59160</v>
      </c>
      <c r="G1354" s="4" t="str">
        <f>HYPERLINK("http://141.218.60.56/~jnz1568/getInfo.php?workbook=18_08.xlsx&amp;sheet=A0&amp;row=1354&amp;col=7&amp;number=0&amp;sourceID=14","0")</f>
        <v>0</v>
      </c>
    </row>
    <row r="1355" spans="1:7">
      <c r="A1355" s="3">
        <v>18</v>
      </c>
      <c r="B1355" s="3">
        <v>8</v>
      </c>
      <c r="C1355" s="3">
        <v>75</v>
      </c>
      <c r="D1355" s="3">
        <v>21</v>
      </c>
      <c r="E1355" s="3">
        <v>-333.4</v>
      </c>
      <c r="F1355" s="4" t="str">
        <f>HYPERLINK("http://141.218.60.56/~jnz1568/getInfo.php?workbook=18_08.xlsx&amp;sheet=A0&amp;row=1355&amp;col=6&amp;number=10900&amp;sourceID=14","10900")</f>
        <v>10900</v>
      </c>
      <c r="G1355" s="4" t="str">
        <f>HYPERLINK("http://141.218.60.56/~jnz1568/getInfo.php?workbook=18_08.xlsx&amp;sheet=A0&amp;row=1355&amp;col=7&amp;number=0&amp;sourceID=14","0")</f>
        <v>0</v>
      </c>
    </row>
    <row r="1356" spans="1:7">
      <c r="A1356" s="3">
        <v>18</v>
      </c>
      <c r="B1356" s="3">
        <v>8</v>
      </c>
      <c r="C1356" s="3">
        <v>76</v>
      </c>
      <c r="D1356" s="3">
        <v>21</v>
      </c>
      <c r="E1356" s="3">
        <v>-333.121</v>
      </c>
      <c r="F1356" s="4" t="str">
        <f>HYPERLINK("http://141.218.60.56/~jnz1568/getInfo.php?workbook=18_08.xlsx&amp;sheet=A0&amp;row=1356&amp;col=6&amp;number=0.1128&amp;sourceID=14","0.1128")</f>
        <v>0.1128</v>
      </c>
      <c r="G1356" s="4" t="str">
        <f>HYPERLINK("http://141.218.60.56/~jnz1568/getInfo.php?workbook=18_08.xlsx&amp;sheet=A0&amp;row=1356&amp;col=7&amp;number=0&amp;sourceID=14","0")</f>
        <v>0</v>
      </c>
    </row>
    <row r="1357" spans="1:7">
      <c r="A1357" s="3">
        <v>18</v>
      </c>
      <c r="B1357" s="3">
        <v>8</v>
      </c>
      <c r="C1357" s="3">
        <v>77</v>
      </c>
      <c r="D1357" s="3">
        <v>21</v>
      </c>
      <c r="E1357" s="3">
        <v>-330.878</v>
      </c>
      <c r="F1357" s="4" t="str">
        <f>HYPERLINK("http://141.218.60.56/~jnz1568/getInfo.php?workbook=18_08.xlsx&amp;sheet=A0&amp;row=1357&amp;col=6&amp;number=978600&amp;sourceID=14","978600")</f>
        <v>978600</v>
      </c>
      <c r="G1357" s="4" t="str">
        <f>HYPERLINK("http://141.218.60.56/~jnz1568/getInfo.php?workbook=18_08.xlsx&amp;sheet=A0&amp;row=1357&amp;col=7&amp;number=0&amp;sourceID=14","0")</f>
        <v>0</v>
      </c>
    </row>
    <row r="1358" spans="1:7">
      <c r="A1358" s="3">
        <v>18</v>
      </c>
      <c r="B1358" s="3">
        <v>8</v>
      </c>
      <c r="C1358" s="3">
        <v>78</v>
      </c>
      <c r="D1358" s="3">
        <v>21</v>
      </c>
      <c r="E1358" s="3">
        <v>-332.488</v>
      </c>
      <c r="F1358" s="4" t="str">
        <f>HYPERLINK("http://141.218.60.56/~jnz1568/getInfo.php?workbook=18_08.xlsx&amp;sheet=A0&amp;row=1358&amp;col=6&amp;number=0.2263&amp;sourceID=14","0.2263")</f>
        <v>0.2263</v>
      </c>
      <c r="G1358" s="4" t="str">
        <f>HYPERLINK("http://141.218.60.56/~jnz1568/getInfo.php?workbook=18_08.xlsx&amp;sheet=A0&amp;row=1358&amp;col=7&amp;number=0&amp;sourceID=14","0")</f>
        <v>0</v>
      </c>
    </row>
    <row r="1359" spans="1:7">
      <c r="A1359" s="3">
        <v>18</v>
      </c>
      <c r="B1359" s="3">
        <v>8</v>
      </c>
      <c r="C1359" s="3">
        <v>79</v>
      </c>
      <c r="D1359" s="3">
        <v>21</v>
      </c>
      <c r="E1359" s="3">
        <v>-329.219</v>
      </c>
      <c r="F1359" s="4" t="str">
        <f>HYPERLINK("http://141.218.60.56/~jnz1568/getInfo.php?workbook=18_08.xlsx&amp;sheet=A0&amp;row=1359&amp;col=6&amp;number=69080000&amp;sourceID=14","69080000")</f>
        <v>69080000</v>
      </c>
      <c r="G1359" s="4" t="str">
        <f>HYPERLINK("http://141.218.60.56/~jnz1568/getInfo.php?workbook=18_08.xlsx&amp;sheet=A0&amp;row=1359&amp;col=7&amp;number=0&amp;sourceID=14","0")</f>
        <v>0</v>
      </c>
    </row>
    <row r="1360" spans="1:7">
      <c r="A1360" s="3">
        <v>18</v>
      </c>
      <c r="B1360" s="3">
        <v>8</v>
      </c>
      <c r="C1360" s="3">
        <v>80</v>
      </c>
      <c r="D1360" s="3">
        <v>21</v>
      </c>
      <c r="E1360" s="3">
        <v>-327.133</v>
      </c>
      <c r="F1360" s="4" t="str">
        <f>HYPERLINK("http://141.218.60.56/~jnz1568/getInfo.php?workbook=18_08.xlsx&amp;sheet=A0&amp;row=1360&amp;col=6&amp;number=4202000&amp;sourceID=14","4202000")</f>
        <v>4202000</v>
      </c>
      <c r="G1360" s="4" t="str">
        <f>HYPERLINK("http://141.218.60.56/~jnz1568/getInfo.php?workbook=18_08.xlsx&amp;sheet=A0&amp;row=1360&amp;col=7&amp;number=0&amp;sourceID=14","0")</f>
        <v>0</v>
      </c>
    </row>
    <row r="1361" spans="1:7">
      <c r="A1361" s="3">
        <v>18</v>
      </c>
      <c r="B1361" s="3">
        <v>8</v>
      </c>
      <c r="C1361" s="3">
        <v>81</v>
      </c>
      <c r="D1361" s="3">
        <v>21</v>
      </c>
      <c r="E1361" s="3">
        <v>-316.44</v>
      </c>
      <c r="F1361" s="4" t="str">
        <f>HYPERLINK("http://141.218.60.56/~jnz1568/getInfo.php?workbook=18_08.xlsx&amp;sheet=A0&amp;row=1361&amp;col=6&amp;number=22700000&amp;sourceID=14","22700000")</f>
        <v>22700000</v>
      </c>
      <c r="G1361" s="4" t="str">
        <f>HYPERLINK("http://141.218.60.56/~jnz1568/getInfo.php?workbook=18_08.xlsx&amp;sheet=A0&amp;row=1361&amp;col=7&amp;number=0&amp;sourceID=14","0")</f>
        <v>0</v>
      </c>
    </row>
    <row r="1362" spans="1:7">
      <c r="A1362" s="3">
        <v>18</v>
      </c>
      <c r="B1362" s="3">
        <v>8</v>
      </c>
      <c r="C1362" s="3">
        <v>82</v>
      </c>
      <c r="D1362" s="3">
        <v>21</v>
      </c>
      <c r="E1362" s="3">
        <v>-313.199</v>
      </c>
      <c r="F1362" s="4" t="str">
        <f>HYPERLINK("http://141.218.60.56/~jnz1568/getInfo.php?workbook=18_08.xlsx&amp;sheet=A0&amp;row=1362&amp;col=6&amp;number=3540000&amp;sourceID=14","3540000")</f>
        <v>3540000</v>
      </c>
      <c r="G1362" s="4" t="str">
        <f>HYPERLINK("http://141.218.60.56/~jnz1568/getInfo.php?workbook=18_08.xlsx&amp;sheet=A0&amp;row=1362&amp;col=7&amp;number=0&amp;sourceID=14","0")</f>
        <v>0</v>
      </c>
    </row>
    <row r="1363" spans="1:7">
      <c r="A1363" s="3">
        <v>18</v>
      </c>
      <c r="B1363" s="3">
        <v>8</v>
      </c>
      <c r="C1363" s="3">
        <v>83</v>
      </c>
      <c r="D1363" s="3">
        <v>21</v>
      </c>
      <c r="E1363" s="3">
        <v>-312.989</v>
      </c>
      <c r="F1363" s="4" t="str">
        <f>HYPERLINK("http://141.218.60.56/~jnz1568/getInfo.php?workbook=18_08.xlsx&amp;sheet=A0&amp;row=1363&amp;col=6&amp;number=4289000&amp;sourceID=14","4289000")</f>
        <v>4289000</v>
      </c>
      <c r="G1363" s="4" t="str">
        <f>HYPERLINK("http://141.218.60.56/~jnz1568/getInfo.php?workbook=18_08.xlsx&amp;sheet=A0&amp;row=1363&amp;col=7&amp;number=0&amp;sourceID=14","0")</f>
        <v>0</v>
      </c>
    </row>
    <row r="1364" spans="1:7">
      <c r="A1364" s="3">
        <v>18</v>
      </c>
      <c r="B1364" s="3">
        <v>8</v>
      </c>
      <c r="C1364" s="3">
        <v>84</v>
      </c>
      <c r="D1364" s="3">
        <v>21</v>
      </c>
      <c r="E1364" s="3">
        <v>-300.98</v>
      </c>
      <c r="F1364" s="4" t="str">
        <f>HYPERLINK("http://141.218.60.56/~jnz1568/getInfo.php?workbook=18_08.xlsx&amp;sheet=A0&amp;row=1364&amp;col=6&amp;number=3770&amp;sourceID=14","3770")</f>
        <v>3770</v>
      </c>
      <c r="G1364" s="4" t="str">
        <f>HYPERLINK("http://141.218.60.56/~jnz1568/getInfo.php?workbook=18_08.xlsx&amp;sheet=A0&amp;row=1364&amp;col=7&amp;number=0&amp;sourceID=14","0")</f>
        <v>0</v>
      </c>
    </row>
    <row r="1365" spans="1:7">
      <c r="A1365" s="3">
        <v>18</v>
      </c>
      <c r="B1365" s="3">
        <v>8</v>
      </c>
      <c r="C1365" s="3">
        <v>85</v>
      </c>
      <c r="D1365" s="3">
        <v>21</v>
      </c>
      <c r="E1365" s="3">
        <v>-297.707</v>
      </c>
      <c r="F1365" s="4" t="str">
        <f>HYPERLINK("http://141.218.60.56/~jnz1568/getInfo.php?workbook=18_08.xlsx&amp;sheet=A0&amp;row=1365&amp;col=6&amp;number=1077000&amp;sourceID=14","1077000")</f>
        <v>1077000</v>
      </c>
      <c r="G1365" s="4" t="str">
        <f>HYPERLINK("http://141.218.60.56/~jnz1568/getInfo.php?workbook=18_08.xlsx&amp;sheet=A0&amp;row=1365&amp;col=7&amp;number=0&amp;sourceID=14","0")</f>
        <v>0</v>
      </c>
    </row>
    <row r="1366" spans="1:7">
      <c r="A1366" s="3">
        <v>18</v>
      </c>
      <c r="B1366" s="3">
        <v>8</v>
      </c>
      <c r="C1366" s="3">
        <v>86</v>
      </c>
      <c r="D1366" s="3">
        <v>21</v>
      </c>
      <c r="E1366" s="3">
        <v>-272.566</v>
      </c>
      <c r="F1366" s="4" t="str">
        <f>HYPERLINK("http://141.218.60.56/~jnz1568/getInfo.php?workbook=18_08.xlsx&amp;sheet=A0&amp;row=1366&amp;col=6&amp;number=328200&amp;sourceID=14","328200")</f>
        <v>328200</v>
      </c>
      <c r="G1366" s="4" t="str">
        <f>HYPERLINK("http://141.218.60.56/~jnz1568/getInfo.php?workbook=18_08.xlsx&amp;sheet=A0&amp;row=1366&amp;col=7&amp;number=0&amp;sourceID=14","0")</f>
        <v>0</v>
      </c>
    </row>
    <row r="1367" spans="1:7">
      <c r="A1367" s="3">
        <v>18</v>
      </c>
      <c r="B1367" s="3">
        <v>8</v>
      </c>
      <c r="C1367" s="3">
        <v>26</v>
      </c>
      <c r="D1367" s="3">
        <v>22</v>
      </c>
      <c r="E1367" s="3">
        <v>-16840.395</v>
      </c>
      <c r="F1367" s="4" t="str">
        <f>HYPERLINK("http://141.218.60.56/~jnz1568/getInfo.php?workbook=18_08.xlsx&amp;sheet=A0&amp;row=1367&amp;col=6&amp;number=30.39&amp;sourceID=14","30.39")</f>
        <v>30.39</v>
      </c>
      <c r="G1367" s="4" t="str">
        <f>HYPERLINK("http://141.218.60.56/~jnz1568/getInfo.php?workbook=18_08.xlsx&amp;sheet=A0&amp;row=1367&amp;col=7&amp;number=0&amp;sourceID=14","0")</f>
        <v>0</v>
      </c>
    </row>
    <row r="1368" spans="1:7">
      <c r="A1368" s="3">
        <v>18</v>
      </c>
      <c r="B1368" s="3">
        <v>8</v>
      </c>
      <c r="C1368" s="3">
        <v>27</v>
      </c>
      <c r="D1368" s="3">
        <v>22</v>
      </c>
      <c r="E1368" s="3">
        <v>-1511.469</v>
      </c>
      <c r="F1368" s="4" t="str">
        <f>HYPERLINK("http://141.218.60.56/~jnz1568/getInfo.php?workbook=18_08.xlsx&amp;sheet=A0&amp;row=1368&amp;col=6&amp;number=0.001755&amp;sourceID=14","0.001755")</f>
        <v>0.001755</v>
      </c>
      <c r="G1368" s="4" t="str">
        <f>HYPERLINK("http://141.218.60.56/~jnz1568/getInfo.php?workbook=18_08.xlsx&amp;sheet=A0&amp;row=1368&amp;col=7&amp;number=0&amp;sourceID=14","0")</f>
        <v>0</v>
      </c>
    </row>
    <row r="1369" spans="1:7">
      <c r="A1369" s="3">
        <v>18</v>
      </c>
      <c r="B1369" s="3">
        <v>8</v>
      </c>
      <c r="C1369" s="3">
        <v>28</v>
      </c>
      <c r="D1369" s="3">
        <v>22</v>
      </c>
      <c r="E1369" s="3">
        <v>-1591.425</v>
      </c>
      <c r="F1369" s="4" t="str">
        <f>HYPERLINK("http://141.218.60.56/~jnz1568/getInfo.php?workbook=18_08.xlsx&amp;sheet=A0&amp;row=1369&amp;col=6&amp;number=0.003766&amp;sourceID=14","0.003766")</f>
        <v>0.003766</v>
      </c>
      <c r="G1369" s="4" t="str">
        <f>HYPERLINK("http://141.218.60.56/~jnz1568/getInfo.php?workbook=18_08.xlsx&amp;sheet=A0&amp;row=1369&amp;col=7&amp;number=0&amp;sourceID=14","0")</f>
        <v>0</v>
      </c>
    </row>
    <row r="1370" spans="1:7">
      <c r="A1370" s="3">
        <v>18</v>
      </c>
      <c r="B1370" s="3">
        <v>8</v>
      </c>
      <c r="C1370" s="3">
        <v>30</v>
      </c>
      <c r="D1370" s="3">
        <v>22</v>
      </c>
      <c r="E1370" s="3">
        <v>-1842.216</v>
      </c>
      <c r="F1370" s="4" t="str">
        <f>HYPERLINK("http://141.218.60.56/~jnz1568/getInfo.php?workbook=18_08.xlsx&amp;sheet=A0&amp;row=1370&amp;col=6&amp;number=26.88&amp;sourceID=14","26.88")</f>
        <v>26.88</v>
      </c>
      <c r="G1370" s="4" t="str">
        <f>HYPERLINK("http://141.218.60.56/~jnz1568/getInfo.php?workbook=18_08.xlsx&amp;sheet=A0&amp;row=1370&amp;col=7&amp;number=0&amp;sourceID=14","0")</f>
        <v>0</v>
      </c>
    </row>
    <row r="1371" spans="1:7">
      <c r="A1371" s="3">
        <v>18</v>
      </c>
      <c r="B1371" s="3">
        <v>8</v>
      </c>
      <c r="C1371" s="3">
        <v>31</v>
      </c>
      <c r="D1371" s="3">
        <v>22</v>
      </c>
      <c r="E1371" s="3">
        <v>-1368.659</v>
      </c>
      <c r="F1371" s="4" t="str">
        <f>HYPERLINK("http://141.218.60.56/~jnz1568/getInfo.php?workbook=18_08.xlsx&amp;sheet=A0&amp;row=1371&amp;col=6&amp;number=1.793&amp;sourceID=14","1.793")</f>
        <v>1.793</v>
      </c>
      <c r="G1371" s="4" t="str">
        <f>HYPERLINK("http://141.218.60.56/~jnz1568/getInfo.php?workbook=18_08.xlsx&amp;sheet=A0&amp;row=1371&amp;col=7&amp;number=0&amp;sourceID=14","0")</f>
        <v>0</v>
      </c>
    </row>
    <row r="1372" spans="1:7">
      <c r="A1372" s="3">
        <v>18</v>
      </c>
      <c r="B1372" s="3">
        <v>8</v>
      </c>
      <c r="C1372" s="3">
        <v>36</v>
      </c>
      <c r="D1372" s="3">
        <v>22</v>
      </c>
      <c r="E1372" s="3">
        <v>-797.964</v>
      </c>
      <c r="F1372" s="4" t="str">
        <f>HYPERLINK("http://141.218.60.56/~jnz1568/getInfo.php?workbook=18_08.xlsx&amp;sheet=A0&amp;row=1372&amp;col=6&amp;number=0.02626&amp;sourceID=14","0.02626")</f>
        <v>0.02626</v>
      </c>
      <c r="G1372" s="4" t="str">
        <f>HYPERLINK("http://141.218.60.56/~jnz1568/getInfo.php?workbook=18_08.xlsx&amp;sheet=A0&amp;row=1372&amp;col=7&amp;number=0&amp;sourceID=14","0")</f>
        <v>0</v>
      </c>
    </row>
    <row r="1373" spans="1:7">
      <c r="A1373" s="3">
        <v>18</v>
      </c>
      <c r="B1373" s="3">
        <v>8</v>
      </c>
      <c r="C1373" s="3">
        <v>37</v>
      </c>
      <c r="D1373" s="3">
        <v>22</v>
      </c>
      <c r="E1373" s="3">
        <v>-817.492</v>
      </c>
      <c r="F1373" s="4" t="str">
        <f>HYPERLINK("http://141.218.60.56/~jnz1568/getInfo.php?workbook=18_08.xlsx&amp;sheet=A0&amp;row=1373&amp;col=6&amp;number=27.87&amp;sourceID=14","27.87")</f>
        <v>27.87</v>
      </c>
      <c r="G1373" s="4" t="str">
        <f>HYPERLINK("http://141.218.60.56/~jnz1568/getInfo.php?workbook=18_08.xlsx&amp;sheet=A0&amp;row=1373&amp;col=7&amp;number=0&amp;sourceID=14","0")</f>
        <v>0</v>
      </c>
    </row>
    <row r="1374" spans="1:7">
      <c r="A1374" s="3">
        <v>18</v>
      </c>
      <c r="B1374" s="3">
        <v>8</v>
      </c>
      <c r="C1374" s="3">
        <v>39</v>
      </c>
      <c r="D1374" s="3">
        <v>22</v>
      </c>
      <c r="E1374" s="3">
        <v>-725.318</v>
      </c>
      <c r="F1374" s="4" t="str">
        <f>HYPERLINK("http://141.218.60.56/~jnz1568/getInfo.php?workbook=18_08.xlsx&amp;sheet=A0&amp;row=1374&amp;col=6&amp;number=396100&amp;sourceID=14","396100")</f>
        <v>396100</v>
      </c>
      <c r="G1374" s="4" t="str">
        <f>HYPERLINK("http://141.218.60.56/~jnz1568/getInfo.php?workbook=18_08.xlsx&amp;sheet=A0&amp;row=1374&amp;col=7&amp;number=0&amp;sourceID=14","0")</f>
        <v>0</v>
      </c>
    </row>
    <row r="1375" spans="1:7">
      <c r="A1375" s="3">
        <v>18</v>
      </c>
      <c r="B1375" s="3">
        <v>8</v>
      </c>
      <c r="C1375" s="3">
        <v>40</v>
      </c>
      <c r="D1375" s="3">
        <v>22</v>
      </c>
      <c r="E1375" s="3">
        <v>-724.457</v>
      </c>
      <c r="F1375" s="4" t="str">
        <f>HYPERLINK("http://141.218.60.56/~jnz1568/getInfo.php?workbook=18_08.xlsx&amp;sheet=A0&amp;row=1375&amp;col=6&amp;number=0.03407&amp;sourceID=14","0.03407")</f>
        <v>0.03407</v>
      </c>
      <c r="G1375" s="4" t="str">
        <f>HYPERLINK("http://141.218.60.56/~jnz1568/getInfo.php?workbook=18_08.xlsx&amp;sheet=A0&amp;row=1375&amp;col=7&amp;number=0&amp;sourceID=14","0")</f>
        <v>0</v>
      </c>
    </row>
    <row r="1376" spans="1:7">
      <c r="A1376" s="3">
        <v>18</v>
      </c>
      <c r="B1376" s="3">
        <v>8</v>
      </c>
      <c r="C1376" s="3">
        <v>43</v>
      </c>
      <c r="D1376" s="3">
        <v>22</v>
      </c>
      <c r="E1376" s="3">
        <v>-796.345</v>
      </c>
      <c r="F1376" s="4" t="str">
        <f>HYPERLINK("http://141.218.60.56/~jnz1568/getInfo.php?workbook=18_08.xlsx&amp;sheet=A0&amp;row=1376&amp;col=6&amp;number=0.007325&amp;sourceID=14","0.007325")</f>
        <v>0.007325</v>
      </c>
      <c r="G1376" s="4" t="str">
        <f>HYPERLINK("http://141.218.60.56/~jnz1568/getInfo.php?workbook=18_08.xlsx&amp;sheet=A0&amp;row=1376&amp;col=7&amp;number=0&amp;sourceID=14","0")</f>
        <v>0</v>
      </c>
    </row>
    <row r="1377" spans="1:7">
      <c r="A1377" s="3">
        <v>18</v>
      </c>
      <c r="B1377" s="3">
        <v>8</v>
      </c>
      <c r="C1377" s="3">
        <v>44</v>
      </c>
      <c r="D1377" s="3">
        <v>22</v>
      </c>
      <c r="E1377" s="3">
        <v>-921.948</v>
      </c>
      <c r="F1377" s="4" t="str">
        <f>HYPERLINK("http://141.218.60.56/~jnz1568/getInfo.php?workbook=18_08.xlsx&amp;sheet=A0&amp;row=1377&amp;col=6&amp;number=159.7&amp;sourceID=14","159.7")</f>
        <v>159.7</v>
      </c>
      <c r="G1377" s="4" t="str">
        <f>HYPERLINK("http://141.218.60.56/~jnz1568/getInfo.php?workbook=18_08.xlsx&amp;sheet=A0&amp;row=1377&amp;col=7&amp;number=0&amp;sourceID=14","0")</f>
        <v>0</v>
      </c>
    </row>
    <row r="1378" spans="1:7">
      <c r="A1378" s="3">
        <v>18</v>
      </c>
      <c r="B1378" s="3">
        <v>8</v>
      </c>
      <c r="C1378" s="3">
        <v>45</v>
      </c>
      <c r="D1378" s="3">
        <v>22</v>
      </c>
      <c r="E1378" s="3">
        <v>-808.851</v>
      </c>
      <c r="F1378" s="4" t="str">
        <f>HYPERLINK("http://141.218.60.56/~jnz1568/getInfo.php?workbook=18_08.xlsx&amp;sheet=A0&amp;row=1378&amp;col=6&amp;number=5.472&amp;sourceID=14","5.472")</f>
        <v>5.472</v>
      </c>
      <c r="G1378" s="4" t="str">
        <f>HYPERLINK("http://141.218.60.56/~jnz1568/getInfo.php?workbook=18_08.xlsx&amp;sheet=A0&amp;row=1378&amp;col=7&amp;number=0&amp;sourceID=14","0")</f>
        <v>0</v>
      </c>
    </row>
    <row r="1379" spans="1:7">
      <c r="A1379" s="3">
        <v>18</v>
      </c>
      <c r="B1379" s="3">
        <v>8</v>
      </c>
      <c r="C1379" s="3">
        <v>46</v>
      </c>
      <c r="D1379" s="3">
        <v>22</v>
      </c>
      <c r="E1379" s="3">
        <v>-743.624</v>
      </c>
      <c r="F1379" s="4" t="str">
        <f>HYPERLINK("http://141.218.60.56/~jnz1568/getInfo.php?workbook=18_08.xlsx&amp;sheet=A0&amp;row=1379&amp;col=6&amp;number=12.33&amp;sourceID=14","12.33")</f>
        <v>12.33</v>
      </c>
      <c r="G1379" s="4" t="str">
        <f>HYPERLINK("http://141.218.60.56/~jnz1568/getInfo.php?workbook=18_08.xlsx&amp;sheet=A0&amp;row=1379&amp;col=7&amp;number=0&amp;sourceID=14","0")</f>
        <v>0</v>
      </c>
    </row>
    <row r="1380" spans="1:7">
      <c r="A1380" s="3">
        <v>18</v>
      </c>
      <c r="B1380" s="3">
        <v>8</v>
      </c>
      <c r="C1380" s="3">
        <v>48</v>
      </c>
      <c r="D1380" s="3">
        <v>22</v>
      </c>
      <c r="E1380" s="3">
        <v>-720.906</v>
      </c>
      <c r="F1380" s="4" t="str">
        <f>HYPERLINK("http://141.218.60.56/~jnz1568/getInfo.php?workbook=18_08.xlsx&amp;sheet=A0&amp;row=1380&amp;col=6&amp;number=319.9&amp;sourceID=14","319.9")</f>
        <v>319.9</v>
      </c>
      <c r="G1380" s="4" t="str">
        <f>HYPERLINK("http://141.218.60.56/~jnz1568/getInfo.php?workbook=18_08.xlsx&amp;sheet=A0&amp;row=1380&amp;col=7&amp;number=0&amp;sourceID=14","0")</f>
        <v>0</v>
      </c>
    </row>
    <row r="1381" spans="1:7">
      <c r="A1381" s="3">
        <v>18</v>
      </c>
      <c r="B1381" s="3">
        <v>8</v>
      </c>
      <c r="C1381" s="3">
        <v>49</v>
      </c>
      <c r="D1381" s="3">
        <v>22</v>
      </c>
      <c r="E1381" s="3">
        <v>-670.155</v>
      </c>
      <c r="F1381" s="4" t="str">
        <f>HYPERLINK("http://141.218.60.56/~jnz1568/getInfo.php?workbook=18_08.xlsx&amp;sheet=A0&amp;row=1381&amp;col=6&amp;number=16.05&amp;sourceID=14","16.05")</f>
        <v>16.05</v>
      </c>
      <c r="G1381" s="4" t="str">
        <f>HYPERLINK("http://141.218.60.56/~jnz1568/getInfo.php?workbook=18_08.xlsx&amp;sheet=A0&amp;row=1381&amp;col=7&amp;number=0&amp;sourceID=14","0")</f>
        <v>0</v>
      </c>
    </row>
    <row r="1382" spans="1:7">
      <c r="A1382" s="3">
        <v>18</v>
      </c>
      <c r="B1382" s="3">
        <v>8</v>
      </c>
      <c r="C1382" s="3">
        <v>50</v>
      </c>
      <c r="D1382" s="3">
        <v>22</v>
      </c>
      <c r="E1382" s="3">
        <v>-657.374</v>
      </c>
      <c r="F1382" s="4" t="str">
        <f>HYPERLINK("http://141.218.60.56/~jnz1568/getInfo.php?workbook=18_08.xlsx&amp;sheet=A0&amp;row=1382&amp;col=6&amp;number=2.179&amp;sourceID=14","2.179")</f>
        <v>2.179</v>
      </c>
      <c r="G1382" s="4" t="str">
        <f>HYPERLINK("http://141.218.60.56/~jnz1568/getInfo.php?workbook=18_08.xlsx&amp;sheet=A0&amp;row=1382&amp;col=7&amp;number=0&amp;sourceID=14","0")</f>
        <v>0</v>
      </c>
    </row>
    <row r="1383" spans="1:7">
      <c r="A1383" s="3">
        <v>18</v>
      </c>
      <c r="B1383" s="3">
        <v>8</v>
      </c>
      <c r="C1383" s="3">
        <v>51</v>
      </c>
      <c r="D1383" s="3">
        <v>22</v>
      </c>
      <c r="E1383" s="3">
        <v>-572.019</v>
      </c>
      <c r="F1383" s="4" t="str">
        <f>HYPERLINK("http://141.218.60.56/~jnz1568/getInfo.php?workbook=18_08.xlsx&amp;sheet=A0&amp;row=1383&amp;col=6&amp;number=0.007838&amp;sourceID=14","0.007838")</f>
        <v>0.007838</v>
      </c>
      <c r="G1383" s="4" t="str">
        <f>HYPERLINK("http://141.218.60.56/~jnz1568/getInfo.php?workbook=18_08.xlsx&amp;sheet=A0&amp;row=1383&amp;col=7&amp;number=0&amp;sourceID=14","0")</f>
        <v>0</v>
      </c>
    </row>
    <row r="1384" spans="1:7">
      <c r="A1384" s="3">
        <v>18</v>
      </c>
      <c r="B1384" s="3">
        <v>8</v>
      </c>
      <c r="C1384" s="3">
        <v>52</v>
      </c>
      <c r="D1384" s="3">
        <v>22</v>
      </c>
      <c r="E1384" s="3">
        <v>-568.795</v>
      </c>
      <c r="F1384" s="4" t="str">
        <f>HYPERLINK("http://141.218.60.56/~jnz1568/getInfo.php?workbook=18_08.xlsx&amp;sheet=A0&amp;row=1384&amp;col=6&amp;number=1597000000&amp;sourceID=14","1597000000")</f>
        <v>1597000000</v>
      </c>
      <c r="G1384" s="4" t="str">
        <f>HYPERLINK("http://141.218.60.56/~jnz1568/getInfo.php?workbook=18_08.xlsx&amp;sheet=A0&amp;row=1384&amp;col=7&amp;number=0&amp;sourceID=14","0")</f>
        <v>0</v>
      </c>
    </row>
    <row r="1385" spans="1:7">
      <c r="A1385" s="3">
        <v>18</v>
      </c>
      <c r="B1385" s="3">
        <v>8</v>
      </c>
      <c r="C1385" s="3">
        <v>55</v>
      </c>
      <c r="D1385" s="3">
        <v>22</v>
      </c>
      <c r="E1385" s="3">
        <v>-546.068</v>
      </c>
      <c r="F1385" s="4" t="str">
        <f>HYPERLINK("http://141.218.60.56/~jnz1568/getInfo.php?workbook=18_08.xlsx&amp;sheet=A0&amp;row=1385&amp;col=6&amp;number=2.629&amp;sourceID=14","2.629")</f>
        <v>2.629</v>
      </c>
      <c r="G1385" s="4" t="str">
        <f>HYPERLINK("http://141.218.60.56/~jnz1568/getInfo.php?workbook=18_08.xlsx&amp;sheet=A0&amp;row=1385&amp;col=7&amp;number=0&amp;sourceID=14","0")</f>
        <v>0</v>
      </c>
    </row>
    <row r="1386" spans="1:7">
      <c r="A1386" s="3">
        <v>18</v>
      </c>
      <c r="B1386" s="3">
        <v>8</v>
      </c>
      <c r="C1386" s="3">
        <v>56</v>
      </c>
      <c r="D1386" s="3">
        <v>22</v>
      </c>
      <c r="E1386" s="3">
        <v>-432.726</v>
      </c>
      <c r="F1386" s="4" t="str">
        <f>HYPERLINK("http://141.218.60.56/~jnz1568/getInfo.php?workbook=18_08.xlsx&amp;sheet=A0&amp;row=1386&amp;col=6&amp;number=0.02852&amp;sourceID=14","0.02852")</f>
        <v>0.02852</v>
      </c>
      <c r="G1386" s="4" t="str">
        <f>HYPERLINK("http://141.218.60.56/~jnz1568/getInfo.php?workbook=18_08.xlsx&amp;sheet=A0&amp;row=1386&amp;col=7&amp;number=0&amp;sourceID=14","0")</f>
        <v>0</v>
      </c>
    </row>
    <row r="1387" spans="1:7">
      <c r="A1387" s="3">
        <v>18</v>
      </c>
      <c r="B1387" s="3">
        <v>8</v>
      </c>
      <c r="C1387" s="3">
        <v>64</v>
      </c>
      <c r="D1387" s="3">
        <v>22</v>
      </c>
      <c r="E1387" s="3">
        <v>-379.029</v>
      </c>
      <c r="F1387" s="4" t="str">
        <f>HYPERLINK("http://141.218.60.56/~jnz1568/getInfo.php?workbook=18_08.xlsx&amp;sheet=A0&amp;row=1387&amp;col=6&amp;number=56890000&amp;sourceID=14","56890000")</f>
        <v>56890000</v>
      </c>
      <c r="G1387" s="4" t="str">
        <f>HYPERLINK("http://141.218.60.56/~jnz1568/getInfo.php?workbook=18_08.xlsx&amp;sheet=A0&amp;row=1387&amp;col=7&amp;number=0&amp;sourceID=14","0")</f>
        <v>0</v>
      </c>
    </row>
    <row r="1388" spans="1:7">
      <c r="A1388" s="3">
        <v>18</v>
      </c>
      <c r="B1388" s="3">
        <v>8</v>
      </c>
      <c r="C1388" s="3">
        <v>66</v>
      </c>
      <c r="D1388" s="3">
        <v>22</v>
      </c>
      <c r="E1388" s="3">
        <v>-381.677</v>
      </c>
      <c r="F1388" s="4" t="str">
        <f>HYPERLINK("http://141.218.60.56/~jnz1568/getInfo.php?workbook=18_08.xlsx&amp;sheet=A0&amp;row=1388&amp;col=6&amp;number=0.0002706&amp;sourceID=14","0.0002706")</f>
        <v>0.0002706</v>
      </c>
      <c r="G1388" s="4" t="str">
        <f>HYPERLINK("http://141.218.60.56/~jnz1568/getInfo.php?workbook=18_08.xlsx&amp;sheet=A0&amp;row=1388&amp;col=7&amp;number=0&amp;sourceID=14","0")</f>
        <v>0</v>
      </c>
    </row>
    <row r="1389" spans="1:7">
      <c r="A1389" s="3">
        <v>18</v>
      </c>
      <c r="B1389" s="3">
        <v>8</v>
      </c>
      <c r="C1389" s="3">
        <v>67</v>
      </c>
      <c r="D1389" s="3">
        <v>22</v>
      </c>
      <c r="E1389" s="3">
        <v>-393.022</v>
      </c>
      <c r="F1389" s="4" t="str">
        <f>HYPERLINK("http://141.218.60.56/~jnz1568/getInfo.php?workbook=18_08.xlsx&amp;sheet=A0&amp;row=1389&amp;col=6&amp;number=2096000&amp;sourceID=14","2096000")</f>
        <v>2096000</v>
      </c>
      <c r="G1389" s="4" t="str">
        <f>HYPERLINK("http://141.218.60.56/~jnz1568/getInfo.php?workbook=18_08.xlsx&amp;sheet=A0&amp;row=1389&amp;col=7&amp;number=0&amp;sourceID=14","0")</f>
        <v>0</v>
      </c>
    </row>
    <row r="1390" spans="1:7">
      <c r="A1390" s="3">
        <v>18</v>
      </c>
      <c r="B1390" s="3">
        <v>8</v>
      </c>
      <c r="C1390" s="3">
        <v>69</v>
      </c>
      <c r="D1390" s="3">
        <v>22</v>
      </c>
      <c r="E1390" s="3">
        <v>-367.283</v>
      </c>
      <c r="F1390" s="4" t="str">
        <f>HYPERLINK("http://141.218.60.56/~jnz1568/getInfo.php?workbook=18_08.xlsx&amp;sheet=A0&amp;row=1390&amp;col=6&amp;number=0.004498&amp;sourceID=14","0.004498")</f>
        <v>0.004498</v>
      </c>
      <c r="G1390" s="4" t="str">
        <f>HYPERLINK("http://141.218.60.56/~jnz1568/getInfo.php?workbook=18_08.xlsx&amp;sheet=A0&amp;row=1390&amp;col=7&amp;number=0&amp;sourceID=14","0")</f>
        <v>0</v>
      </c>
    </row>
    <row r="1391" spans="1:7">
      <c r="A1391" s="3">
        <v>18</v>
      </c>
      <c r="B1391" s="3">
        <v>8</v>
      </c>
      <c r="C1391" s="3">
        <v>71</v>
      </c>
      <c r="D1391" s="3">
        <v>22</v>
      </c>
      <c r="E1391" s="3">
        <v>-361.049</v>
      </c>
      <c r="F1391" s="4" t="str">
        <f>HYPERLINK("http://141.218.60.56/~jnz1568/getInfo.php?workbook=18_08.xlsx&amp;sheet=A0&amp;row=1391&amp;col=6&amp;number=321500000&amp;sourceID=14","321500000")</f>
        <v>321500000</v>
      </c>
      <c r="G1391" s="4" t="str">
        <f>HYPERLINK("http://141.218.60.56/~jnz1568/getInfo.php?workbook=18_08.xlsx&amp;sheet=A0&amp;row=1391&amp;col=7&amp;number=0&amp;sourceID=14","0")</f>
        <v>0</v>
      </c>
    </row>
    <row r="1392" spans="1:7">
      <c r="A1392" s="3">
        <v>18</v>
      </c>
      <c r="B1392" s="3">
        <v>8</v>
      </c>
      <c r="C1392" s="3">
        <v>72</v>
      </c>
      <c r="D1392" s="3">
        <v>22</v>
      </c>
      <c r="E1392" s="3">
        <v>-370.069</v>
      </c>
      <c r="F1392" s="4" t="str">
        <f>HYPERLINK("http://141.218.60.56/~jnz1568/getInfo.php?workbook=18_08.xlsx&amp;sheet=A0&amp;row=1392&amp;col=6&amp;number=0.1293&amp;sourceID=14","0.1293")</f>
        <v>0.1293</v>
      </c>
      <c r="G1392" s="4" t="str">
        <f>HYPERLINK("http://141.218.60.56/~jnz1568/getInfo.php?workbook=18_08.xlsx&amp;sheet=A0&amp;row=1392&amp;col=7&amp;number=0&amp;sourceID=14","0")</f>
        <v>0</v>
      </c>
    </row>
    <row r="1393" spans="1:7">
      <c r="A1393" s="3">
        <v>18</v>
      </c>
      <c r="B1393" s="3">
        <v>8</v>
      </c>
      <c r="C1393" s="3">
        <v>73</v>
      </c>
      <c r="D1393" s="3">
        <v>22</v>
      </c>
      <c r="E1393" s="3">
        <v>-355.202</v>
      </c>
      <c r="F1393" s="4" t="str">
        <f>HYPERLINK("http://141.218.60.56/~jnz1568/getInfo.php?workbook=18_08.xlsx&amp;sheet=A0&amp;row=1393&amp;col=6&amp;number=146200000&amp;sourceID=14","146200000")</f>
        <v>146200000</v>
      </c>
      <c r="G1393" s="4" t="str">
        <f>HYPERLINK("http://141.218.60.56/~jnz1568/getInfo.php?workbook=18_08.xlsx&amp;sheet=A0&amp;row=1393&amp;col=7&amp;number=0&amp;sourceID=14","0")</f>
        <v>0</v>
      </c>
    </row>
    <row r="1394" spans="1:7">
      <c r="A1394" s="3">
        <v>18</v>
      </c>
      <c r="B1394" s="3">
        <v>8</v>
      </c>
      <c r="C1394" s="3">
        <v>75</v>
      </c>
      <c r="D1394" s="3">
        <v>22</v>
      </c>
      <c r="E1394" s="3">
        <v>-334.005</v>
      </c>
      <c r="F1394" s="4" t="str">
        <f>HYPERLINK("http://141.218.60.56/~jnz1568/getInfo.php?workbook=18_08.xlsx&amp;sheet=A0&amp;row=1394&amp;col=6&amp;number=0.01505&amp;sourceID=14","0.01505")</f>
        <v>0.01505</v>
      </c>
      <c r="G1394" s="4" t="str">
        <f>HYPERLINK("http://141.218.60.56/~jnz1568/getInfo.php?workbook=18_08.xlsx&amp;sheet=A0&amp;row=1394&amp;col=7&amp;number=0&amp;sourceID=14","0")</f>
        <v>0</v>
      </c>
    </row>
    <row r="1395" spans="1:7">
      <c r="A1395" s="3">
        <v>18</v>
      </c>
      <c r="B1395" s="3">
        <v>8</v>
      </c>
      <c r="C1395" s="3">
        <v>79</v>
      </c>
      <c r="D1395" s="3">
        <v>22</v>
      </c>
      <c r="E1395" s="3">
        <v>-329.809</v>
      </c>
      <c r="F1395" s="4" t="str">
        <f>HYPERLINK("http://141.218.60.56/~jnz1568/getInfo.php?workbook=18_08.xlsx&amp;sheet=A0&amp;row=1395&amp;col=6&amp;number=119700000&amp;sourceID=14","119700000")</f>
        <v>119700000</v>
      </c>
      <c r="G1395" s="4" t="str">
        <f>HYPERLINK("http://141.218.60.56/~jnz1568/getInfo.php?workbook=18_08.xlsx&amp;sheet=A0&amp;row=1395&amp;col=7&amp;number=0&amp;sourceID=14","0")</f>
        <v>0</v>
      </c>
    </row>
    <row r="1396" spans="1:7">
      <c r="A1396" s="3">
        <v>18</v>
      </c>
      <c r="B1396" s="3">
        <v>8</v>
      </c>
      <c r="C1396" s="3">
        <v>80</v>
      </c>
      <c r="D1396" s="3">
        <v>22</v>
      </c>
      <c r="E1396" s="3">
        <v>-327.715</v>
      </c>
      <c r="F1396" s="4" t="str">
        <f>HYPERLINK("http://141.218.60.56/~jnz1568/getInfo.php?workbook=18_08.xlsx&amp;sheet=A0&amp;row=1396&amp;col=6&amp;number=0.04385&amp;sourceID=14","0.04385")</f>
        <v>0.04385</v>
      </c>
      <c r="G1396" s="4" t="str">
        <f>HYPERLINK("http://141.218.60.56/~jnz1568/getInfo.php?workbook=18_08.xlsx&amp;sheet=A0&amp;row=1396&amp;col=7&amp;number=0&amp;sourceID=14","0")</f>
        <v>0</v>
      </c>
    </row>
    <row r="1397" spans="1:7">
      <c r="A1397" s="3">
        <v>18</v>
      </c>
      <c r="B1397" s="3">
        <v>8</v>
      </c>
      <c r="C1397" s="3">
        <v>81</v>
      </c>
      <c r="D1397" s="3">
        <v>22</v>
      </c>
      <c r="E1397" s="3">
        <v>-316.985</v>
      </c>
      <c r="F1397" s="4" t="str">
        <f>HYPERLINK("http://141.218.60.56/~jnz1568/getInfo.php?workbook=18_08.xlsx&amp;sheet=A0&amp;row=1397&amp;col=6&amp;number=0.07484&amp;sourceID=14","0.07484")</f>
        <v>0.07484</v>
      </c>
      <c r="G1397" s="4" t="str">
        <f>HYPERLINK("http://141.218.60.56/~jnz1568/getInfo.php?workbook=18_08.xlsx&amp;sheet=A0&amp;row=1397&amp;col=7&amp;number=0&amp;sourceID=14","0")</f>
        <v>0</v>
      </c>
    </row>
    <row r="1398" spans="1:7">
      <c r="A1398" s="3">
        <v>18</v>
      </c>
      <c r="B1398" s="3">
        <v>8</v>
      </c>
      <c r="C1398" s="3">
        <v>83</v>
      </c>
      <c r="D1398" s="3">
        <v>22</v>
      </c>
      <c r="E1398" s="3">
        <v>-313.522</v>
      </c>
      <c r="F1398" s="4" t="str">
        <f>HYPERLINK("http://141.218.60.56/~jnz1568/getInfo.php?workbook=18_08.xlsx&amp;sheet=A0&amp;row=1398&amp;col=6&amp;number=9975000&amp;sourceID=14","9975000")</f>
        <v>9975000</v>
      </c>
      <c r="G1398" s="4" t="str">
        <f>HYPERLINK("http://141.218.60.56/~jnz1568/getInfo.php?workbook=18_08.xlsx&amp;sheet=A0&amp;row=1398&amp;col=7&amp;number=0&amp;sourceID=14","0")</f>
        <v>0</v>
      </c>
    </row>
    <row r="1399" spans="1:7">
      <c r="A1399" s="3">
        <v>18</v>
      </c>
      <c r="B1399" s="3">
        <v>8</v>
      </c>
      <c r="C1399" s="3">
        <v>84</v>
      </c>
      <c r="D1399" s="3">
        <v>22</v>
      </c>
      <c r="E1399" s="3">
        <v>-301.473</v>
      </c>
      <c r="F1399" s="4" t="str">
        <f>HYPERLINK("http://141.218.60.56/~jnz1568/getInfo.php?workbook=18_08.xlsx&amp;sheet=A0&amp;row=1399&amp;col=6&amp;number=0.05496&amp;sourceID=14","0.05496")</f>
        <v>0.05496</v>
      </c>
      <c r="G1399" s="4" t="str">
        <f>HYPERLINK("http://141.218.60.56/~jnz1568/getInfo.php?workbook=18_08.xlsx&amp;sheet=A0&amp;row=1399&amp;col=7&amp;number=0&amp;sourceID=14","0")</f>
        <v>0</v>
      </c>
    </row>
    <row r="1400" spans="1:7">
      <c r="A1400" s="3">
        <v>18</v>
      </c>
      <c r="B1400" s="3">
        <v>8</v>
      </c>
      <c r="C1400" s="3">
        <v>86</v>
      </c>
      <c r="D1400" s="3">
        <v>22</v>
      </c>
      <c r="E1400" s="3">
        <v>-272.97</v>
      </c>
      <c r="F1400" s="4" t="str">
        <f>HYPERLINK("http://141.218.60.56/~jnz1568/getInfo.php?workbook=18_08.xlsx&amp;sheet=A0&amp;row=1400&amp;col=6&amp;number=70170&amp;sourceID=14","70170")</f>
        <v>70170</v>
      </c>
      <c r="G1400" s="4" t="str">
        <f>HYPERLINK("http://141.218.60.56/~jnz1568/getInfo.php?workbook=18_08.xlsx&amp;sheet=A0&amp;row=1400&amp;col=7&amp;number=0&amp;sourceID=14","0")</f>
        <v>0</v>
      </c>
    </row>
    <row r="1401" spans="1:7">
      <c r="A1401" s="3">
        <v>18</v>
      </c>
      <c r="B1401" s="3">
        <v>8</v>
      </c>
      <c r="C1401" s="3">
        <v>24</v>
      </c>
      <c r="D1401" s="3">
        <v>23</v>
      </c>
      <c r="E1401" s="3">
        <v>-63362.082</v>
      </c>
      <c r="F1401" s="4" t="str">
        <f>HYPERLINK("http://141.218.60.56/~jnz1568/getInfo.php?workbook=18_08.xlsx&amp;sheet=A0&amp;row=1401&amp;col=6&amp;number=0.06779&amp;sourceID=14","0.06779")</f>
        <v>0.06779</v>
      </c>
      <c r="G1401" s="4" t="str">
        <f>HYPERLINK("http://141.218.60.56/~jnz1568/getInfo.php?workbook=18_08.xlsx&amp;sheet=A0&amp;row=1401&amp;col=7&amp;number=0&amp;sourceID=14","0")</f>
        <v>0</v>
      </c>
    </row>
    <row r="1402" spans="1:7">
      <c r="A1402" s="3">
        <v>18</v>
      </c>
      <c r="B1402" s="3">
        <v>8</v>
      </c>
      <c r="C1402" s="3">
        <v>25</v>
      </c>
      <c r="D1402" s="3">
        <v>23</v>
      </c>
      <c r="E1402" s="3">
        <v>-16689.98</v>
      </c>
      <c r="F1402" s="4" t="str">
        <f>HYPERLINK("http://141.218.60.56/~jnz1568/getInfo.php?workbook=18_08.xlsx&amp;sheet=A0&amp;row=1402&amp;col=6&amp;number=2.914e-08&amp;sourceID=14","2.914e-08")</f>
        <v>2.914e-08</v>
      </c>
      <c r="G1402" s="4" t="str">
        <f>HYPERLINK("http://141.218.60.56/~jnz1568/getInfo.php?workbook=18_08.xlsx&amp;sheet=A0&amp;row=1402&amp;col=7&amp;number=0&amp;sourceID=14","0")</f>
        <v>0</v>
      </c>
    </row>
    <row r="1403" spans="1:7">
      <c r="A1403" s="3">
        <v>18</v>
      </c>
      <c r="B1403" s="3">
        <v>8</v>
      </c>
      <c r="C1403" s="3">
        <v>26</v>
      </c>
      <c r="D1403" s="3">
        <v>23</v>
      </c>
      <c r="E1403" s="3">
        <v>-4748.336</v>
      </c>
      <c r="F1403" s="4" t="str">
        <f>HYPERLINK("http://141.218.60.56/~jnz1568/getInfo.php?workbook=18_08.xlsx&amp;sheet=A0&amp;row=1403&amp;col=6&amp;number=1.687&amp;sourceID=14","1.687")</f>
        <v>1.687</v>
      </c>
      <c r="G1403" s="4" t="str">
        <f>HYPERLINK("http://141.218.60.56/~jnz1568/getInfo.php?workbook=18_08.xlsx&amp;sheet=A0&amp;row=1403&amp;col=7&amp;number=0&amp;sourceID=14","0")</f>
        <v>0</v>
      </c>
    </row>
    <row r="1404" spans="1:7">
      <c r="A1404" s="3">
        <v>18</v>
      </c>
      <c r="B1404" s="3">
        <v>8</v>
      </c>
      <c r="C1404" s="3">
        <v>27</v>
      </c>
      <c r="D1404" s="3">
        <v>23</v>
      </c>
      <c r="E1404" s="3">
        <v>-1230.274</v>
      </c>
      <c r="F1404" s="4" t="str">
        <f>HYPERLINK("http://141.218.60.56/~jnz1568/getInfo.php?workbook=18_08.xlsx&amp;sheet=A0&amp;row=1404&amp;col=6&amp;number=5312000&amp;sourceID=14","5312000")</f>
        <v>5312000</v>
      </c>
      <c r="G1404" s="4" t="str">
        <f>HYPERLINK("http://141.218.60.56/~jnz1568/getInfo.php?workbook=18_08.xlsx&amp;sheet=A0&amp;row=1404&amp;col=7&amp;number=0&amp;sourceID=14","0")</f>
        <v>0</v>
      </c>
    </row>
    <row r="1405" spans="1:7">
      <c r="A1405" s="3">
        <v>18</v>
      </c>
      <c r="B1405" s="3">
        <v>8</v>
      </c>
      <c r="C1405" s="3">
        <v>28</v>
      </c>
      <c r="D1405" s="3">
        <v>23</v>
      </c>
      <c r="E1405" s="3">
        <v>-1282.731</v>
      </c>
      <c r="F1405" s="4" t="str">
        <f>HYPERLINK("http://141.218.60.56/~jnz1568/getInfo.php?workbook=18_08.xlsx&amp;sheet=A0&amp;row=1405&amp;col=6&amp;number=0.0003547&amp;sourceID=14","0.0003547")</f>
        <v>0.0003547</v>
      </c>
      <c r="G1405" s="4" t="str">
        <f>HYPERLINK("http://141.218.60.56/~jnz1568/getInfo.php?workbook=18_08.xlsx&amp;sheet=A0&amp;row=1405&amp;col=7&amp;number=0&amp;sourceID=14","0")</f>
        <v>0</v>
      </c>
    </row>
    <row r="1406" spans="1:7">
      <c r="A1406" s="3">
        <v>18</v>
      </c>
      <c r="B1406" s="3">
        <v>8</v>
      </c>
      <c r="C1406" s="3">
        <v>30</v>
      </c>
      <c r="D1406" s="3">
        <v>23</v>
      </c>
      <c r="E1406" s="3">
        <v>-1440.832</v>
      </c>
      <c r="F1406" s="4" t="str">
        <f>HYPERLINK("http://141.218.60.56/~jnz1568/getInfo.php?workbook=18_08.xlsx&amp;sheet=A0&amp;row=1406&amp;col=6&amp;number=2867000&amp;sourceID=14","2867000")</f>
        <v>2867000</v>
      </c>
      <c r="G1406" s="4" t="str">
        <f>HYPERLINK("http://141.218.60.56/~jnz1568/getInfo.php?workbook=18_08.xlsx&amp;sheet=A0&amp;row=1406&amp;col=7&amp;number=0&amp;sourceID=14","0")</f>
        <v>0</v>
      </c>
    </row>
    <row r="1407" spans="1:7">
      <c r="A1407" s="3">
        <v>18</v>
      </c>
      <c r="B1407" s="3">
        <v>8</v>
      </c>
      <c r="C1407" s="3">
        <v>31</v>
      </c>
      <c r="D1407" s="3">
        <v>23</v>
      </c>
      <c r="E1407" s="3">
        <v>-1133.965</v>
      </c>
      <c r="F1407" s="4" t="str">
        <f>HYPERLINK("http://141.218.60.56/~jnz1568/getInfo.php?workbook=18_08.xlsx&amp;sheet=A0&amp;row=1407&amp;col=6&amp;number=2.125e-06&amp;sourceID=14","2.125e-06")</f>
        <v>2.125e-06</v>
      </c>
      <c r="G1407" s="4" t="str">
        <f>HYPERLINK("http://141.218.60.56/~jnz1568/getInfo.php?workbook=18_08.xlsx&amp;sheet=A0&amp;row=1407&amp;col=7&amp;number=0&amp;sourceID=14","0")</f>
        <v>0</v>
      </c>
    </row>
    <row r="1408" spans="1:7">
      <c r="A1408" s="3">
        <v>18</v>
      </c>
      <c r="B1408" s="3">
        <v>8</v>
      </c>
      <c r="C1408" s="3">
        <v>36</v>
      </c>
      <c r="D1408" s="3">
        <v>23</v>
      </c>
      <c r="E1408" s="3">
        <v>-712.044</v>
      </c>
      <c r="F1408" s="4" t="str">
        <f>HYPERLINK("http://141.218.60.56/~jnz1568/getInfo.php?workbook=18_08.xlsx&amp;sheet=A0&amp;row=1408&amp;col=6&amp;number=406200000&amp;sourceID=14","406200000")</f>
        <v>406200000</v>
      </c>
      <c r="G1408" s="4" t="str">
        <f>HYPERLINK("http://141.218.60.56/~jnz1568/getInfo.php?workbook=18_08.xlsx&amp;sheet=A0&amp;row=1408&amp;col=7&amp;number=0&amp;sourceID=14","0")</f>
        <v>0</v>
      </c>
    </row>
    <row r="1409" spans="1:7">
      <c r="A1409" s="3">
        <v>18</v>
      </c>
      <c r="B1409" s="3">
        <v>8</v>
      </c>
      <c r="C1409" s="3">
        <v>37</v>
      </c>
      <c r="D1409" s="3">
        <v>23</v>
      </c>
      <c r="E1409" s="3">
        <v>-727.551</v>
      </c>
      <c r="F1409" s="4" t="str">
        <f>HYPERLINK("http://141.218.60.56/~jnz1568/getInfo.php?workbook=18_08.xlsx&amp;sheet=A0&amp;row=1409&amp;col=6&amp;number=0.001215&amp;sourceID=14","0.001215")</f>
        <v>0.001215</v>
      </c>
      <c r="G1409" s="4" t="str">
        <f>HYPERLINK("http://141.218.60.56/~jnz1568/getInfo.php?workbook=18_08.xlsx&amp;sheet=A0&amp;row=1409&amp;col=7&amp;number=0&amp;sourceID=14","0")</f>
        <v>0</v>
      </c>
    </row>
    <row r="1410" spans="1:7">
      <c r="A1410" s="3">
        <v>18</v>
      </c>
      <c r="B1410" s="3">
        <v>8</v>
      </c>
      <c r="C1410" s="3">
        <v>39</v>
      </c>
      <c r="D1410" s="3">
        <v>23</v>
      </c>
      <c r="E1410" s="3">
        <v>-653.627</v>
      </c>
      <c r="F1410" s="4" t="str">
        <f>HYPERLINK("http://141.218.60.56/~jnz1568/getInfo.php?workbook=18_08.xlsx&amp;sheet=A0&amp;row=1410&amp;col=6&amp;number=0.009721&amp;sourceID=14","0.009721")</f>
        <v>0.009721</v>
      </c>
      <c r="G1410" s="4" t="str">
        <f>HYPERLINK("http://141.218.60.56/~jnz1568/getInfo.php?workbook=18_08.xlsx&amp;sheet=A0&amp;row=1410&amp;col=7&amp;number=0&amp;sourceID=14","0")</f>
        <v>0</v>
      </c>
    </row>
    <row r="1411" spans="1:7">
      <c r="A1411" s="3">
        <v>18</v>
      </c>
      <c r="B1411" s="3">
        <v>8</v>
      </c>
      <c r="C1411" s="3">
        <v>40</v>
      </c>
      <c r="D1411" s="3">
        <v>23</v>
      </c>
      <c r="E1411" s="3">
        <v>-652.928</v>
      </c>
      <c r="F1411" s="4" t="str">
        <f>HYPERLINK("http://141.218.60.56/~jnz1568/getInfo.php?workbook=18_08.xlsx&amp;sheet=A0&amp;row=1411&amp;col=6&amp;number=0.003618&amp;sourceID=14","0.003618")</f>
        <v>0.003618</v>
      </c>
      <c r="G1411" s="4" t="str">
        <f>HYPERLINK("http://141.218.60.56/~jnz1568/getInfo.php?workbook=18_08.xlsx&amp;sheet=A0&amp;row=1411&amp;col=7&amp;number=0&amp;sourceID=14","0")</f>
        <v>0</v>
      </c>
    </row>
    <row r="1412" spans="1:7">
      <c r="A1412" s="3">
        <v>18</v>
      </c>
      <c r="B1412" s="3">
        <v>8</v>
      </c>
      <c r="C1412" s="3">
        <v>43</v>
      </c>
      <c r="D1412" s="3">
        <v>23</v>
      </c>
      <c r="E1412" s="3">
        <v>-710.754</v>
      </c>
      <c r="F1412" s="4" t="str">
        <f>HYPERLINK("http://141.218.60.56/~jnz1568/getInfo.php?workbook=18_08.xlsx&amp;sheet=A0&amp;row=1412&amp;col=6&amp;number=0.05559&amp;sourceID=14","0.05559")</f>
        <v>0.05559</v>
      </c>
      <c r="G1412" s="4" t="str">
        <f>HYPERLINK("http://141.218.60.56/~jnz1568/getInfo.php?workbook=18_08.xlsx&amp;sheet=A0&amp;row=1412&amp;col=7&amp;number=0&amp;sourceID=14","0")</f>
        <v>0</v>
      </c>
    </row>
    <row r="1413" spans="1:7">
      <c r="A1413" s="3">
        <v>18</v>
      </c>
      <c r="B1413" s="3">
        <v>8</v>
      </c>
      <c r="C1413" s="3">
        <v>44</v>
      </c>
      <c r="D1413" s="3">
        <v>23</v>
      </c>
      <c r="E1413" s="3">
        <v>-809.141</v>
      </c>
      <c r="F1413" s="4" t="str">
        <f>HYPERLINK("http://141.218.60.56/~jnz1568/getInfo.php?workbook=18_08.xlsx&amp;sheet=A0&amp;row=1413&amp;col=6&amp;number=28140000&amp;sourceID=14","28140000")</f>
        <v>28140000</v>
      </c>
      <c r="G1413" s="4" t="str">
        <f>HYPERLINK("http://141.218.60.56/~jnz1568/getInfo.php?workbook=18_08.xlsx&amp;sheet=A0&amp;row=1413&amp;col=7&amp;number=0&amp;sourceID=14","0")</f>
        <v>0</v>
      </c>
    </row>
    <row r="1414" spans="1:7">
      <c r="A1414" s="3">
        <v>18</v>
      </c>
      <c r="B1414" s="3">
        <v>8</v>
      </c>
      <c r="C1414" s="3">
        <v>45</v>
      </c>
      <c r="D1414" s="3">
        <v>23</v>
      </c>
      <c r="E1414" s="3">
        <v>-720.7</v>
      </c>
      <c r="F1414" s="4" t="str">
        <f>HYPERLINK("http://141.218.60.56/~jnz1568/getInfo.php?workbook=18_08.xlsx&amp;sheet=A0&amp;row=1414&amp;col=6&amp;number=675500000&amp;sourceID=14","675500000")</f>
        <v>675500000</v>
      </c>
      <c r="G1414" s="4" t="str">
        <f>HYPERLINK("http://141.218.60.56/~jnz1568/getInfo.php?workbook=18_08.xlsx&amp;sheet=A0&amp;row=1414&amp;col=7&amp;number=0&amp;sourceID=14","0")</f>
        <v>0</v>
      </c>
    </row>
    <row r="1415" spans="1:7">
      <c r="A1415" s="3">
        <v>18</v>
      </c>
      <c r="B1415" s="3">
        <v>8</v>
      </c>
      <c r="C1415" s="3">
        <v>46</v>
      </c>
      <c r="D1415" s="3">
        <v>23</v>
      </c>
      <c r="E1415" s="3">
        <v>-668.456</v>
      </c>
      <c r="F1415" s="4" t="str">
        <f>HYPERLINK("http://141.218.60.56/~jnz1568/getInfo.php?workbook=18_08.xlsx&amp;sheet=A0&amp;row=1415&amp;col=6&amp;number=0.09371&amp;sourceID=14","0.09371")</f>
        <v>0.09371</v>
      </c>
      <c r="G1415" s="4" t="str">
        <f>HYPERLINK("http://141.218.60.56/~jnz1568/getInfo.php?workbook=18_08.xlsx&amp;sheet=A0&amp;row=1415&amp;col=7&amp;number=0&amp;sourceID=14","0")</f>
        <v>0</v>
      </c>
    </row>
    <row r="1416" spans="1:7">
      <c r="A1416" s="3">
        <v>18</v>
      </c>
      <c r="B1416" s="3">
        <v>8</v>
      </c>
      <c r="C1416" s="3">
        <v>48</v>
      </c>
      <c r="D1416" s="3">
        <v>23</v>
      </c>
      <c r="E1416" s="3">
        <v>-650.042</v>
      </c>
      <c r="F1416" s="4" t="str">
        <f>HYPERLINK("http://141.218.60.56/~jnz1568/getInfo.php?workbook=18_08.xlsx&amp;sheet=A0&amp;row=1416&amp;col=6&amp;number=168800000&amp;sourceID=14","168800000")</f>
        <v>168800000</v>
      </c>
      <c r="G1416" s="4" t="str">
        <f>HYPERLINK("http://141.218.60.56/~jnz1568/getInfo.php?workbook=18_08.xlsx&amp;sheet=A0&amp;row=1416&amp;col=7&amp;number=0&amp;sourceID=14","0")</f>
        <v>0</v>
      </c>
    </row>
    <row r="1417" spans="1:7">
      <c r="A1417" s="3">
        <v>18</v>
      </c>
      <c r="B1417" s="3">
        <v>8</v>
      </c>
      <c r="C1417" s="3">
        <v>49</v>
      </c>
      <c r="D1417" s="3">
        <v>23</v>
      </c>
      <c r="E1417" s="3">
        <v>-608.491</v>
      </c>
      <c r="F1417" s="4" t="str">
        <f>HYPERLINK("http://141.218.60.56/~jnz1568/getInfo.php?workbook=18_08.xlsx&amp;sheet=A0&amp;row=1417&amp;col=6&amp;number=0.001145&amp;sourceID=14","0.001145")</f>
        <v>0.001145</v>
      </c>
      <c r="G1417" s="4" t="str">
        <f>HYPERLINK("http://141.218.60.56/~jnz1568/getInfo.php?workbook=18_08.xlsx&amp;sheet=A0&amp;row=1417&amp;col=7&amp;number=0&amp;sourceID=14","0")</f>
        <v>0</v>
      </c>
    </row>
    <row r="1418" spans="1:7">
      <c r="A1418" s="3">
        <v>18</v>
      </c>
      <c r="B1418" s="3">
        <v>8</v>
      </c>
      <c r="C1418" s="3">
        <v>50</v>
      </c>
      <c r="D1418" s="3">
        <v>23</v>
      </c>
      <c r="E1418" s="3">
        <v>-597.935</v>
      </c>
      <c r="F1418" s="4" t="str">
        <f>HYPERLINK("http://141.218.60.56/~jnz1568/getInfo.php?workbook=18_08.xlsx&amp;sheet=A0&amp;row=1418&amp;col=6&amp;number=554500000&amp;sourceID=14","554500000")</f>
        <v>554500000</v>
      </c>
      <c r="G1418" s="4" t="str">
        <f>HYPERLINK("http://141.218.60.56/~jnz1568/getInfo.php?workbook=18_08.xlsx&amp;sheet=A0&amp;row=1418&amp;col=7&amp;number=0&amp;sourceID=14","0")</f>
        <v>0</v>
      </c>
    </row>
    <row r="1419" spans="1:7">
      <c r="A1419" s="3">
        <v>18</v>
      </c>
      <c r="B1419" s="3">
        <v>8</v>
      </c>
      <c r="C1419" s="3">
        <v>51</v>
      </c>
      <c r="D1419" s="3">
        <v>23</v>
      </c>
      <c r="E1419" s="3">
        <v>-526.478</v>
      </c>
      <c r="F1419" s="4" t="str">
        <f>HYPERLINK("http://141.218.60.56/~jnz1568/getInfo.php?workbook=18_08.xlsx&amp;sheet=A0&amp;row=1419&amp;col=6&amp;number=27.86&amp;sourceID=14","27.86")</f>
        <v>27.86</v>
      </c>
      <c r="G1419" s="4" t="str">
        <f>HYPERLINK("http://141.218.60.56/~jnz1568/getInfo.php?workbook=18_08.xlsx&amp;sheet=A0&amp;row=1419&amp;col=7&amp;number=0&amp;sourceID=14","0")</f>
        <v>0</v>
      </c>
    </row>
    <row r="1420" spans="1:7">
      <c r="A1420" s="3">
        <v>18</v>
      </c>
      <c r="B1420" s="3">
        <v>8</v>
      </c>
      <c r="C1420" s="3">
        <v>52</v>
      </c>
      <c r="D1420" s="3">
        <v>23</v>
      </c>
      <c r="E1420" s="3">
        <v>-523.746</v>
      </c>
      <c r="F1420" s="4" t="str">
        <f>HYPERLINK("http://141.218.60.56/~jnz1568/getInfo.php?workbook=18_08.xlsx&amp;sheet=A0&amp;row=1420&amp;col=6&amp;number=0.02759&amp;sourceID=14","0.02759")</f>
        <v>0.02759</v>
      </c>
      <c r="G1420" s="4" t="str">
        <f>HYPERLINK("http://141.218.60.56/~jnz1568/getInfo.php?workbook=18_08.xlsx&amp;sheet=A0&amp;row=1420&amp;col=7&amp;number=0&amp;sourceID=14","0")</f>
        <v>0</v>
      </c>
    </row>
    <row r="1421" spans="1:7">
      <c r="A1421" s="3">
        <v>18</v>
      </c>
      <c r="B1421" s="3">
        <v>8</v>
      </c>
      <c r="C1421" s="3">
        <v>55</v>
      </c>
      <c r="D1421" s="3">
        <v>23</v>
      </c>
      <c r="E1421" s="3">
        <v>-504.415</v>
      </c>
      <c r="F1421" s="4" t="str">
        <f>HYPERLINK("http://141.218.60.56/~jnz1568/getInfo.php?workbook=18_08.xlsx&amp;sheet=A0&amp;row=1421&amp;col=6&amp;number=0.1672&amp;sourceID=14","0.1672")</f>
        <v>0.1672</v>
      </c>
      <c r="G1421" s="4" t="str">
        <f>HYPERLINK("http://141.218.60.56/~jnz1568/getInfo.php?workbook=18_08.xlsx&amp;sheet=A0&amp;row=1421&amp;col=7&amp;number=0&amp;sourceID=14","0")</f>
        <v>0</v>
      </c>
    </row>
    <row r="1422" spans="1:7">
      <c r="A1422" s="3">
        <v>18</v>
      </c>
      <c r="B1422" s="3">
        <v>8</v>
      </c>
      <c r="C1422" s="3">
        <v>56</v>
      </c>
      <c r="D1422" s="3">
        <v>23</v>
      </c>
      <c r="E1422" s="3">
        <v>-406.149</v>
      </c>
      <c r="F1422" s="4" t="str">
        <f>HYPERLINK("http://141.218.60.56/~jnz1568/getInfo.php?workbook=18_08.xlsx&amp;sheet=A0&amp;row=1422&amp;col=6&amp;number=871.9&amp;sourceID=14","871.9")</f>
        <v>871.9</v>
      </c>
      <c r="G1422" s="4" t="str">
        <f>HYPERLINK("http://141.218.60.56/~jnz1568/getInfo.php?workbook=18_08.xlsx&amp;sheet=A0&amp;row=1422&amp;col=7&amp;number=0&amp;sourceID=14","0")</f>
        <v>0</v>
      </c>
    </row>
    <row r="1423" spans="1:7">
      <c r="A1423" s="3">
        <v>18</v>
      </c>
      <c r="B1423" s="3">
        <v>8</v>
      </c>
      <c r="C1423" s="3">
        <v>64</v>
      </c>
      <c r="D1423" s="3">
        <v>23</v>
      </c>
      <c r="E1423" s="3">
        <v>-358.482</v>
      </c>
      <c r="F1423" s="4" t="str">
        <f>HYPERLINK("http://141.218.60.56/~jnz1568/getInfo.php?workbook=18_08.xlsx&amp;sheet=A0&amp;row=1423&amp;col=6&amp;number=0.04959&amp;sourceID=14","0.04959")</f>
        <v>0.04959</v>
      </c>
      <c r="G1423" s="4" t="str">
        <f>HYPERLINK("http://141.218.60.56/~jnz1568/getInfo.php?workbook=18_08.xlsx&amp;sheet=A0&amp;row=1423&amp;col=7&amp;number=0&amp;sourceID=14","0")</f>
        <v>0</v>
      </c>
    </row>
    <row r="1424" spans="1:7">
      <c r="A1424" s="3">
        <v>18</v>
      </c>
      <c r="B1424" s="3">
        <v>8</v>
      </c>
      <c r="C1424" s="3">
        <v>66</v>
      </c>
      <c r="D1424" s="3">
        <v>23</v>
      </c>
      <c r="E1424" s="3">
        <v>-360.85</v>
      </c>
      <c r="F1424" s="4" t="str">
        <f>HYPERLINK("http://141.218.60.56/~jnz1568/getInfo.php?workbook=18_08.xlsx&amp;sheet=A0&amp;row=1424&amp;col=6&amp;number=0.9171&amp;sourceID=14","0.9171")</f>
        <v>0.9171</v>
      </c>
      <c r="G1424" s="4" t="str">
        <f>HYPERLINK("http://141.218.60.56/~jnz1568/getInfo.php?workbook=18_08.xlsx&amp;sheet=A0&amp;row=1424&amp;col=7&amp;number=0&amp;sourceID=14","0")</f>
        <v>0</v>
      </c>
    </row>
    <row r="1425" spans="1:7">
      <c r="A1425" s="3">
        <v>18</v>
      </c>
      <c r="B1425" s="3">
        <v>8</v>
      </c>
      <c r="C1425" s="3">
        <v>67</v>
      </c>
      <c r="D1425" s="3">
        <v>23</v>
      </c>
      <c r="E1425" s="3">
        <v>-370.974</v>
      </c>
      <c r="F1425" s="4" t="str">
        <f>HYPERLINK("http://141.218.60.56/~jnz1568/getInfo.php?workbook=18_08.xlsx&amp;sheet=A0&amp;row=1425&amp;col=6&amp;number=0.5386&amp;sourceID=14","0.5386")</f>
        <v>0.5386</v>
      </c>
      <c r="G1425" s="4" t="str">
        <f>HYPERLINK("http://141.218.60.56/~jnz1568/getInfo.php?workbook=18_08.xlsx&amp;sheet=A0&amp;row=1425&amp;col=7&amp;number=0&amp;sourceID=14","0")</f>
        <v>0</v>
      </c>
    </row>
    <row r="1426" spans="1:7">
      <c r="A1426" s="3">
        <v>18</v>
      </c>
      <c r="B1426" s="3">
        <v>8</v>
      </c>
      <c r="C1426" s="3">
        <v>69</v>
      </c>
      <c r="D1426" s="3">
        <v>23</v>
      </c>
      <c r="E1426" s="3">
        <v>-347.957</v>
      </c>
      <c r="F1426" s="4" t="str">
        <f>HYPERLINK("http://141.218.60.56/~jnz1568/getInfo.php?workbook=18_08.xlsx&amp;sheet=A0&amp;row=1426&amp;col=6&amp;number=967&amp;sourceID=14","967")</f>
        <v>967</v>
      </c>
      <c r="G1426" s="4" t="str">
        <f>HYPERLINK("http://141.218.60.56/~jnz1568/getInfo.php?workbook=18_08.xlsx&amp;sheet=A0&amp;row=1426&amp;col=7&amp;number=0&amp;sourceID=14","0")</f>
        <v>0</v>
      </c>
    </row>
    <row r="1427" spans="1:7">
      <c r="A1427" s="3">
        <v>18</v>
      </c>
      <c r="B1427" s="3">
        <v>8</v>
      </c>
      <c r="C1427" s="3">
        <v>71</v>
      </c>
      <c r="D1427" s="3">
        <v>23</v>
      </c>
      <c r="E1427" s="3">
        <v>-342.358</v>
      </c>
      <c r="F1427" s="4" t="str">
        <f>HYPERLINK("http://141.218.60.56/~jnz1568/getInfo.php?workbook=18_08.xlsx&amp;sheet=A0&amp;row=1427&amp;col=6&amp;number=0.01002&amp;sourceID=14","0.01002")</f>
        <v>0.01002</v>
      </c>
      <c r="G1427" s="4" t="str">
        <f>HYPERLINK("http://141.218.60.56/~jnz1568/getInfo.php?workbook=18_08.xlsx&amp;sheet=A0&amp;row=1427&amp;col=7&amp;number=0&amp;sourceID=14","0")</f>
        <v>0</v>
      </c>
    </row>
    <row r="1428" spans="1:7">
      <c r="A1428" s="3">
        <v>18</v>
      </c>
      <c r="B1428" s="3">
        <v>8</v>
      </c>
      <c r="C1428" s="3">
        <v>72</v>
      </c>
      <c r="D1428" s="3">
        <v>23</v>
      </c>
      <c r="E1428" s="3">
        <v>-350.457</v>
      </c>
      <c r="F1428" s="4" t="str">
        <f>HYPERLINK("http://141.218.60.56/~jnz1568/getInfo.php?workbook=18_08.xlsx&amp;sheet=A0&amp;row=1428&amp;col=6&amp;number=3.019&amp;sourceID=14","3.019")</f>
        <v>3.019</v>
      </c>
      <c r="G1428" s="4" t="str">
        <f>HYPERLINK("http://141.218.60.56/~jnz1568/getInfo.php?workbook=18_08.xlsx&amp;sheet=A0&amp;row=1428&amp;col=7&amp;number=0&amp;sourceID=14","0")</f>
        <v>0</v>
      </c>
    </row>
    <row r="1429" spans="1:7">
      <c r="A1429" s="3">
        <v>18</v>
      </c>
      <c r="B1429" s="3">
        <v>8</v>
      </c>
      <c r="C1429" s="3">
        <v>73</v>
      </c>
      <c r="D1429" s="3">
        <v>23</v>
      </c>
      <c r="E1429" s="3">
        <v>-337.095</v>
      </c>
      <c r="F1429" s="4" t="str">
        <f>HYPERLINK("http://141.218.60.56/~jnz1568/getInfo.php?workbook=18_08.xlsx&amp;sheet=A0&amp;row=1429&amp;col=6&amp;number=0.008024&amp;sourceID=14","0.008024")</f>
        <v>0.008024</v>
      </c>
      <c r="G1429" s="4" t="str">
        <f>HYPERLINK("http://141.218.60.56/~jnz1568/getInfo.php?workbook=18_08.xlsx&amp;sheet=A0&amp;row=1429&amp;col=7&amp;number=0&amp;sourceID=14","0")</f>
        <v>0</v>
      </c>
    </row>
    <row r="1430" spans="1:7">
      <c r="A1430" s="3">
        <v>18</v>
      </c>
      <c r="B1430" s="3">
        <v>8</v>
      </c>
      <c r="C1430" s="3">
        <v>75</v>
      </c>
      <c r="D1430" s="3">
        <v>23</v>
      </c>
      <c r="E1430" s="3">
        <v>-317.946</v>
      </c>
      <c r="F1430" s="4" t="str">
        <f>HYPERLINK("http://141.218.60.56/~jnz1568/getInfo.php?workbook=18_08.xlsx&amp;sheet=A0&amp;row=1430&amp;col=6&amp;number=37460&amp;sourceID=14","37460")</f>
        <v>37460</v>
      </c>
      <c r="G1430" s="4" t="str">
        <f>HYPERLINK("http://141.218.60.56/~jnz1568/getInfo.php?workbook=18_08.xlsx&amp;sheet=A0&amp;row=1430&amp;col=7&amp;number=0&amp;sourceID=14","0")</f>
        <v>0</v>
      </c>
    </row>
    <row r="1431" spans="1:7">
      <c r="A1431" s="3">
        <v>18</v>
      </c>
      <c r="B1431" s="3">
        <v>8</v>
      </c>
      <c r="C1431" s="3">
        <v>79</v>
      </c>
      <c r="D1431" s="3">
        <v>23</v>
      </c>
      <c r="E1431" s="3">
        <v>-314.142</v>
      </c>
      <c r="F1431" s="4" t="str">
        <f>HYPERLINK("http://141.218.60.56/~jnz1568/getInfo.php?workbook=18_08.xlsx&amp;sheet=A0&amp;row=1431&amp;col=6&amp;number=0.8053&amp;sourceID=14","0.8053")</f>
        <v>0.8053</v>
      </c>
      <c r="G1431" s="4" t="str">
        <f>HYPERLINK("http://141.218.60.56/~jnz1568/getInfo.php?workbook=18_08.xlsx&amp;sheet=A0&amp;row=1431&amp;col=7&amp;number=0&amp;sourceID=14","0")</f>
        <v>0</v>
      </c>
    </row>
    <row r="1432" spans="1:7">
      <c r="A1432" s="3">
        <v>18</v>
      </c>
      <c r="B1432" s="3">
        <v>8</v>
      </c>
      <c r="C1432" s="3">
        <v>80</v>
      </c>
      <c r="D1432" s="3">
        <v>23</v>
      </c>
      <c r="E1432" s="3">
        <v>-312.241</v>
      </c>
      <c r="F1432" s="4" t="str">
        <f>HYPERLINK("http://141.218.60.56/~jnz1568/getInfo.php?workbook=18_08.xlsx&amp;sheet=A0&amp;row=1432&amp;col=6&amp;number=9750&amp;sourceID=14","9750")</f>
        <v>9750</v>
      </c>
      <c r="G1432" s="4" t="str">
        <f>HYPERLINK("http://141.218.60.56/~jnz1568/getInfo.php?workbook=18_08.xlsx&amp;sheet=A0&amp;row=1432&amp;col=7&amp;number=0&amp;sourceID=14","0")</f>
        <v>0</v>
      </c>
    </row>
    <row r="1433" spans="1:7">
      <c r="A1433" s="3">
        <v>18</v>
      </c>
      <c r="B1433" s="3">
        <v>8</v>
      </c>
      <c r="C1433" s="3">
        <v>81</v>
      </c>
      <c r="D1433" s="3">
        <v>23</v>
      </c>
      <c r="E1433" s="3">
        <v>-302.485</v>
      </c>
      <c r="F1433" s="4" t="str">
        <f>HYPERLINK("http://141.218.60.56/~jnz1568/getInfo.php?workbook=18_08.xlsx&amp;sheet=A0&amp;row=1433&amp;col=6&amp;number=16210&amp;sourceID=14","16210")</f>
        <v>16210</v>
      </c>
      <c r="G1433" s="4" t="str">
        <f>HYPERLINK("http://141.218.60.56/~jnz1568/getInfo.php?workbook=18_08.xlsx&amp;sheet=A0&amp;row=1433&amp;col=7&amp;number=0&amp;sourceID=14","0")</f>
        <v>0</v>
      </c>
    </row>
    <row r="1434" spans="1:7">
      <c r="A1434" s="3">
        <v>18</v>
      </c>
      <c r="B1434" s="3">
        <v>8</v>
      </c>
      <c r="C1434" s="3">
        <v>83</v>
      </c>
      <c r="D1434" s="3">
        <v>23</v>
      </c>
      <c r="E1434" s="3">
        <v>-299.331</v>
      </c>
      <c r="F1434" s="4" t="str">
        <f>HYPERLINK("http://141.218.60.56/~jnz1568/getInfo.php?workbook=18_08.xlsx&amp;sheet=A0&amp;row=1434&amp;col=6&amp;number=0.195&amp;sourceID=14","0.195")</f>
        <v>0.195</v>
      </c>
      <c r="G1434" s="4" t="str">
        <f>HYPERLINK("http://141.218.60.56/~jnz1568/getInfo.php?workbook=18_08.xlsx&amp;sheet=A0&amp;row=1434&amp;col=7&amp;number=0&amp;sourceID=14","0")</f>
        <v>0</v>
      </c>
    </row>
    <row r="1435" spans="1:7">
      <c r="A1435" s="3">
        <v>18</v>
      </c>
      <c r="B1435" s="3">
        <v>8</v>
      </c>
      <c r="C1435" s="3">
        <v>84</v>
      </c>
      <c r="D1435" s="3">
        <v>23</v>
      </c>
      <c r="E1435" s="3">
        <v>-288.329</v>
      </c>
      <c r="F1435" s="4" t="str">
        <f>HYPERLINK("http://141.218.60.56/~jnz1568/getInfo.php?workbook=18_08.xlsx&amp;sheet=A0&amp;row=1435&amp;col=6&amp;number=982.3&amp;sourceID=14","982.3")</f>
        <v>982.3</v>
      </c>
      <c r="G1435" s="4" t="str">
        <f>HYPERLINK("http://141.218.60.56/~jnz1568/getInfo.php?workbook=18_08.xlsx&amp;sheet=A0&amp;row=1435&amp;col=7&amp;number=0&amp;sourceID=14","0")</f>
        <v>0</v>
      </c>
    </row>
    <row r="1436" spans="1:7">
      <c r="A1436" s="3">
        <v>18</v>
      </c>
      <c r="B1436" s="3">
        <v>8</v>
      </c>
      <c r="C1436" s="3">
        <v>86</v>
      </c>
      <c r="D1436" s="3">
        <v>23</v>
      </c>
      <c r="E1436" s="3">
        <v>-262.149</v>
      </c>
      <c r="F1436" s="4" t="str">
        <f>HYPERLINK("http://141.218.60.56/~jnz1568/getInfo.php?workbook=18_08.xlsx&amp;sheet=A0&amp;row=1436&amp;col=6&amp;number=1.344&amp;sourceID=14","1.344")</f>
        <v>1.344</v>
      </c>
      <c r="G1436" s="4" t="str">
        <f>HYPERLINK("http://141.218.60.56/~jnz1568/getInfo.php?workbook=18_08.xlsx&amp;sheet=A0&amp;row=1436&amp;col=7&amp;number=0&amp;sourceID=14","0")</f>
        <v>0</v>
      </c>
    </row>
    <row r="1437" spans="1:7">
      <c r="A1437" s="3">
        <v>18</v>
      </c>
      <c r="B1437" s="3">
        <v>8</v>
      </c>
      <c r="C1437" s="3">
        <v>25</v>
      </c>
      <c r="D1437" s="3">
        <v>24</v>
      </c>
      <c r="E1437" s="3">
        <v>-22658.33</v>
      </c>
      <c r="F1437" s="4" t="str">
        <f>HYPERLINK("http://141.218.60.56/~jnz1568/getInfo.php?workbook=18_08.xlsx&amp;sheet=A0&amp;row=1437&amp;col=6&amp;number=1.069&amp;sourceID=14","1.069")</f>
        <v>1.069</v>
      </c>
      <c r="G1437" s="4" t="str">
        <f>HYPERLINK("http://141.218.60.56/~jnz1568/getInfo.php?workbook=18_08.xlsx&amp;sheet=A0&amp;row=1437&amp;col=7&amp;number=0&amp;sourceID=14","0")</f>
        <v>0</v>
      </c>
    </row>
    <row r="1438" spans="1:7">
      <c r="A1438" s="3">
        <v>18</v>
      </c>
      <c r="B1438" s="3">
        <v>8</v>
      </c>
      <c r="C1438" s="3">
        <v>26</v>
      </c>
      <c r="D1438" s="3">
        <v>24</v>
      </c>
      <c r="E1438" s="3">
        <v>-5133.001</v>
      </c>
      <c r="F1438" s="4" t="str">
        <f>HYPERLINK("http://141.218.60.56/~jnz1568/getInfo.php?workbook=18_08.xlsx&amp;sheet=A0&amp;row=1438&amp;col=6&amp;number=0.6235&amp;sourceID=14","0.6235")</f>
        <v>0.6235</v>
      </c>
      <c r="G1438" s="4" t="str">
        <f>HYPERLINK("http://141.218.60.56/~jnz1568/getInfo.php?workbook=18_08.xlsx&amp;sheet=A0&amp;row=1438&amp;col=7&amp;number=0&amp;sourceID=14","0")</f>
        <v>0</v>
      </c>
    </row>
    <row r="1439" spans="1:7">
      <c r="A1439" s="3">
        <v>18</v>
      </c>
      <c r="B1439" s="3">
        <v>8</v>
      </c>
      <c r="C1439" s="3">
        <v>27</v>
      </c>
      <c r="D1439" s="3">
        <v>24</v>
      </c>
      <c r="E1439" s="3">
        <v>-1254.635</v>
      </c>
      <c r="F1439" s="4" t="str">
        <f>HYPERLINK("http://141.218.60.56/~jnz1568/getInfo.php?workbook=18_08.xlsx&amp;sheet=A0&amp;row=1439&amp;col=6&amp;number=6445000&amp;sourceID=14","6445000")</f>
        <v>6445000</v>
      </c>
      <c r="G1439" s="4" t="str">
        <f>HYPERLINK("http://141.218.60.56/~jnz1568/getInfo.php?workbook=18_08.xlsx&amp;sheet=A0&amp;row=1439&amp;col=7&amp;number=0&amp;sourceID=14","0")</f>
        <v>0</v>
      </c>
    </row>
    <row r="1440" spans="1:7">
      <c r="A1440" s="3">
        <v>18</v>
      </c>
      <c r="B1440" s="3">
        <v>8</v>
      </c>
      <c r="C1440" s="3">
        <v>28</v>
      </c>
      <c r="D1440" s="3">
        <v>24</v>
      </c>
      <c r="E1440" s="3">
        <v>-1309.236</v>
      </c>
      <c r="F1440" s="4" t="str">
        <f>HYPERLINK("http://141.218.60.56/~jnz1568/getInfo.php?workbook=18_08.xlsx&amp;sheet=A0&amp;row=1440&amp;col=6&amp;number=9588000&amp;sourceID=14","9588000")</f>
        <v>9588000</v>
      </c>
      <c r="G1440" s="4" t="str">
        <f>HYPERLINK("http://141.218.60.56/~jnz1568/getInfo.php?workbook=18_08.xlsx&amp;sheet=A0&amp;row=1440&amp;col=7&amp;number=0&amp;sourceID=14","0")</f>
        <v>0</v>
      </c>
    </row>
    <row r="1441" spans="1:7">
      <c r="A1441" s="3">
        <v>18</v>
      </c>
      <c r="B1441" s="3">
        <v>8</v>
      </c>
      <c r="C1441" s="3">
        <v>29</v>
      </c>
      <c r="D1441" s="3">
        <v>24</v>
      </c>
      <c r="E1441" s="3">
        <v>-1243.06</v>
      </c>
      <c r="F1441" s="4" t="str">
        <f>HYPERLINK("http://141.218.60.56/~jnz1568/getInfo.php?workbook=18_08.xlsx&amp;sheet=A0&amp;row=1441&amp;col=6&amp;number=0.0002776&amp;sourceID=14","0.0002776")</f>
        <v>0.0002776</v>
      </c>
      <c r="G1441" s="4" t="str">
        <f>HYPERLINK("http://141.218.60.56/~jnz1568/getInfo.php?workbook=18_08.xlsx&amp;sheet=A0&amp;row=1441&amp;col=7&amp;number=0&amp;sourceID=14","0")</f>
        <v>0</v>
      </c>
    </row>
    <row r="1442" spans="1:7">
      <c r="A1442" s="3">
        <v>18</v>
      </c>
      <c r="B1442" s="3">
        <v>8</v>
      </c>
      <c r="C1442" s="3">
        <v>30</v>
      </c>
      <c r="D1442" s="3">
        <v>24</v>
      </c>
      <c r="E1442" s="3">
        <v>-1474.358</v>
      </c>
      <c r="F1442" s="4" t="str">
        <f>HYPERLINK("http://141.218.60.56/~jnz1568/getInfo.php?workbook=18_08.xlsx&amp;sheet=A0&amp;row=1442&amp;col=6&amp;number=35900&amp;sourceID=14","35900")</f>
        <v>35900</v>
      </c>
      <c r="G1442" s="4" t="str">
        <f>HYPERLINK("http://141.218.60.56/~jnz1568/getInfo.php?workbook=18_08.xlsx&amp;sheet=A0&amp;row=1442&amp;col=7&amp;number=0&amp;sourceID=14","0")</f>
        <v>0</v>
      </c>
    </row>
    <row r="1443" spans="1:7">
      <c r="A1443" s="3">
        <v>18</v>
      </c>
      <c r="B1443" s="3">
        <v>8</v>
      </c>
      <c r="C1443" s="3">
        <v>31</v>
      </c>
      <c r="D1443" s="3">
        <v>24</v>
      </c>
      <c r="E1443" s="3">
        <v>-1154.629</v>
      </c>
      <c r="F1443" s="4" t="str">
        <f>HYPERLINK("http://141.218.60.56/~jnz1568/getInfo.php?workbook=18_08.xlsx&amp;sheet=A0&amp;row=1443&amp;col=6&amp;number=1244000&amp;sourceID=14","1244000")</f>
        <v>1244000</v>
      </c>
      <c r="G1443" s="4" t="str">
        <f>HYPERLINK("http://141.218.60.56/~jnz1568/getInfo.php?workbook=18_08.xlsx&amp;sheet=A0&amp;row=1443&amp;col=7&amp;number=0&amp;sourceID=14","0")</f>
        <v>0</v>
      </c>
    </row>
    <row r="1444" spans="1:7">
      <c r="A1444" s="3">
        <v>18</v>
      </c>
      <c r="B1444" s="3">
        <v>8</v>
      </c>
      <c r="C1444" s="3">
        <v>32</v>
      </c>
      <c r="D1444" s="3">
        <v>24</v>
      </c>
      <c r="E1444" s="3">
        <v>-1117.134</v>
      </c>
      <c r="F1444" s="4" t="str">
        <f>HYPERLINK("http://141.218.60.56/~jnz1568/getInfo.php?workbook=18_08.xlsx&amp;sheet=A0&amp;row=1444&amp;col=6&amp;number=6.232e-05&amp;sourceID=14","6.232e-05")</f>
        <v>6.232e-05</v>
      </c>
      <c r="G1444" s="4" t="str">
        <f>HYPERLINK("http://141.218.60.56/~jnz1568/getInfo.php?workbook=18_08.xlsx&amp;sheet=A0&amp;row=1444&amp;col=7&amp;number=0&amp;sourceID=14","0")</f>
        <v>0</v>
      </c>
    </row>
    <row r="1445" spans="1:7">
      <c r="A1445" s="3">
        <v>18</v>
      </c>
      <c r="B1445" s="3">
        <v>8</v>
      </c>
      <c r="C1445" s="3">
        <v>34</v>
      </c>
      <c r="D1445" s="3">
        <v>24</v>
      </c>
      <c r="E1445" s="3">
        <v>-1043.963</v>
      </c>
      <c r="F1445" s="4" t="str">
        <f>HYPERLINK("http://141.218.60.56/~jnz1568/getInfo.php?workbook=18_08.xlsx&amp;sheet=A0&amp;row=1445&amp;col=6&amp;number=4.417e-06&amp;sourceID=14","4.417e-06")</f>
        <v>4.417e-06</v>
      </c>
      <c r="G1445" s="4" t="str">
        <f>HYPERLINK("http://141.218.60.56/~jnz1568/getInfo.php?workbook=18_08.xlsx&amp;sheet=A0&amp;row=1445&amp;col=7&amp;number=0&amp;sourceID=14","0")</f>
        <v>0</v>
      </c>
    </row>
    <row r="1446" spans="1:7">
      <c r="A1446" s="3">
        <v>18</v>
      </c>
      <c r="B1446" s="3">
        <v>8</v>
      </c>
      <c r="C1446" s="3">
        <v>35</v>
      </c>
      <c r="D1446" s="3">
        <v>24</v>
      </c>
      <c r="E1446" s="3">
        <v>-774.703</v>
      </c>
      <c r="F1446" s="4" t="str">
        <f>HYPERLINK("http://141.218.60.56/~jnz1568/getInfo.php?workbook=18_08.xlsx&amp;sheet=A0&amp;row=1446&amp;col=6&amp;number=112700000&amp;sourceID=14","112700000")</f>
        <v>112700000</v>
      </c>
      <c r="G1446" s="4" t="str">
        <f>HYPERLINK("http://141.218.60.56/~jnz1568/getInfo.php?workbook=18_08.xlsx&amp;sheet=A0&amp;row=1446&amp;col=7&amp;number=0&amp;sourceID=14","0")</f>
        <v>0</v>
      </c>
    </row>
    <row r="1447" spans="1:7">
      <c r="A1447" s="3">
        <v>18</v>
      </c>
      <c r="B1447" s="3">
        <v>8</v>
      </c>
      <c r="C1447" s="3">
        <v>36</v>
      </c>
      <c r="D1447" s="3">
        <v>24</v>
      </c>
      <c r="E1447" s="3">
        <v>-720.137</v>
      </c>
      <c r="F1447" s="4" t="str">
        <f>HYPERLINK("http://141.218.60.56/~jnz1568/getInfo.php?workbook=18_08.xlsx&amp;sheet=A0&amp;row=1447&amp;col=6&amp;number=281800000&amp;sourceID=14","281800000")</f>
        <v>281800000</v>
      </c>
      <c r="G1447" s="4" t="str">
        <f>HYPERLINK("http://141.218.60.56/~jnz1568/getInfo.php?workbook=18_08.xlsx&amp;sheet=A0&amp;row=1447&amp;col=7&amp;number=0&amp;sourceID=14","0")</f>
        <v>0</v>
      </c>
    </row>
    <row r="1448" spans="1:7">
      <c r="A1448" s="3">
        <v>18</v>
      </c>
      <c r="B1448" s="3">
        <v>8</v>
      </c>
      <c r="C1448" s="3">
        <v>37</v>
      </c>
      <c r="D1448" s="3">
        <v>24</v>
      </c>
      <c r="E1448" s="3">
        <v>-736.003</v>
      </c>
      <c r="F1448" s="4" t="str">
        <f>HYPERLINK("http://141.218.60.56/~jnz1568/getInfo.php?workbook=18_08.xlsx&amp;sheet=A0&amp;row=1448&amp;col=6&amp;number=51470000&amp;sourceID=14","51470000")</f>
        <v>51470000</v>
      </c>
      <c r="G1448" s="4" t="str">
        <f>HYPERLINK("http://141.218.60.56/~jnz1568/getInfo.php?workbook=18_08.xlsx&amp;sheet=A0&amp;row=1448&amp;col=7&amp;number=0&amp;sourceID=14","0")</f>
        <v>0</v>
      </c>
    </row>
    <row r="1449" spans="1:7">
      <c r="A1449" s="3">
        <v>18</v>
      </c>
      <c r="B1449" s="3">
        <v>8</v>
      </c>
      <c r="C1449" s="3">
        <v>38</v>
      </c>
      <c r="D1449" s="3">
        <v>24</v>
      </c>
      <c r="E1449" s="3">
        <v>-660.847</v>
      </c>
      <c r="F1449" s="4" t="str">
        <f>HYPERLINK("http://141.218.60.56/~jnz1568/getInfo.php?workbook=18_08.xlsx&amp;sheet=A0&amp;row=1449&amp;col=6&amp;number=0.001322&amp;sourceID=14","0.001322")</f>
        <v>0.001322</v>
      </c>
      <c r="G1449" s="4" t="str">
        <f>HYPERLINK("http://141.218.60.56/~jnz1568/getInfo.php?workbook=18_08.xlsx&amp;sheet=A0&amp;row=1449&amp;col=7&amp;number=0&amp;sourceID=14","0")</f>
        <v>0</v>
      </c>
    </row>
    <row r="1450" spans="1:7">
      <c r="A1450" s="3">
        <v>18</v>
      </c>
      <c r="B1450" s="3">
        <v>8</v>
      </c>
      <c r="C1450" s="3">
        <v>39</v>
      </c>
      <c r="D1450" s="3">
        <v>24</v>
      </c>
      <c r="E1450" s="3">
        <v>-660.44</v>
      </c>
      <c r="F1450" s="4" t="str">
        <f>HYPERLINK("http://141.218.60.56/~jnz1568/getInfo.php?workbook=18_08.xlsx&amp;sheet=A0&amp;row=1450&amp;col=6&amp;number=0.008501&amp;sourceID=14","0.008501")</f>
        <v>0.008501</v>
      </c>
      <c r="G1450" s="4" t="str">
        <f>HYPERLINK("http://141.218.60.56/~jnz1568/getInfo.php?workbook=18_08.xlsx&amp;sheet=A0&amp;row=1450&amp;col=7&amp;number=0&amp;sourceID=14","0")</f>
        <v>0</v>
      </c>
    </row>
    <row r="1451" spans="1:7">
      <c r="A1451" s="3">
        <v>18</v>
      </c>
      <c r="B1451" s="3">
        <v>8</v>
      </c>
      <c r="C1451" s="3">
        <v>40</v>
      </c>
      <c r="D1451" s="3">
        <v>24</v>
      </c>
      <c r="E1451" s="3">
        <v>-659.726</v>
      </c>
      <c r="F1451" s="4" t="str">
        <f>HYPERLINK("http://141.218.60.56/~jnz1568/getInfo.php?workbook=18_08.xlsx&amp;sheet=A0&amp;row=1451&amp;col=6&amp;number=0.01507&amp;sourceID=14","0.01507")</f>
        <v>0.01507</v>
      </c>
      <c r="G1451" s="4" t="str">
        <f>HYPERLINK("http://141.218.60.56/~jnz1568/getInfo.php?workbook=18_08.xlsx&amp;sheet=A0&amp;row=1451&amp;col=7&amp;number=0&amp;sourceID=14","0")</f>
        <v>0</v>
      </c>
    </row>
    <row r="1452" spans="1:7">
      <c r="A1452" s="3">
        <v>18</v>
      </c>
      <c r="B1452" s="3">
        <v>8</v>
      </c>
      <c r="C1452" s="3">
        <v>41</v>
      </c>
      <c r="D1452" s="3">
        <v>24</v>
      </c>
      <c r="E1452" s="3">
        <v>-658.701</v>
      </c>
      <c r="F1452" s="4" t="str">
        <f>HYPERLINK("http://141.218.60.56/~jnz1568/getInfo.php?workbook=18_08.xlsx&amp;sheet=A0&amp;row=1452&amp;col=6&amp;number=0.007921&amp;sourceID=14","0.007921")</f>
        <v>0.007921</v>
      </c>
      <c r="G1452" s="4" t="str">
        <f>HYPERLINK("http://141.218.60.56/~jnz1568/getInfo.php?workbook=18_08.xlsx&amp;sheet=A0&amp;row=1452&amp;col=7&amp;number=0&amp;sourceID=14","0")</f>
        <v>0</v>
      </c>
    </row>
    <row r="1453" spans="1:7">
      <c r="A1453" s="3">
        <v>18</v>
      </c>
      <c r="B1453" s="3">
        <v>8</v>
      </c>
      <c r="C1453" s="3">
        <v>43</v>
      </c>
      <c r="D1453" s="3">
        <v>24</v>
      </c>
      <c r="E1453" s="3">
        <v>-718.817</v>
      </c>
      <c r="F1453" s="4" t="str">
        <f>HYPERLINK("http://141.218.60.56/~jnz1568/getInfo.php?workbook=18_08.xlsx&amp;sheet=A0&amp;row=1453&amp;col=6&amp;number=989000000&amp;sourceID=14","989000000")</f>
        <v>989000000</v>
      </c>
      <c r="G1453" s="4" t="str">
        <f>HYPERLINK("http://141.218.60.56/~jnz1568/getInfo.php?workbook=18_08.xlsx&amp;sheet=A0&amp;row=1453&amp;col=7&amp;number=0&amp;sourceID=14","0")</f>
        <v>0</v>
      </c>
    </row>
    <row r="1454" spans="1:7">
      <c r="A1454" s="3">
        <v>18</v>
      </c>
      <c r="B1454" s="3">
        <v>8</v>
      </c>
      <c r="C1454" s="3">
        <v>44</v>
      </c>
      <c r="D1454" s="3">
        <v>24</v>
      </c>
      <c r="E1454" s="3">
        <v>-819.607</v>
      </c>
      <c r="F1454" s="4" t="str">
        <f>HYPERLINK("http://141.218.60.56/~jnz1568/getInfo.php?workbook=18_08.xlsx&amp;sheet=A0&amp;row=1454&amp;col=6&amp;number=84290000&amp;sourceID=14","84290000")</f>
        <v>84290000</v>
      </c>
      <c r="G1454" s="4" t="str">
        <f>HYPERLINK("http://141.218.60.56/~jnz1568/getInfo.php?workbook=18_08.xlsx&amp;sheet=A0&amp;row=1454&amp;col=7&amp;number=0&amp;sourceID=14","0")</f>
        <v>0</v>
      </c>
    </row>
    <row r="1455" spans="1:7">
      <c r="A1455" s="3">
        <v>18</v>
      </c>
      <c r="B1455" s="3">
        <v>8</v>
      </c>
      <c r="C1455" s="3">
        <v>45</v>
      </c>
      <c r="D1455" s="3">
        <v>24</v>
      </c>
      <c r="E1455" s="3">
        <v>-728.992</v>
      </c>
      <c r="F1455" s="4" t="str">
        <f>HYPERLINK("http://141.218.60.56/~jnz1568/getInfo.php?workbook=18_08.xlsx&amp;sheet=A0&amp;row=1455&amp;col=6&amp;number=745300000&amp;sourceID=14","745300000")</f>
        <v>745300000</v>
      </c>
      <c r="G1455" s="4" t="str">
        <f>HYPERLINK("http://141.218.60.56/~jnz1568/getInfo.php?workbook=18_08.xlsx&amp;sheet=A0&amp;row=1455&amp;col=7&amp;number=0&amp;sourceID=14","0")</f>
        <v>0</v>
      </c>
    </row>
    <row r="1456" spans="1:7">
      <c r="A1456" s="3">
        <v>18</v>
      </c>
      <c r="B1456" s="3">
        <v>8</v>
      </c>
      <c r="C1456" s="3">
        <v>46</v>
      </c>
      <c r="D1456" s="3">
        <v>24</v>
      </c>
      <c r="E1456" s="3">
        <v>-675.583</v>
      </c>
      <c r="F1456" s="4" t="str">
        <f>HYPERLINK("http://141.218.60.56/~jnz1568/getInfo.php?workbook=18_08.xlsx&amp;sheet=A0&amp;row=1456&amp;col=6&amp;number=420100000&amp;sourceID=14","420100000")</f>
        <v>420100000</v>
      </c>
      <c r="G1456" s="4" t="str">
        <f>HYPERLINK("http://141.218.60.56/~jnz1568/getInfo.php?workbook=18_08.xlsx&amp;sheet=A0&amp;row=1456&amp;col=7&amp;number=0&amp;sourceID=14","0")</f>
        <v>0</v>
      </c>
    </row>
    <row r="1457" spans="1:7">
      <c r="A1457" s="3">
        <v>18</v>
      </c>
      <c r="B1457" s="3">
        <v>8</v>
      </c>
      <c r="C1457" s="3">
        <v>47</v>
      </c>
      <c r="D1457" s="3">
        <v>24</v>
      </c>
      <c r="E1457" s="3">
        <v>-700.727</v>
      </c>
      <c r="F1457" s="4" t="str">
        <f>HYPERLINK("http://141.218.60.56/~jnz1568/getInfo.php?workbook=18_08.xlsx&amp;sheet=A0&amp;row=1457&amp;col=6&amp;number=0.05858&amp;sourceID=14","0.05858")</f>
        <v>0.05858</v>
      </c>
      <c r="G1457" s="4" t="str">
        <f>HYPERLINK("http://141.218.60.56/~jnz1568/getInfo.php?workbook=18_08.xlsx&amp;sheet=A0&amp;row=1457&amp;col=7&amp;number=0&amp;sourceID=14","0")</f>
        <v>0</v>
      </c>
    </row>
    <row r="1458" spans="1:7">
      <c r="A1458" s="3">
        <v>18</v>
      </c>
      <c r="B1458" s="3">
        <v>8</v>
      </c>
      <c r="C1458" s="3">
        <v>48</v>
      </c>
      <c r="D1458" s="3">
        <v>24</v>
      </c>
      <c r="E1458" s="3">
        <v>-656.78</v>
      </c>
      <c r="F1458" s="4" t="str">
        <f>HYPERLINK("http://141.218.60.56/~jnz1568/getInfo.php?workbook=18_08.xlsx&amp;sheet=A0&amp;row=1458&amp;col=6&amp;number=695600&amp;sourceID=14","695600")</f>
        <v>695600</v>
      </c>
      <c r="G1458" s="4" t="str">
        <f>HYPERLINK("http://141.218.60.56/~jnz1568/getInfo.php?workbook=18_08.xlsx&amp;sheet=A0&amp;row=1458&amp;col=7&amp;number=0&amp;sourceID=14","0")</f>
        <v>0</v>
      </c>
    </row>
    <row r="1459" spans="1:7">
      <c r="A1459" s="3">
        <v>18</v>
      </c>
      <c r="B1459" s="3">
        <v>8</v>
      </c>
      <c r="C1459" s="3">
        <v>49</v>
      </c>
      <c r="D1459" s="3">
        <v>24</v>
      </c>
      <c r="E1459" s="3">
        <v>-614.391</v>
      </c>
      <c r="F1459" s="4" t="str">
        <f>HYPERLINK("http://141.218.60.56/~jnz1568/getInfo.php?workbook=18_08.xlsx&amp;sheet=A0&amp;row=1459&amp;col=6&amp;number=227400000&amp;sourceID=14","227400000")</f>
        <v>227400000</v>
      </c>
      <c r="G1459" s="4" t="str">
        <f>HYPERLINK("http://141.218.60.56/~jnz1568/getInfo.php?workbook=18_08.xlsx&amp;sheet=A0&amp;row=1459&amp;col=7&amp;number=0&amp;sourceID=14","0")</f>
        <v>0</v>
      </c>
    </row>
    <row r="1460" spans="1:7">
      <c r="A1460" s="3">
        <v>18</v>
      </c>
      <c r="B1460" s="3">
        <v>8</v>
      </c>
      <c r="C1460" s="3">
        <v>50</v>
      </c>
      <c r="D1460" s="3">
        <v>24</v>
      </c>
      <c r="E1460" s="3">
        <v>-603.631</v>
      </c>
      <c r="F1460" s="4" t="str">
        <f>HYPERLINK("http://141.218.60.56/~jnz1568/getInfo.php?workbook=18_08.xlsx&amp;sheet=A0&amp;row=1460&amp;col=6&amp;number=608600000&amp;sourceID=14","608600000")</f>
        <v>608600000</v>
      </c>
      <c r="G1460" s="4" t="str">
        <f>HYPERLINK("http://141.218.60.56/~jnz1568/getInfo.php?workbook=18_08.xlsx&amp;sheet=A0&amp;row=1460&amp;col=7&amp;number=0&amp;sourceID=14","0")</f>
        <v>0</v>
      </c>
    </row>
    <row r="1461" spans="1:7">
      <c r="A1461" s="3">
        <v>18</v>
      </c>
      <c r="B1461" s="3">
        <v>8</v>
      </c>
      <c r="C1461" s="3">
        <v>51</v>
      </c>
      <c r="D1461" s="3">
        <v>24</v>
      </c>
      <c r="E1461" s="3">
        <v>-530.889</v>
      </c>
      <c r="F1461" s="4" t="str">
        <f>HYPERLINK("http://141.218.60.56/~jnz1568/getInfo.php?workbook=18_08.xlsx&amp;sheet=A0&amp;row=1461&amp;col=6&amp;number=3.584&amp;sourceID=14","3.584")</f>
        <v>3.584</v>
      </c>
      <c r="G1461" s="4" t="str">
        <f>HYPERLINK("http://141.218.60.56/~jnz1568/getInfo.php?workbook=18_08.xlsx&amp;sheet=A0&amp;row=1461&amp;col=7&amp;number=0&amp;sourceID=14","0")</f>
        <v>0</v>
      </c>
    </row>
    <row r="1462" spans="1:7">
      <c r="A1462" s="3">
        <v>18</v>
      </c>
      <c r="B1462" s="3">
        <v>8</v>
      </c>
      <c r="C1462" s="3">
        <v>52</v>
      </c>
      <c r="D1462" s="3">
        <v>24</v>
      </c>
      <c r="E1462" s="3">
        <v>-528.111</v>
      </c>
      <c r="F1462" s="4" t="str">
        <f>HYPERLINK("http://141.218.60.56/~jnz1568/getInfo.php?workbook=18_08.xlsx&amp;sheet=A0&amp;row=1462&amp;col=6&amp;number=88.5&amp;sourceID=14","88.5")</f>
        <v>88.5</v>
      </c>
      <c r="G1462" s="4" t="str">
        <f>HYPERLINK("http://141.218.60.56/~jnz1568/getInfo.php?workbook=18_08.xlsx&amp;sheet=A0&amp;row=1462&amp;col=7&amp;number=0&amp;sourceID=14","0")</f>
        <v>0</v>
      </c>
    </row>
    <row r="1463" spans="1:7">
      <c r="A1463" s="3">
        <v>18</v>
      </c>
      <c r="B1463" s="3">
        <v>8</v>
      </c>
      <c r="C1463" s="3">
        <v>53</v>
      </c>
      <c r="D1463" s="3">
        <v>24</v>
      </c>
      <c r="E1463" s="3">
        <v>-598.667</v>
      </c>
      <c r="F1463" s="4" t="str">
        <f>HYPERLINK("http://141.218.60.56/~jnz1568/getInfo.php?workbook=18_08.xlsx&amp;sheet=A0&amp;row=1463&amp;col=6&amp;number=2593000000&amp;sourceID=14","2593000000")</f>
        <v>2593000000</v>
      </c>
      <c r="G1463" s="4" t="str">
        <f>HYPERLINK("http://141.218.60.56/~jnz1568/getInfo.php?workbook=18_08.xlsx&amp;sheet=A0&amp;row=1463&amp;col=7&amp;number=0&amp;sourceID=14","0")</f>
        <v>0</v>
      </c>
    </row>
    <row r="1464" spans="1:7">
      <c r="A1464" s="3">
        <v>18</v>
      </c>
      <c r="B1464" s="3">
        <v>8</v>
      </c>
      <c r="C1464" s="3">
        <v>54</v>
      </c>
      <c r="D1464" s="3">
        <v>24</v>
      </c>
      <c r="E1464" s="3">
        <v>-525.643</v>
      </c>
      <c r="F1464" s="4" t="str">
        <f>HYPERLINK("http://141.218.60.56/~jnz1568/getInfo.php?workbook=18_08.xlsx&amp;sheet=A0&amp;row=1464&amp;col=6&amp;number=26.69&amp;sourceID=14","26.69")</f>
        <v>26.69</v>
      </c>
      <c r="G1464" s="4" t="str">
        <f>HYPERLINK("http://141.218.60.56/~jnz1568/getInfo.php?workbook=18_08.xlsx&amp;sheet=A0&amp;row=1464&amp;col=7&amp;number=0&amp;sourceID=14","0")</f>
        <v>0</v>
      </c>
    </row>
    <row r="1465" spans="1:7">
      <c r="A1465" s="3">
        <v>18</v>
      </c>
      <c r="B1465" s="3">
        <v>8</v>
      </c>
      <c r="C1465" s="3">
        <v>55</v>
      </c>
      <c r="D1465" s="3">
        <v>24</v>
      </c>
      <c r="E1465" s="3">
        <v>-508.463</v>
      </c>
      <c r="F1465" s="4" t="str">
        <f>HYPERLINK("http://141.218.60.56/~jnz1568/getInfo.php?workbook=18_08.xlsx&amp;sheet=A0&amp;row=1465&amp;col=6&amp;number=63930000&amp;sourceID=14","63930000")</f>
        <v>63930000</v>
      </c>
      <c r="G1465" s="4" t="str">
        <f>HYPERLINK("http://141.218.60.56/~jnz1568/getInfo.php?workbook=18_08.xlsx&amp;sheet=A0&amp;row=1465&amp;col=7&amp;number=0&amp;sourceID=14","0")</f>
        <v>0</v>
      </c>
    </row>
    <row r="1466" spans="1:7">
      <c r="A1466" s="3">
        <v>18</v>
      </c>
      <c r="B1466" s="3">
        <v>8</v>
      </c>
      <c r="C1466" s="3">
        <v>56</v>
      </c>
      <c r="D1466" s="3">
        <v>24</v>
      </c>
      <c r="E1466" s="3">
        <v>-408.769</v>
      </c>
      <c r="F1466" s="4" t="str">
        <f>HYPERLINK("http://141.218.60.56/~jnz1568/getInfo.php?workbook=18_08.xlsx&amp;sheet=A0&amp;row=1466&amp;col=6&amp;number=371.4&amp;sourceID=14","371.4")</f>
        <v>371.4</v>
      </c>
      <c r="G1466" s="4" t="str">
        <f>HYPERLINK("http://141.218.60.56/~jnz1568/getInfo.php?workbook=18_08.xlsx&amp;sheet=A0&amp;row=1466&amp;col=7&amp;number=0&amp;sourceID=14","0")</f>
        <v>0</v>
      </c>
    </row>
    <row r="1467" spans="1:7">
      <c r="A1467" s="3">
        <v>18</v>
      </c>
      <c r="B1467" s="3">
        <v>8</v>
      </c>
      <c r="C1467" s="3">
        <v>57</v>
      </c>
      <c r="D1467" s="3">
        <v>24</v>
      </c>
      <c r="E1467" s="3">
        <v>-402.961</v>
      </c>
      <c r="F1467" s="4" t="str">
        <f>HYPERLINK("http://141.218.60.56/~jnz1568/getInfo.php?workbook=18_08.xlsx&amp;sheet=A0&amp;row=1467&amp;col=6&amp;number=1296&amp;sourceID=14","1296")</f>
        <v>1296</v>
      </c>
      <c r="G1467" s="4" t="str">
        <f>HYPERLINK("http://141.218.60.56/~jnz1568/getInfo.php?workbook=18_08.xlsx&amp;sheet=A0&amp;row=1467&amp;col=7&amp;number=0&amp;sourceID=14","0")</f>
        <v>0</v>
      </c>
    </row>
    <row r="1468" spans="1:7">
      <c r="A1468" s="3">
        <v>18</v>
      </c>
      <c r="B1468" s="3">
        <v>8</v>
      </c>
      <c r="C1468" s="3">
        <v>58</v>
      </c>
      <c r="D1468" s="3">
        <v>24</v>
      </c>
      <c r="E1468" s="3">
        <v>-398.583</v>
      </c>
      <c r="F1468" s="4" t="str">
        <f>HYPERLINK("http://141.218.60.56/~jnz1568/getInfo.php?workbook=18_08.xlsx&amp;sheet=A0&amp;row=1468&amp;col=6&amp;number=6.887e-05&amp;sourceID=14","6.887e-05")</f>
        <v>6.887e-05</v>
      </c>
      <c r="G1468" s="4" t="str">
        <f>HYPERLINK("http://141.218.60.56/~jnz1568/getInfo.php?workbook=18_08.xlsx&amp;sheet=A0&amp;row=1468&amp;col=7&amp;number=0&amp;sourceID=14","0")</f>
        <v>0</v>
      </c>
    </row>
    <row r="1469" spans="1:7">
      <c r="A1469" s="3">
        <v>18</v>
      </c>
      <c r="B1469" s="3">
        <v>8</v>
      </c>
      <c r="C1469" s="3">
        <v>60</v>
      </c>
      <c r="D1469" s="3">
        <v>24</v>
      </c>
      <c r="E1469" s="3">
        <v>-385.703</v>
      </c>
      <c r="F1469" s="4" t="str">
        <f>HYPERLINK("http://141.218.60.56/~jnz1568/getInfo.php?workbook=18_08.xlsx&amp;sheet=A0&amp;row=1469&amp;col=6&amp;number=86.21&amp;sourceID=14","86.21")</f>
        <v>86.21</v>
      </c>
      <c r="G1469" s="4" t="str">
        <f>HYPERLINK("http://141.218.60.56/~jnz1568/getInfo.php?workbook=18_08.xlsx&amp;sheet=A0&amp;row=1469&amp;col=7&amp;number=0&amp;sourceID=14","0")</f>
        <v>0</v>
      </c>
    </row>
    <row r="1470" spans="1:7">
      <c r="A1470" s="3">
        <v>18</v>
      </c>
      <c r="B1470" s="3">
        <v>8</v>
      </c>
      <c r="C1470" s="3">
        <v>64</v>
      </c>
      <c r="D1470" s="3">
        <v>24</v>
      </c>
      <c r="E1470" s="3">
        <v>-360.522</v>
      </c>
      <c r="F1470" s="4" t="str">
        <f>HYPERLINK("http://141.218.60.56/~jnz1568/getInfo.php?workbook=18_08.xlsx&amp;sheet=A0&amp;row=1470&amp;col=6&amp;number=399.7&amp;sourceID=14","399.7")</f>
        <v>399.7</v>
      </c>
      <c r="G1470" s="4" t="str">
        <f>HYPERLINK("http://141.218.60.56/~jnz1568/getInfo.php?workbook=18_08.xlsx&amp;sheet=A0&amp;row=1470&amp;col=7&amp;number=0&amp;sourceID=14","0")</f>
        <v>0</v>
      </c>
    </row>
    <row r="1471" spans="1:7">
      <c r="A1471" s="3">
        <v>18</v>
      </c>
      <c r="B1471" s="3">
        <v>8</v>
      </c>
      <c r="C1471" s="3">
        <v>65</v>
      </c>
      <c r="D1471" s="3">
        <v>24</v>
      </c>
      <c r="E1471" s="3">
        <v>-403.703</v>
      </c>
      <c r="F1471" s="4" t="str">
        <f>HYPERLINK("http://141.218.60.56/~jnz1568/getInfo.php?workbook=18_08.xlsx&amp;sheet=A0&amp;row=1471&amp;col=6&amp;number=43280000&amp;sourceID=14","43280000")</f>
        <v>43280000</v>
      </c>
      <c r="G1471" s="4" t="str">
        <f>HYPERLINK("http://141.218.60.56/~jnz1568/getInfo.php?workbook=18_08.xlsx&amp;sheet=A0&amp;row=1471&amp;col=7&amp;number=0&amp;sourceID=14","0")</f>
        <v>0</v>
      </c>
    </row>
    <row r="1472" spans="1:7">
      <c r="A1472" s="3">
        <v>18</v>
      </c>
      <c r="B1472" s="3">
        <v>8</v>
      </c>
      <c r="C1472" s="3">
        <v>66</v>
      </c>
      <c r="D1472" s="3">
        <v>24</v>
      </c>
      <c r="E1472" s="3">
        <v>-362.917</v>
      </c>
      <c r="F1472" s="4" t="str">
        <f>HYPERLINK("http://141.218.60.56/~jnz1568/getInfo.php?workbook=18_08.xlsx&amp;sheet=A0&amp;row=1472&amp;col=6&amp;number=1.212&amp;sourceID=14","1.212")</f>
        <v>1.212</v>
      </c>
      <c r="G1472" s="4" t="str">
        <f>HYPERLINK("http://141.218.60.56/~jnz1568/getInfo.php?workbook=18_08.xlsx&amp;sheet=A0&amp;row=1472&amp;col=7&amp;number=0&amp;sourceID=14","0")</f>
        <v>0</v>
      </c>
    </row>
    <row r="1473" spans="1:7">
      <c r="A1473" s="3">
        <v>18</v>
      </c>
      <c r="B1473" s="3">
        <v>8</v>
      </c>
      <c r="C1473" s="3">
        <v>67</v>
      </c>
      <c r="D1473" s="3">
        <v>24</v>
      </c>
      <c r="E1473" s="3">
        <v>-373.159</v>
      </c>
      <c r="F1473" s="4" t="str">
        <f>HYPERLINK("http://141.218.60.56/~jnz1568/getInfo.php?workbook=18_08.xlsx&amp;sheet=A0&amp;row=1473&amp;col=6&amp;number=47.14&amp;sourceID=14","47.14")</f>
        <v>47.14</v>
      </c>
      <c r="G1473" s="4" t="str">
        <f>HYPERLINK("http://141.218.60.56/~jnz1568/getInfo.php?workbook=18_08.xlsx&amp;sheet=A0&amp;row=1473&amp;col=7&amp;number=0&amp;sourceID=14","0")</f>
        <v>0</v>
      </c>
    </row>
    <row r="1474" spans="1:7">
      <c r="A1474" s="3">
        <v>18</v>
      </c>
      <c r="B1474" s="3">
        <v>8</v>
      </c>
      <c r="C1474" s="3">
        <v>68</v>
      </c>
      <c r="D1474" s="3">
        <v>24</v>
      </c>
      <c r="E1474" s="3">
        <v>-359.468</v>
      </c>
      <c r="F1474" s="4" t="str">
        <f>HYPERLINK("http://141.218.60.56/~jnz1568/getInfo.php?workbook=18_08.xlsx&amp;sheet=A0&amp;row=1474&amp;col=6&amp;number=4.145&amp;sourceID=14","4.145")</f>
        <v>4.145</v>
      </c>
      <c r="G1474" s="4" t="str">
        <f>HYPERLINK("http://141.218.60.56/~jnz1568/getInfo.php?workbook=18_08.xlsx&amp;sheet=A0&amp;row=1474&amp;col=7&amp;number=0&amp;sourceID=14","0")</f>
        <v>0</v>
      </c>
    </row>
    <row r="1475" spans="1:7">
      <c r="A1475" s="3">
        <v>18</v>
      </c>
      <c r="B1475" s="3">
        <v>8</v>
      </c>
      <c r="C1475" s="3">
        <v>69</v>
      </c>
      <c r="D1475" s="3">
        <v>24</v>
      </c>
      <c r="E1475" s="3">
        <v>-349.879</v>
      </c>
      <c r="F1475" s="4" t="str">
        <f>HYPERLINK("http://141.218.60.56/~jnz1568/getInfo.php?workbook=18_08.xlsx&amp;sheet=A0&amp;row=1475&amp;col=6&amp;number=648.7&amp;sourceID=14","648.7")</f>
        <v>648.7</v>
      </c>
      <c r="G1475" s="4" t="str">
        <f>HYPERLINK("http://141.218.60.56/~jnz1568/getInfo.php?workbook=18_08.xlsx&amp;sheet=A0&amp;row=1475&amp;col=7&amp;number=0&amp;sourceID=14","0")</f>
        <v>0</v>
      </c>
    </row>
    <row r="1476" spans="1:7">
      <c r="A1476" s="3">
        <v>18</v>
      </c>
      <c r="B1476" s="3">
        <v>8</v>
      </c>
      <c r="C1476" s="3">
        <v>70</v>
      </c>
      <c r="D1476" s="3">
        <v>24</v>
      </c>
      <c r="E1476" s="3">
        <v>-344.999</v>
      </c>
      <c r="F1476" s="4" t="str">
        <f>HYPERLINK("http://141.218.60.56/~jnz1568/getInfo.php?workbook=18_08.xlsx&amp;sheet=A0&amp;row=1476&amp;col=6&amp;number=0.1486&amp;sourceID=14","0.1486")</f>
        <v>0.1486</v>
      </c>
      <c r="G1476" s="4" t="str">
        <f>HYPERLINK("http://141.218.60.56/~jnz1568/getInfo.php?workbook=18_08.xlsx&amp;sheet=A0&amp;row=1476&amp;col=7&amp;number=0&amp;sourceID=14","0")</f>
        <v>0</v>
      </c>
    </row>
    <row r="1477" spans="1:7">
      <c r="A1477" s="3">
        <v>18</v>
      </c>
      <c r="B1477" s="3">
        <v>8</v>
      </c>
      <c r="C1477" s="3">
        <v>71</v>
      </c>
      <c r="D1477" s="3">
        <v>24</v>
      </c>
      <c r="E1477" s="3">
        <v>-344.217</v>
      </c>
      <c r="F1477" s="4" t="str">
        <f>HYPERLINK("http://141.218.60.56/~jnz1568/getInfo.php?workbook=18_08.xlsx&amp;sheet=A0&amp;row=1477&amp;col=6&amp;number=169.6&amp;sourceID=14","169.6")</f>
        <v>169.6</v>
      </c>
      <c r="G1477" s="4" t="str">
        <f>HYPERLINK("http://141.218.60.56/~jnz1568/getInfo.php?workbook=18_08.xlsx&amp;sheet=A0&amp;row=1477&amp;col=7&amp;number=0&amp;sourceID=14","0")</f>
        <v>0</v>
      </c>
    </row>
    <row r="1478" spans="1:7">
      <c r="A1478" s="3">
        <v>18</v>
      </c>
      <c r="B1478" s="3">
        <v>8</v>
      </c>
      <c r="C1478" s="3">
        <v>72</v>
      </c>
      <c r="D1478" s="3">
        <v>24</v>
      </c>
      <c r="E1478" s="3">
        <v>-352.406</v>
      </c>
      <c r="F1478" s="4" t="str">
        <f>HYPERLINK("http://141.218.60.56/~jnz1568/getInfo.php?workbook=18_08.xlsx&amp;sheet=A0&amp;row=1478&amp;col=6&amp;number=2847&amp;sourceID=14","2847")</f>
        <v>2847</v>
      </c>
      <c r="G1478" s="4" t="str">
        <f>HYPERLINK("http://141.218.60.56/~jnz1568/getInfo.php?workbook=18_08.xlsx&amp;sheet=A0&amp;row=1478&amp;col=7&amp;number=0&amp;sourceID=14","0")</f>
        <v>0</v>
      </c>
    </row>
    <row r="1479" spans="1:7">
      <c r="A1479" s="3">
        <v>18</v>
      </c>
      <c r="B1479" s="3">
        <v>8</v>
      </c>
      <c r="C1479" s="3">
        <v>73</v>
      </c>
      <c r="D1479" s="3">
        <v>24</v>
      </c>
      <c r="E1479" s="3">
        <v>-338.898</v>
      </c>
      <c r="F1479" s="4" t="str">
        <f>HYPERLINK("http://141.218.60.56/~jnz1568/getInfo.php?workbook=18_08.xlsx&amp;sheet=A0&amp;row=1479&amp;col=6&amp;number=655&amp;sourceID=14","655")</f>
        <v>655</v>
      </c>
      <c r="G1479" s="4" t="str">
        <f>HYPERLINK("http://141.218.60.56/~jnz1568/getInfo.php?workbook=18_08.xlsx&amp;sheet=A0&amp;row=1479&amp;col=7&amp;number=0&amp;sourceID=14","0")</f>
        <v>0</v>
      </c>
    </row>
    <row r="1480" spans="1:7">
      <c r="A1480" s="3">
        <v>18</v>
      </c>
      <c r="B1480" s="3">
        <v>8</v>
      </c>
      <c r="C1480" s="3">
        <v>74</v>
      </c>
      <c r="D1480" s="3">
        <v>24</v>
      </c>
      <c r="E1480" s="3">
        <v>-323.112</v>
      </c>
      <c r="F1480" s="4" t="str">
        <f>HYPERLINK("http://141.218.60.56/~jnz1568/getInfo.php?workbook=18_08.xlsx&amp;sheet=A0&amp;row=1480&amp;col=6&amp;number=14400&amp;sourceID=14","14400")</f>
        <v>14400</v>
      </c>
      <c r="G1480" s="4" t="str">
        <f>HYPERLINK("http://141.218.60.56/~jnz1568/getInfo.php?workbook=18_08.xlsx&amp;sheet=A0&amp;row=1480&amp;col=7&amp;number=0&amp;sourceID=14","0")</f>
        <v>0</v>
      </c>
    </row>
    <row r="1481" spans="1:7">
      <c r="A1481" s="3">
        <v>18</v>
      </c>
      <c r="B1481" s="3">
        <v>8</v>
      </c>
      <c r="C1481" s="3">
        <v>75</v>
      </c>
      <c r="D1481" s="3">
        <v>24</v>
      </c>
      <c r="E1481" s="3">
        <v>-319.55</v>
      </c>
      <c r="F1481" s="4" t="str">
        <f>HYPERLINK("http://141.218.60.56/~jnz1568/getInfo.php?workbook=18_08.xlsx&amp;sheet=A0&amp;row=1481&amp;col=6&amp;number=15960&amp;sourceID=14","15960")</f>
        <v>15960</v>
      </c>
      <c r="G1481" s="4" t="str">
        <f>HYPERLINK("http://141.218.60.56/~jnz1568/getInfo.php?workbook=18_08.xlsx&amp;sheet=A0&amp;row=1481&amp;col=7&amp;number=0&amp;sourceID=14","0")</f>
        <v>0</v>
      </c>
    </row>
    <row r="1482" spans="1:7">
      <c r="A1482" s="3">
        <v>18</v>
      </c>
      <c r="B1482" s="3">
        <v>8</v>
      </c>
      <c r="C1482" s="3">
        <v>77</v>
      </c>
      <c r="D1482" s="3">
        <v>24</v>
      </c>
      <c r="E1482" s="3">
        <v>-317.232</v>
      </c>
      <c r="F1482" s="4" t="str">
        <f>HYPERLINK("http://141.218.60.56/~jnz1568/getInfo.php?workbook=18_08.xlsx&amp;sheet=A0&amp;row=1482&amp;col=6&amp;number=37700&amp;sourceID=14","37700")</f>
        <v>37700</v>
      </c>
      <c r="G1482" s="4" t="str">
        <f>HYPERLINK("http://141.218.60.56/~jnz1568/getInfo.php?workbook=18_08.xlsx&amp;sheet=A0&amp;row=1482&amp;col=7&amp;number=0&amp;sourceID=14","0")</f>
        <v>0</v>
      </c>
    </row>
    <row r="1483" spans="1:7">
      <c r="A1483" s="3">
        <v>18</v>
      </c>
      <c r="B1483" s="3">
        <v>8</v>
      </c>
      <c r="C1483" s="3">
        <v>78</v>
      </c>
      <c r="D1483" s="3">
        <v>24</v>
      </c>
      <c r="E1483" s="3">
        <v>-318.712</v>
      </c>
      <c r="F1483" s="4" t="str">
        <f>HYPERLINK("http://141.218.60.56/~jnz1568/getInfo.php?workbook=18_08.xlsx&amp;sheet=A0&amp;row=1483&amp;col=6&amp;number=1.875&amp;sourceID=14","1.875")</f>
        <v>1.875</v>
      </c>
      <c r="G1483" s="4" t="str">
        <f>HYPERLINK("http://141.218.60.56/~jnz1568/getInfo.php?workbook=18_08.xlsx&amp;sheet=A0&amp;row=1483&amp;col=7&amp;number=0&amp;sourceID=14","0")</f>
        <v>0</v>
      </c>
    </row>
    <row r="1484" spans="1:7">
      <c r="A1484" s="3">
        <v>18</v>
      </c>
      <c r="B1484" s="3">
        <v>8</v>
      </c>
      <c r="C1484" s="3">
        <v>79</v>
      </c>
      <c r="D1484" s="3">
        <v>24</v>
      </c>
      <c r="E1484" s="3">
        <v>-315.707</v>
      </c>
      <c r="F1484" s="4" t="str">
        <f>HYPERLINK("http://141.218.60.56/~jnz1568/getInfo.php?workbook=18_08.xlsx&amp;sheet=A0&amp;row=1484&amp;col=6&amp;number=17550&amp;sourceID=14","17550")</f>
        <v>17550</v>
      </c>
      <c r="G1484" s="4" t="str">
        <f>HYPERLINK("http://141.218.60.56/~jnz1568/getInfo.php?workbook=18_08.xlsx&amp;sheet=A0&amp;row=1484&amp;col=7&amp;number=0&amp;sourceID=14","0")</f>
        <v>0</v>
      </c>
    </row>
    <row r="1485" spans="1:7">
      <c r="A1485" s="3">
        <v>18</v>
      </c>
      <c r="B1485" s="3">
        <v>8</v>
      </c>
      <c r="C1485" s="3">
        <v>80</v>
      </c>
      <c r="D1485" s="3">
        <v>24</v>
      </c>
      <c r="E1485" s="3">
        <v>-313.788</v>
      </c>
      <c r="F1485" s="4" t="str">
        <f>HYPERLINK("http://141.218.60.56/~jnz1568/getInfo.php?workbook=18_08.xlsx&amp;sheet=A0&amp;row=1485&amp;col=6&amp;number=36650&amp;sourceID=14","36650")</f>
        <v>36650</v>
      </c>
      <c r="G1485" s="4" t="str">
        <f>HYPERLINK("http://141.218.60.56/~jnz1568/getInfo.php?workbook=18_08.xlsx&amp;sheet=A0&amp;row=1485&amp;col=7&amp;number=0&amp;sourceID=14","0")</f>
        <v>0</v>
      </c>
    </row>
    <row r="1486" spans="1:7">
      <c r="A1486" s="3">
        <v>18</v>
      </c>
      <c r="B1486" s="3">
        <v>8</v>
      </c>
      <c r="C1486" s="3">
        <v>81</v>
      </c>
      <c r="D1486" s="3">
        <v>24</v>
      </c>
      <c r="E1486" s="3">
        <v>-303.936</v>
      </c>
      <c r="F1486" s="4" t="str">
        <f>HYPERLINK("http://141.218.60.56/~jnz1568/getInfo.php?workbook=18_08.xlsx&amp;sheet=A0&amp;row=1486&amp;col=6&amp;number=6679&amp;sourceID=14","6679")</f>
        <v>6679</v>
      </c>
      <c r="G1486" s="4" t="str">
        <f>HYPERLINK("http://141.218.60.56/~jnz1568/getInfo.php?workbook=18_08.xlsx&amp;sheet=A0&amp;row=1486&amp;col=7&amp;number=0&amp;sourceID=14","0")</f>
        <v>0</v>
      </c>
    </row>
    <row r="1487" spans="1:7">
      <c r="A1487" s="3">
        <v>18</v>
      </c>
      <c r="B1487" s="3">
        <v>8</v>
      </c>
      <c r="C1487" s="3">
        <v>82</v>
      </c>
      <c r="D1487" s="3">
        <v>24</v>
      </c>
      <c r="E1487" s="3">
        <v>-300.945</v>
      </c>
      <c r="F1487" s="4" t="str">
        <f>HYPERLINK("http://141.218.60.56/~jnz1568/getInfo.php?workbook=18_08.xlsx&amp;sheet=A0&amp;row=1487&amp;col=6&amp;number=6616&amp;sourceID=14","6616")</f>
        <v>6616</v>
      </c>
      <c r="G1487" s="4" t="str">
        <f>HYPERLINK("http://141.218.60.56/~jnz1568/getInfo.php?workbook=18_08.xlsx&amp;sheet=A0&amp;row=1487&amp;col=7&amp;number=0&amp;sourceID=14","0")</f>
        <v>0</v>
      </c>
    </row>
    <row r="1488" spans="1:7">
      <c r="A1488" s="3">
        <v>18</v>
      </c>
      <c r="B1488" s="3">
        <v>8</v>
      </c>
      <c r="C1488" s="3">
        <v>83</v>
      </c>
      <c r="D1488" s="3">
        <v>24</v>
      </c>
      <c r="E1488" s="3">
        <v>-300.752</v>
      </c>
      <c r="F1488" s="4" t="str">
        <f>HYPERLINK("http://141.218.60.56/~jnz1568/getInfo.php?workbook=18_08.xlsx&amp;sheet=A0&amp;row=1488&amp;col=6&amp;number=61760&amp;sourceID=14","61760")</f>
        <v>61760</v>
      </c>
      <c r="G1488" s="4" t="str">
        <f>HYPERLINK("http://141.218.60.56/~jnz1568/getInfo.php?workbook=18_08.xlsx&amp;sheet=A0&amp;row=1488&amp;col=7&amp;number=0&amp;sourceID=14","0")</f>
        <v>0</v>
      </c>
    </row>
    <row r="1489" spans="1:7">
      <c r="A1489" s="3">
        <v>18</v>
      </c>
      <c r="B1489" s="3">
        <v>8</v>
      </c>
      <c r="C1489" s="3">
        <v>84</v>
      </c>
      <c r="D1489" s="3">
        <v>24</v>
      </c>
      <c r="E1489" s="3">
        <v>-289.647</v>
      </c>
      <c r="F1489" s="4" t="str">
        <f>HYPERLINK("http://141.218.60.56/~jnz1568/getInfo.php?workbook=18_08.xlsx&amp;sheet=A0&amp;row=1489&amp;col=6&amp;number=479.8&amp;sourceID=14","479.8")</f>
        <v>479.8</v>
      </c>
      <c r="G1489" s="4" t="str">
        <f>HYPERLINK("http://141.218.60.56/~jnz1568/getInfo.php?workbook=18_08.xlsx&amp;sheet=A0&amp;row=1489&amp;col=7&amp;number=0&amp;sourceID=14","0")</f>
        <v>0</v>
      </c>
    </row>
    <row r="1490" spans="1:7">
      <c r="A1490" s="3">
        <v>18</v>
      </c>
      <c r="B1490" s="3">
        <v>8</v>
      </c>
      <c r="C1490" s="3">
        <v>85</v>
      </c>
      <c r="D1490" s="3">
        <v>24</v>
      </c>
      <c r="E1490" s="3">
        <v>-286.614</v>
      </c>
      <c r="F1490" s="4" t="str">
        <f>HYPERLINK("http://141.218.60.56/~jnz1568/getInfo.php?workbook=18_08.xlsx&amp;sheet=A0&amp;row=1490&amp;col=6&amp;number=2493&amp;sourceID=14","2493")</f>
        <v>2493</v>
      </c>
      <c r="G1490" s="4" t="str">
        <f>HYPERLINK("http://141.218.60.56/~jnz1568/getInfo.php?workbook=18_08.xlsx&amp;sheet=A0&amp;row=1490&amp;col=7&amp;number=0&amp;sourceID=14","0")</f>
        <v>0</v>
      </c>
    </row>
    <row r="1491" spans="1:7">
      <c r="A1491" s="3">
        <v>18</v>
      </c>
      <c r="B1491" s="3">
        <v>8</v>
      </c>
      <c r="C1491" s="3">
        <v>86</v>
      </c>
      <c r="D1491" s="3">
        <v>24</v>
      </c>
      <c r="E1491" s="3">
        <v>-263.238</v>
      </c>
      <c r="F1491" s="4" t="str">
        <f>HYPERLINK("http://141.218.60.56/~jnz1568/getInfo.php?workbook=18_08.xlsx&amp;sheet=A0&amp;row=1491&amp;col=6&amp;number=318.2&amp;sourceID=14","318.2")</f>
        <v>318.2</v>
      </c>
      <c r="G1491" s="4" t="str">
        <f>HYPERLINK("http://141.218.60.56/~jnz1568/getInfo.php?workbook=18_08.xlsx&amp;sheet=A0&amp;row=1491&amp;col=7&amp;number=0&amp;sourceID=14","0")</f>
        <v>0</v>
      </c>
    </row>
    <row r="1492" spans="1:7">
      <c r="A1492" s="3">
        <v>18</v>
      </c>
      <c r="B1492" s="3">
        <v>8</v>
      </c>
      <c r="C1492" s="3">
        <v>26</v>
      </c>
      <c r="D1492" s="3">
        <v>25</v>
      </c>
      <c r="E1492" s="3">
        <v>20036.064</v>
      </c>
      <c r="F1492" s="4" t="str">
        <f>HYPERLINK("http://141.218.60.56/~jnz1568/getInfo.php?workbook=18_08.xlsx&amp;sheet=A0&amp;row=1492&amp;col=6&amp;number=22.78&amp;sourceID=14","22.78")</f>
        <v>22.78</v>
      </c>
      <c r="G1492" s="4" t="str">
        <f>HYPERLINK("http://141.218.60.56/~jnz1568/getInfo.php?workbook=18_08.xlsx&amp;sheet=A0&amp;row=1492&amp;col=7&amp;number=0&amp;sourceID=14","0")</f>
        <v>0</v>
      </c>
    </row>
    <row r="1493" spans="1:7">
      <c r="A1493" s="3">
        <v>18</v>
      </c>
      <c r="B1493" s="3">
        <v>8</v>
      </c>
      <c r="C1493" s="3">
        <v>27</v>
      </c>
      <c r="D1493" s="3">
        <v>25</v>
      </c>
      <c r="E1493" s="3">
        <v>-1328.179</v>
      </c>
      <c r="F1493" s="4" t="str">
        <f>HYPERLINK("http://141.218.60.56/~jnz1568/getInfo.php?workbook=18_08.xlsx&amp;sheet=A0&amp;row=1493&amp;col=6&amp;number=1080000&amp;sourceID=14","1080000")</f>
        <v>1080000</v>
      </c>
      <c r="G1493" s="4" t="str">
        <f>HYPERLINK("http://141.218.60.56/~jnz1568/getInfo.php?workbook=18_08.xlsx&amp;sheet=A0&amp;row=1493&amp;col=7&amp;number=0&amp;sourceID=14","0")</f>
        <v>0</v>
      </c>
    </row>
    <row r="1494" spans="1:7">
      <c r="A1494" s="3">
        <v>18</v>
      </c>
      <c r="B1494" s="3">
        <v>8</v>
      </c>
      <c r="C1494" s="3">
        <v>28</v>
      </c>
      <c r="D1494" s="3">
        <v>25</v>
      </c>
      <c r="E1494" s="3">
        <v>-1389.525</v>
      </c>
      <c r="F1494" s="4" t="str">
        <f>HYPERLINK("http://141.218.60.56/~jnz1568/getInfo.php?workbook=18_08.xlsx&amp;sheet=A0&amp;row=1494&amp;col=6&amp;number=279100&amp;sourceID=14","279100")</f>
        <v>279100</v>
      </c>
      <c r="G1494" s="4" t="str">
        <f>HYPERLINK("http://141.218.60.56/~jnz1568/getInfo.php?workbook=18_08.xlsx&amp;sheet=A0&amp;row=1494&amp;col=7&amp;number=0&amp;sourceID=14","0")</f>
        <v>0</v>
      </c>
    </row>
    <row r="1495" spans="1:7">
      <c r="A1495" s="3">
        <v>18</v>
      </c>
      <c r="B1495" s="3">
        <v>8</v>
      </c>
      <c r="C1495" s="3">
        <v>29</v>
      </c>
      <c r="D1495" s="3">
        <v>25</v>
      </c>
      <c r="E1495" s="3">
        <v>-1315.215</v>
      </c>
      <c r="F1495" s="4" t="str">
        <f>HYPERLINK("http://141.218.60.56/~jnz1568/getInfo.php?workbook=18_08.xlsx&amp;sheet=A0&amp;row=1495&amp;col=6&amp;number=8866000&amp;sourceID=14","8866000")</f>
        <v>8866000</v>
      </c>
      <c r="G1495" s="4" t="str">
        <f>HYPERLINK("http://141.218.60.56/~jnz1568/getInfo.php?workbook=18_08.xlsx&amp;sheet=A0&amp;row=1495&amp;col=7&amp;number=0&amp;sourceID=14","0")</f>
        <v>0</v>
      </c>
    </row>
    <row r="1496" spans="1:7">
      <c r="A1496" s="3">
        <v>18</v>
      </c>
      <c r="B1496" s="3">
        <v>8</v>
      </c>
      <c r="C1496" s="3">
        <v>30</v>
      </c>
      <c r="D1496" s="3">
        <v>25</v>
      </c>
      <c r="E1496" s="3">
        <v>-1576.97</v>
      </c>
      <c r="F1496" s="4" t="str">
        <f>HYPERLINK("http://141.218.60.56/~jnz1568/getInfo.php?workbook=18_08.xlsx&amp;sheet=A0&amp;row=1496&amp;col=6&amp;number=1240000&amp;sourceID=14","1240000")</f>
        <v>1240000</v>
      </c>
      <c r="G1496" s="4" t="str">
        <f>HYPERLINK("http://141.218.60.56/~jnz1568/getInfo.php?workbook=18_08.xlsx&amp;sheet=A0&amp;row=1496&amp;col=7&amp;number=0&amp;sourceID=14","0")</f>
        <v>0</v>
      </c>
    </row>
    <row r="1497" spans="1:7">
      <c r="A1497" s="3">
        <v>18</v>
      </c>
      <c r="B1497" s="3">
        <v>8</v>
      </c>
      <c r="C1497" s="3">
        <v>31</v>
      </c>
      <c r="D1497" s="3">
        <v>25</v>
      </c>
      <c r="E1497" s="3">
        <v>-1216.626</v>
      </c>
      <c r="F1497" s="4" t="str">
        <f>HYPERLINK("http://141.218.60.56/~jnz1568/getInfo.php?workbook=18_08.xlsx&amp;sheet=A0&amp;row=1497&amp;col=6&amp;number=262700&amp;sourceID=14","262700")</f>
        <v>262700</v>
      </c>
      <c r="G1497" s="4" t="str">
        <f>HYPERLINK("http://141.218.60.56/~jnz1568/getInfo.php?workbook=18_08.xlsx&amp;sheet=A0&amp;row=1497&amp;col=7&amp;number=0&amp;sourceID=14","0")</f>
        <v>0</v>
      </c>
    </row>
    <row r="1498" spans="1:7">
      <c r="A1498" s="3">
        <v>18</v>
      </c>
      <c r="B1498" s="3">
        <v>8</v>
      </c>
      <c r="C1498" s="3">
        <v>32</v>
      </c>
      <c r="D1498" s="3">
        <v>25</v>
      </c>
      <c r="E1498" s="3">
        <v>-1175.069</v>
      </c>
      <c r="F1498" s="4" t="str">
        <f>HYPERLINK("http://141.218.60.56/~jnz1568/getInfo.php?workbook=18_08.xlsx&amp;sheet=A0&amp;row=1498&amp;col=6&amp;number=2051000&amp;sourceID=14","2051000")</f>
        <v>2051000</v>
      </c>
      <c r="G1498" s="4" t="str">
        <f>HYPERLINK("http://141.218.60.56/~jnz1568/getInfo.php?workbook=18_08.xlsx&amp;sheet=A0&amp;row=1498&amp;col=7&amp;number=0&amp;sourceID=14","0")</f>
        <v>0</v>
      </c>
    </row>
    <row r="1499" spans="1:7">
      <c r="A1499" s="3">
        <v>18</v>
      </c>
      <c r="B1499" s="3">
        <v>8</v>
      </c>
      <c r="C1499" s="3">
        <v>33</v>
      </c>
      <c r="D1499" s="3">
        <v>25</v>
      </c>
      <c r="E1499" s="3">
        <v>-1134.115</v>
      </c>
      <c r="F1499" s="4" t="str">
        <f>HYPERLINK("http://141.218.60.56/~jnz1568/getInfo.php?workbook=18_08.xlsx&amp;sheet=A0&amp;row=1499&amp;col=6&amp;number=0.0001483&amp;sourceID=14","0.0001483")</f>
        <v>0.0001483</v>
      </c>
      <c r="G1499" s="4" t="str">
        <f>HYPERLINK("http://141.218.60.56/~jnz1568/getInfo.php?workbook=18_08.xlsx&amp;sheet=A0&amp;row=1499&amp;col=7&amp;number=0&amp;sourceID=14","0")</f>
        <v>0</v>
      </c>
    </row>
    <row r="1500" spans="1:7">
      <c r="A1500" s="3">
        <v>18</v>
      </c>
      <c r="B1500" s="3">
        <v>8</v>
      </c>
      <c r="C1500" s="3">
        <v>34</v>
      </c>
      <c r="D1500" s="3">
        <v>25</v>
      </c>
      <c r="E1500" s="3">
        <v>-1094.386</v>
      </c>
      <c r="F1500" s="4" t="str">
        <f>HYPERLINK("http://141.218.60.56/~jnz1568/getInfo.php?workbook=18_08.xlsx&amp;sheet=A0&amp;row=1500&amp;col=6&amp;number=1428000&amp;sourceID=14","1428000")</f>
        <v>1428000</v>
      </c>
      <c r="G1500" s="4" t="str">
        <f>HYPERLINK("http://141.218.60.56/~jnz1568/getInfo.php?workbook=18_08.xlsx&amp;sheet=A0&amp;row=1500&amp;col=7&amp;number=0&amp;sourceID=14","0")</f>
        <v>0</v>
      </c>
    </row>
    <row r="1501" spans="1:7">
      <c r="A1501" s="3">
        <v>18</v>
      </c>
      <c r="B1501" s="3">
        <v>8</v>
      </c>
      <c r="C1501" s="3">
        <v>35</v>
      </c>
      <c r="D1501" s="3">
        <v>25</v>
      </c>
      <c r="E1501" s="3">
        <v>-802.128</v>
      </c>
      <c r="F1501" s="4" t="str">
        <f>HYPERLINK("http://141.218.60.56/~jnz1568/getInfo.php?workbook=18_08.xlsx&amp;sheet=A0&amp;row=1501&amp;col=6&amp;number=4.03e-06&amp;sourceID=14","4.03e-06")</f>
        <v>4.03e-06</v>
      </c>
      <c r="G1501" s="4" t="str">
        <f>HYPERLINK("http://141.218.60.56/~jnz1568/getInfo.php?workbook=18_08.xlsx&amp;sheet=A0&amp;row=1501&amp;col=7&amp;number=0&amp;sourceID=14","0")</f>
        <v>0</v>
      </c>
    </row>
    <row r="1502" spans="1:7">
      <c r="A1502" s="3">
        <v>18</v>
      </c>
      <c r="B1502" s="3">
        <v>8</v>
      </c>
      <c r="C1502" s="3">
        <v>36</v>
      </c>
      <c r="D1502" s="3">
        <v>25</v>
      </c>
      <c r="E1502" s="3">
        <v>-743.776</v>
      </c>
      <c r="F1502" s="4" t="str">
        <f>HYPERLINK("http://141.218.60.56/~jnz1568/getInfo.php?workbook=18_08.xlsx&amp;sheet=A0&amp;row=1502&amp;col=6&amp;number=158800000&amp;sourceID=14","158800000")</f>
        <v>158800000</v>
      </c>
      <c r="G1502" s="4" t="str">
        <f>HYPERLINK("http://141.218.60.56/~jnz1568/getInfo.php?workbook=18_08.xlsx&amp;sheet=A0&amp;row=1502&amp;col=7&amp;number=0&amp;sourceID=14","0")</f>
        <v>0</v>
      </c>
    </row>
    <row r="1503" spans="1:7">
      <c r="A1503" s="3">
        <v>18</v>
      </c>
      <c r="B1503" s="3">
        <v>8</v>
      </c>
      <c r="C1503" s="3">
        <v>37</v>
      </c>
      <c r="D1503" s="3">
        <v>25</v>
      </c>
      <c r="E1503" s="3">
        <v>800.73</v>
      </c>
      <c r="F1503" s="4" t="str">
        <f>HYPERLINK("http://141.218.60.56/~jnz1568/getInfo.php?workbook=18_08.xlsx&amp;sheet=A0&amp;row=1503&amp;col=6&amp;number=51670000&amp;sourceID=14","51670000")</f>
        <v>51670000</v>
      </c>
      <c r="G1503" s="4" t="str">
        <f>HYPERLINK("http://141.218.60.56/~jnz1568/getInfo.php?workbook=18_08.xlsx&amp;sheet=A0&amp;row=1503&amp;col=7&amp;number=0&amp;sourceID=14","0")</f>
        <v>0</v>
      </c>
    </row>
    <row r="1504" spans="1:7">
      <c r="A1504" s="3">
        <v>18</v>
      </c>
      <c r="B1504" s="3">
        <v>8</v>
      </c>
      <c r="C1504" s="3">
        <v>38</v>
      </c>
      <c r="D1504" s="3">
        <v>25</v>
      </c>
      <c r="E1504" s="3">
        <v>-680.7</v>
      </c>
      <c r="F1504" s="4" t="str">
        <f>HYPERLINK("http://141.218.60.56/~jnz1568/getInfo.php?workbook=18_08.xlsx&amp;sheet=A0&amp;row=1504&amp;col=6&amp;number=0.0005533&amp;sourceID=14","0.0005533")</f>
        <v>0.0005533</v>
      </c>
      <c r="G1504" s="4" t="str">
        <f>HYPERLINK("http://141.218.60.56/~jnz1568/getInfo.php?workbook=18_08.xlsx&amp;sheet=A0&amp;row=1504&amp;col=7&amp;number=0&amp;sourceID=14","0")</f>
        <v>0</v>
      </c>
    </row>
    <row r="1505" spans="1:7">
      <c r="A1505" s="3">
        <v>18</v>
      </c>
      <c r="B1505" s="3">
        <v>8</v>
      </c>
      <c r="C1505" s="3">
        <v>39</v>
      </c>
      <c r="D1505" s="3">
        <v>25</v>
      </c>
      <c r="E1505" s="3">
        <v>-680.268</v>
      </c>
      <c r="F1505" s="4" t="str">
        <f>HYPERLINK("http://141.218.60.56/~jnz1568/getInfo.php?workbook=18_08.xlsx&amp;sheet=A0&amp;row=1505&amp;col=6&amp;number=0.0008439&amp;sourceID=14","0.0008439")</f>
        <v>0.0008439</v>
      </c>
      <c r="G1505" s="4" t="str">
        <f>HYPERLINK("http://141.218.60.56/~jnz1568/getInfo.php?workbook=18_08.xlsx&amp;sheet=A0&amp;row=1505&amp;col=7&amp;number=0&amp;sourceID=14","0")</f>
        <v>0</v>
      </c>
    </row>
    <row r="1506" spans="1:7">
      <c r="A1506" s="3">
        <v>18</v>
      </c>
      <c r="B1506" s="3">
        <v>8</v>
      </c>
      <c r="C1506" s="3">
        <v>40</v>
      </c>
      <c r="D1506" s="3">
        <v>25</v>
      </c>
      <c r="E1506" s="3">
        <v>734.927</v>
      </c>
      <c r="F1506" s="4" t="str">
        <f>HYPERLINK("http://141.218.60.56/~jnz1568/getInfo.php?workbook=18_08.xlsx&amp;sheet=A0&amp;row=1506&amp;col=6&amp;number=0.009618&amp;sourceID=14","0.009618")</f>
        <v>0.009618</v>
      </c>
      <c r="G1506" s="4" t="str">
        <f>HYPERLINK("http://141.218.60.56/~jnz1568/getInfo.php?workbook=18_08.xlsx&amp;sheet=A0&amp;row=1506&amp;col=7&amp;number=0&amp;sourceID=14","0")</f>
        <v>0</v>
      </c>
    </row>
    <row r="1507" spans="1:7">
      <c r="A1507" s="3">
        <v>18</v>
      </c>
      <c r="B1507" s="3">
        <v>8</v>
      </c>
      <c r="C1507" s="3">
        <v>41</v>
      </c>
      <c r="D1507" s="3">
        <v>25</v>
      </c>
      <c r="E1507" s="3">
        <v>-678.423</v>
      </c>
      <c r="F1507" s="4" t="str">
        <f>HYPERLINK("http://141.218.60.56/~jnz1568/getInfo.php?workbook=18_08.xlsx&amp;sheet=A0&amp;row=1507&amp;col=6&amp;number=0.01011&amp;sourceID=14","0.01011")</f>
        <v>0.01011</v>
      </c>
      <c r="G1507" s="4" t="str">
        <f>HYPERLINK("http://141.218.60.56/~jnz1568/getInfo.php?workbook=18_08.xlsx&amp;sheet=A0&amp;row=1507&amp;col=7&amp;number=0&amp;sourceID=14","0")</f>
        <v>0</v>
      </c>
    </row>
    <row r="1508" spans="1:7">
      <c r="A1508" s="3">
        <v>18</v>
      </c>
      <c r="B1508" s="3">
        <v>8</v>
      </c>
      <c r="C1508" s="3">
        <v>42</v>
      </c>
      <c r="D1508" s="3">
        <v>25</v>
      </c>
      <c r="E1508" s="3">
        <v>-676.625</v>
      </c>
      <c r="F1508" s="4" t="str">
        <f>HYPERLINK("http://141.218.60.56/~jnz1568/getInfo.php?workbook=18_08.xlsx&amp;sheet=A0&amp;row=1508&amp;col=6&amp;number=0.02037&amp;sourceID=14","0.02037")</f>
        <v>0.02037</v>
      </c>
      <c r="G1508" s="4" t="str">
        <f>HYPERLINK("http://141.218.60.56/~jnz1568/getInfo.php?workbook=18_08.xlsx&amp;sheet=A0&amp;row=1508&amp;col=7&amp;number=0&amp;sourceID=14","0")</f>
        <v>0</v>
      </c>
    </row>
    <row r="1509" spans="1:7">
      <c r="A1509" s="3">
        <v>18</v>
      </c>
      <c r="B1509" s="3">
        <v>8</v>
      </c>
      <c r="C1509" s="3">
        <v>43</v>
      </c>
      <c r="D1509" s="3">
        <v>25</v>
      </c>
      <c r="E1509" s="3">
        <v>-742.368</v>
      </c>
      <c r="F1509" s="4" t="str">
        <f>HYPERLINK("http://141.218.60.56/~jnz1568/getInfo.php?workbook=18_08.xlsx&amp;sheet=A0&amp;row=1509&amp;col=6&amp;number=179600000&amp;sourceID=14","179600000")</f>
        <v>179600000</v>
      </c>
      <c r="G1509" s="4" t="str">
        <f>HYPERLINK("http://141.218.60.56/~jnz1568/getInfo.php?workbook=18_08.xlsx&amp;sheet=A0&amp;row=1509&amp;col=7&amp;number=0&amp;sourceID=14","0")</f>
        <v>0</v>
      </c>
    </row>
    <row r="1510" spans="1:7">
      <c r="A1510" s="3">
        <v>18</v>
      </c>
      <c r="B1510" s="3">
        <v>8</v>
      </c>
      <c r="C1510" s="3">
        <v>44</v>
      </c>
      <c r="D1510" s="3">
        <v>25</v>
      </c>
      <c r="E1510" s="3">
        <v>-850.367</v>
      </c>
      <c r="F1510" s="4" t="str">
        <f>HYPERLINK("http://141.218.60.56/~jnz1568/getInfo.php?workbook=18_08.xlsx&amp;sheet=A0&amp;row=1510&amp;col=6&amp;number=357300000&amp;sourceID=14","357300000")</f>
        <v>357300000</v>
      </c>
      <c r="G1510" s="4" t="str">
        <f>HYPERLINK("http://141.218.60.56/~jnz1568/getInfo.php?workbook=18_08.xlsx&amp;sheet=A0&amp;row=1510&amp;col=7&amp;number=0&amp;sourceID=14","0")</f>
        <v>0</v>
      </c>
    </row>
    <row r="1511" spans="1:7">
      <c r="A1511" s="3">
        <v>18</v>
      </c>
      <c r="B1511" s="3">
        <v>8</v>
      </c>
      <c r="C1511" s="3">
        <v>45</v>
      </c>
      <c r="D1511" s="3">
        <v>25</v>
      </c>
      <c r="E1511" s="3">
        <v>-753.225</v>
      </c>
      <c r="F1511" s="4" t="str">
        <f>HYPERLINK("http://141.218.60.56/~jnz1568/getInfo.php?workbook=18_08.xlsx&amp;sheet=A0&amp;row=1511&amp;col=6&amp;number=2529000&amp;sourceID=14","2529000")</f>
        <v>2529000</v>
      </c>
      <c r="G1511" s="4" t="str">
        <f>HYPERLINK("http://141.218.60.56/~jnz1568/getInfo.php?workbook=18_08.xlsx&amp;sheet=A0&amp;row=1511&amp;col=7&amp;number=0&amp;sourceID=14","0")</f>
        <v>0</v>
      </c>
    </row>
    <row r="1512" spans="1:7">
      <c r="A1512" s="3">
        <v>18</v>
      </c>
      <c r="B1512" s="3">
        <v>8</v>
      </c>
      <c r="C1512" s="3">
        <v>46</v>
      </c>
      <c r="D1512" s="3">
        <v>25</v>
      </c>
      <c r="E1512" s="3">
        <v>-696.346</v>
      </c>
      <c r="F1512" s="4" t="str">
        <f>HYPERLINK("http://141.218.60.56/~jnz1568/getInfo.php?workbook=18_08.xlsx&amp;sheet=A0&amp;row=1512&amp;col=6&amp;number=7090000&amp;sourceID=14","7090000")</f>
        <v>7090000</v>
      </c>
      <c r="G1512" s="4" t="str">
        <f>HYPERLINK("http://141.218.60.56/~jnz1568/getInfo.php?workbook=18_08.xlsx&amp;sheet=A0&amp;row=1512&amp;col=7&amp;number=0&amp;sourceID=14","0")</f>
        <v>0</v>
      </c>
    </row>
    <row r="1513" spans="1:7">
      <c r="A1513" s="3">
        <v>18</v>
      </c>
      <c r="B1513" s="3">
        <v>8</v>
      </c>
      <c r="C1513" s="3">
        <v>47</v>
      </c>
      <c r="D1513" s="3">
        <v>25</v>
      </c>
      <c r="E1513" s="3">
        <v>-723.089</v>
      </c>
      <c r="F1513" s="4" t="str">
        <f>HYPERLINK("http://141.218.60.56/~jnz1568/getInfo.php?workbook=18_08.xlsx&amp;sheet=A0&amp;row=1513&amp;col=6&amp;number=1514000000&amp;sourceID=14","1514000000")</f>
        <v>1514000000</v>
      </c>
      <c r="G1513" s="4" t="str">
        <f>HYPERLINK("http://141.218.60.56/~jnz1568/getInfo.php?workbook=18_08.xlsx&amp;sheet=A0&amp;row=1513&amp;col=7&amp;number=0&amp;sourceID=14","0")</f>
        <v>0</v>
      </c>
    </row>
    <row r="1514" spans="1:7">
      <c r="A1514" s="3">
        <v>18</v>
      </c>
      <c r="B1514" s="3">
        <v>8</v>
      </c>
      <c r="C1514" s="3">
        <v>48</v>
      </c>
      <c r="D1514" s="3">
        <v>25</v>
      </c>
      <c r="E1514" s="3">
        <v>-676.386</v>
      </c>
      <c r="F1514" s="4" t="str">
        <f>HYPERLINK("http://141.218.60.56/~jnz1568/getInfo.php?workbook=18_08.xlsx&amp;sheet=A0&amp;row=1514&amp;col=6&amp;number=3957000&amp;sourceID=14","3957000")</f>
        <v>3957000</v>
      </c>
      <c r="G1514" s="4" t="str">
        <f>HYPERLINK("http://141.218.60.56/~jnz1568/getInfo.php?workbook=18_08.xlsx&amp;sheet=A0&amp;row=1514&amp;col=7&amp;number=0&amp;sourceID=14","0")</f>
        <v>0</v>
      </c>
    </row>
    <row r="1515" spans="1:7">
      <c r="A1515" s="3">
        <v>18</v>
      </c>
      <c r="B1515" s="3">
        <v>8</v>
      </c>
      <c r="C1515" s="3">
        <v>49</v>
      </c>
      <c r="D1515" s="3">
        <v>25</v>
      </c>
      <c r="E1515" s="3">
        <v>-631.515</v>
      </c>
      <c r="F1515" s="4" t="str">
        <f>HYPERLINK("http://141.218.60.56/~jnz1568/getInfo.php?workbook=18_08.xlsx&amp;sheet=A0&amp;row=1515&amp;col=6&amp;number=1753000000&amp;sourceID=14","1753000000")</f>
        <v>1753000000</v>
      </c>
      <c r="G1515" s="4" t="str">
        <f>HYPERLINK("http://141.218.60.56/~jnz1568/getInfo.php?workbook=18_08.xlsx&amp;sheet=A0&amp;row=1515&amp;col=7&amp;number=0&amp;sourceID=14","0")</f>
        <v>0</v>
      </c>
    </row>
    <row r="1516" spans="1:7">
      <c r="A1516" s="3">
        <v>18</v>
      </c>
      <c r="B1516" s="3">
        <v>8</v>
      </c>
      <c r="C1516" s="3">
        <v>50</v>
      </c>
      <c r="D1516" s="3">
        <v>25</v>
      </c>
      <c r="E1516" s="3">
        <v>-620.153</v>
      </c>
      <c r="F1516" s="4" t="str">
        <f>HYPERLINK("http://141.218.60.56/~jnz1568/getInfo.php?workbook=18_08.xlsx&amp;sheet=A0&amp;row=1516&amp;col=6&amp;number=1142000000&amp;sourceID=14","1142000000")</f>
        <v>1142000000</v>
      </c>
      <c r="G1516" s="4" t="str">
        <f>HYPERLINK("http://141.218.60.56/~jnz1568/getInfo.php?workbook=18_08.xlsx&amp;sheet=A0&amp;row=1516&amp;col=7&amp;number=0&amp;sourceID=14","0")</f>
        <v>0</v>
      </c>
    </row>
    <row r="1517" spans="1:7">
      <c r="A1517" s="3">
        <v>18</v>
      </c>
      <c r="B1517" s="3">
        <v>8</v>
      </c>
      <c r="C1517" s="3">
        <v>51</v>
      </c>
      <c r="D1517" s="3">
        <v>25</v>
      </c>
      <c r="E1517" s="3">
        <v>551.219</v>
      </c>
      <c r="F1517" s="4" t="str">
        <f>HYPERLINK("http://141.218.60.56/~jnz1568/getInfo.php?workbook=18_08.xlsx&amp;sheet=A0&amp;row=1517&amp;col=6&amp;number=46.09&amp;sourceID=14","46.09")</f>
        <v>46.09</v>
      </c>
      <c r="G1517" s="4" t="str">
        <f>HYPERLINK("http://141.218.60.56/~jnz1568/getInfo.php?workbook=18_08.xlsx&amp;sheet=A0&amp;row=1517&amp;col=7&amp;number=0&amp;sourceID=14","0")</f>
        <v>0</v>
      </c>
    </row>
    <row r="1518" spans="1:7">
      <c r="A1518" s="3">
        <v>18</v>
      </c>
      <c r="B1518" s="3">
        <v>8</v>
      </c>
      <c r="C1518" s="3">
        <v>52</v>
      </c>
      <c r="D1518" s="3">
        <v>25</v>
      </c>
      <c r="E1518" s="3">
        <v>554.868</v>
      </c>
      <c r="F1518" s="4" t="str">
        <f>HYPERLINK("http://141.218.60.56/~jnz1568/getInfo.php?workbook=18_08.xlsx&amp;sheet=A0&amp;row=1518&amp;col=6&amp;number=25.2&amp;sourceID=14","25.2")</f>
        <v>25.2</v>
      </c>
      <c r="G1518" s="4" t="str">
        <f>HYPERLINK("http://141.218.60.56/~jnz1568/getInfo.php?workbook=18_08.xlsx&amp;sheet=A0&amp;row=1518&amp;col=7&amp;number=0&amp;sourceID=14","0")</f>
        <v>0</v>
      </c>
    </row>
    <row r="1519" spans="1:7">
      <c r="A1519" s="3">
        <v>18</v>
      </c>
      <c r="B1519" s="3">
        <v>8</v>
      </c>
      <c r="C1519" s="3">
        <v>53</v>
      </c>
      <c r="D1519" s="3">
        <v>25</v>
      </c>
      <c r="E1519" s="3">
        <v>-614.914</v>
      </c>
      <c r="F1519" s="4" t="str">
        <f>HYPERLINK("http://141.218.60.56/~jnz1568/getInfo.php?workbook=18_08.xlsx&amp;sheet=A0&amp;row=1519&amp;col=6&amp;number=0.279&amp;sourceID=14","0.279")</f>
        <v>0.279</v>
      </c>
      <c r="G1519" s="4" t="str">
        <f>HYPERLINK("http://141.218.60.56/~jnz1568/getInfo.php?workbook=18_08.xlsx&amp;sheet=A0&amp;row=1519&amp;col=7&amp;number=0&amp;sourceID=14","0")</f>
        <v>0</v>
      </c>
    </row>
    <row r="1520" spans="1:7">
      <c r="A1520" s="3">
        <v>18</v>
      </c>
      <c r="B1520" s="3">
        <v>8</v>
      </c>
      <c r="C1520" s="3">
        <v>54</v>
      </c>
      <c r="D1520" s="3">
        <v>25</v>
      </c>
      <c r="E1520" s="3">
        <v>551.219</v>
      </c>
      <c r="F1520" s="4" t="str">
        <f>HYPERLINK("http://141.218.60.56/~jnz1568/getInfo.php?workbook=18_08.xlsx&amp;sheet=A0&amp;row=1520&amp;col=6&amp;number=35.1&amp;sourceID=14","35.1")</f>
        <v>35.1</v>
      </c>
      <c r="G1520" s="4" t="str">
        <f>HYPERLINK("http://141.218.60.56/~jnz1568/getInfo.php?workbook=18_08.xlsx&amp;sheet=A0&amp;row=1520&amp;col=7&amp;number=0&amp;sourceID=14","0")</f>
        <v>0</v>
      </c>
    </row>
    <row r="1521" spans="1:7">
      <c r="A1521" s="3">
        <v>18</v>
      </c>
      <c r="B1521" s="3">
        <v>8</v>
      </c>
      <c r="C1521" s="3">
        <v>55</v>
      </c>
      <c r="D1521" s="3">
        <v>25</v>
      </c>
      <c r="E1521" s="3">
        <v>-520.135</v>
      </c>
      <c r="F1521" s="4" t="str">
        <f>HYPERLINK("http://141.218.60.56/~jnz1568/getInfo.php?workbook=18_08.xlsx&amp;sheet=A0&amp;row=1521&amp;col=6&amp;number=569200000&amp;sourceID=14","569200000")</f>
        <v>569200000</v>
      </c>
      <c r="G1521" s="4" t="str">
        <f>HYPERLINK("http://141.218.60.56/~jnz1568/getInfo.php?workbook=18_08.xlsx&amp;sheet=A0&amp;row=1521&amp;col=7&amp;number=0&amp;sourceID=14","0")</f>
        <v>0</v>
      </c>
    </row>
    <row r="1522" spans="1:7">
      <c r="A1522" s="3">
        <v>18</v>
      </c>
      <c r="B1522" s="3">
        <v>8</v>
      </c>
      <c r="C1522" s="3">
        <v>56</v>
      </c>
      <c r="D1522" s="3">
        <v>25</v>
      </c>
      <c r="E1522" s="3">
        <v>411.154</v>
      </c>
      <c r="F1522" s="4" t="str">
        <f>HYPERLINK("http://141.218.60.56/~jnz1568/getInfo.php?workbook=18_08.xlsx&amp;sheet=A0&amp;row=1522&amp;col=6&amp;number=0.000575&amp;sourceID=14","0.000575")</f>
        <v>0.000575</v>
      </c>
      <c r="G1522" s="4" t="str">
        <f>HYPERLINK("http://141.218.60.56/~jnz1568/getInfo.php?workbook=18_08.xlsx&amp;sheet=A0&amp;row=1522&amp;col=7&amp;number=0&amp;sourceID=14","0")</f>
        <v>0</v>
      </c>
    </row>
    <row r="1523" spans="1:7">
      <c r="A1523" s="3">
        <v>18</v>
      </c>
      <c r="B1523" s="3">
        <v>8</v>
      </c>
      <c r="C1523" s="3">
        <v>57</v>
      </c>
      <c r="D1523" s="3">
        <v>25</v>
      </c>
      <c r="E1523" s="3">
        <v>-410.257</v>
      </c>
      <c r="F1523" s="4" t="str">
        <f>HYPERLINK("http://141.218.60.56/~jnz1568/getInfo.php?workbook=18_08.xlsx&amp;sheet=A0&amp;row=1523&amp;col=6&amp;number=166.9&amp;sourceID=14","166.9")</f>
        <v>166.9</v>
      </c>
      <c r="G1523" s="4" t="str">
        <f>HYPERLINK("http://141.218.60.56/~jnz1568/getInfo.php?workbook=18_08.xlsx&amp;sheet=A0&amp;row=1523&amp;col=7&amp;number=0&amp;sourceID=14","0")</f>
        <v>0</v>
      </c>
    </row>
    <row r="1524" spans="1:7">
      <c r="A1524" s="3">
        <v>18</v>
      </c>
      <c r="B1524" s="3">
        <v>8</v>
      </c>
      <c r="C1524" s="3">
        <v>58</v>
      </c>
      <c r="D1524" s="3">
        <v>25</v>
      </c>
      <c r="E1524" s="3">
        <v>-405.72</v>
      </c>
      <c r="F1524" s="4" t="str">
        <f>HYPERLINK("http://141.218.60.56/~jnz1568/getInfo.php?workbook=18_08.xlsx&amp;sheet=A0&amp;row=1524&amp;col=6&amp;number=226.7&amp;sourceID=14","226.7")</f>
        <v>226.7</v>
      </c>
      <c r="G1524" s="4" t="str">
        <f>HYPERLINK("http://141.218.60.56/~jnz1568/getInfo.php?workbook=18_08.xlsx&amp;sheet=A0&amp;row=1524&amp;col=7&amp;number=0&amp;sourceID=14","0")</f>
        <v>0</v>
      </c>
    </row>
    <row r="1525" spans="1:7">
      <c r="A1525" s="3">
        <v>18</v>
      </c>
      <c r="B1525" s="3">
        <v>8</v>
      </c>
      <c r="C1525" s="3">
        <v>59</v>
      </c>
      <c r="D1525" s="3">
        <v>25</v>
      </c>
      <c r="E1525" s="3">
        <v>-403.418</v>
      </c>
      <c r="F1525" s="4" t="str">
        <f>HYPERLINK("http://141.218.60.56/~jnz1568/getInfo.php?workbook=18_08.xlsx&amp;sheet=A0&amp;row=1525&amp;col=6&amp;number=1325&amp;sourceID=14","1325")</f>
        <v>1325</v>
      </c>
      <c r="G1525" s="4" t="str">
        <f>HYPERLINK("http://141.218.60.56/~jnz1568/getInfo.php?workbook=18_08.xlsx&amp;sheet=A0&amp;row=1525&amp;col=7&amp;number=0&amp;sourceID=14","0")</f>
        <v>0</v>
      </c>
    </row>
    <row r="1526" spans="1:7">
      <c r="A1526" s="3">
        <v>18</v>
      </c>
      <c r="B1526" s="3">
        <v>8</v>
      </c>
      <c r="C1526" s="3">
        <v>60</v>
      </c>
      <c r="D1526" s="3">
        <v>25</v>
      </c>
      <c r="E1526" s="3">
        <v>-392.382</v>
      </c>
      <c r="F1526" s="4" t="str">
        <f>HYPERLINK("http://141.218.60.56/~jnz1568/getInfo.php?workbook=18_08.xlsx&amp;sheet=A0&amp;row=1526&amp;col=6&amp;number=32&amp;sourceID=14","32")</f>
        <v>32</v>
      </c>
      <c r="G1526" s="4" t="str">
        <f>HYPERLINK("http://141.218.60.56/~jnz1568/getInfo.php?workbook=18_08.xlsx&amp;sheet=A0&amp;row=1526&amp;col=7&amp;number=0&amp;sourceID=14","0")</f>
        <v>0</v>
      </c>
    </row>
    <row r="1527" spans="1:7">
      <c r="A1527" s="3">
        <v>18</v>
      </c>
      <c r="B1527" s="3">
        <v>8</v>
      </c>
      <c r="C1527" s="3">
        <v>61</v>
      </c>
      <c r="D1527" s="3">
        <v>25</v>
      </c>
      <c r="E1527" s="3">
        <v>-389.929</v>
      </c>
      <c r="F1527" s="4" t="str">
        <f>HYPERLINK("http://141.218.60.56/~jnz1568/getInfo.php?workbook=18_08.xlsx&amp;sheet=A0&amp;row=1527&amp;col=6&amp;number=331.9&amp;sourceID=14","331.9")</f>
        <v>331.9</v>
      </c>
      <c r="G1527" s="4" t="str">
        <f>HYPERLINK("http://141.218.60.56/~jnz1568/getInfo.php?workbook=18_08.xlsx&amp;sheet=A0&amp;row=1527&amp;col=7&amp;number=0&amp;sourceID=14","0")</f>
        <v>0</v>
      </c>
    </row>
    <row r="1528" spans="1:7">
      <c r="A1528" s="3">
        <v>18</v>
      </c>
      <c r="B1528" s="3">
        <v>8</v>
      </c>
      <c r="C1528" s="3">
        <v>63</v>
      </c>
      <c r="D1528" s="3">
        <v>25</v>
      </c>
      <c r="E1528" s="3">
        <v>-382.221</v>
      </c>
      <c r="F1528" s="4" t="str">
        <f>HYPERLINK("http://141.218.60.56/~jnz1568/getInfo.php?workbook=18_08.xlsx&amp;sheet=A0&amp;row=1528&amp;col=6&amp;number=240.1&amp;sourceID=14","240.1")</f>
        <v>240.1</v>
      </c>
      <c r="G1528" s="4" t="str">
        <f>HYPERLINK("http://141.218.60.56/~jnz1568/getInfo.php?workbook=18_08.xlsx&amp;sheet=A0&amp;row=1528&amp;col=7&amp;number=0&amp;sourceID=14","0")</f>
        <v>0</v>
      </c>
    </row>
    <row r="1529" spans="1:7">
      <c r="A1529" s="3">
        <v>18</v>
      </c>
      <c r="B1529" s="3">
        <v>8</v>
      </c>
      <c r="C1529" s="3">
        <v>64</v>
      </c>
      <c r="D1529" s="3">
        <v>25</v>
      </c>
      <c r="E1529" s="3">
        <v>374.672</v>
      </c>
      <c r="F1529" s="4" t="str">
        <f>HYPERLINK("http://141.218.60.56/~jnz1568/getInfo.php?workbook=18_08.xlsx&amp;sheet=A0&amp;row=1529&amp;col=6&amp;number=71.39&amp;sourceID=14","71.39")</f>
        <v>71.39</v>
      </c>
      <c r="G1529" s="4" t="str">
        <f>HYPERLINK("http://141.218.60.56/~jnz1568/getInfo.php?workbook=18_08.xlsx&amp;sheet=A0&amp;row=1529&amp;col=7&amp;number=0&amp;sourceID=14","0")</f>
        <v>0</v>
      </c>
    </row>
    <row r="1530" spans="1:7">
      <c r="A1530" s="3">
        <v>18</v>
      </c>
      <c r="B1530" s="3">
        <v>8</v>
      </c>
      <c r="C1530" s="3">
        <v>65</v>
      </c>
      <c r="D1530" s="3">
        <v>25</v>
      </c>
      <c r="E1530" s="3">
        <v>-411.026</v>
      </c>
      <c r="F1530" s="4" t="str">
        <f>HYPERLINK("http://141.218.60.56/~jnz1568/getInfo.php?workbook=18_08.xlsx&amp;sheet=A0&amp;row=1530&amp;col=6&amp;number=3.962&amp;sourceID=14","3.962")</f>
        <v>3.962</v>
      </c>
      <c r="G1530" s="4" t="str">
        <f>HYPERLINK("http://141.218.60.56/~jnz1568/getInfo.php?workbook=18_08.xlsx&amp;sheet=A0&amp;row=1530&amp;col=7&amp;number=0&amp;sourceID=14","0")</f>
        <v>0</v>
      </c>
    </row>
    <row r="1531" spans="1:7">
      <c r="A1531" s="3">
        <v>18</v>
      </c>
      <c r="B1531" s="3">
        <v>8</v>
      </c>
      <c r="C1531" s="3">
        <v>66</v>
      </c>
      <c r="D1531" s="3">
        <v>25</v>
      </c>
      <c r="E1531" s="3">
        <v>375.198</v>
      </c>
      <c r="F1531" s="4" t="str">
        <f>HYPERLINK("http://141.218.60.56/~jnz1568/getInfo.php?workbook=18_08.xlsx&amp;sheet=A0&amp;row=1531&amp;col=6&amp;number=296.7&amp;sourceID=14","296.7")</f>
        <v>296.7</v>
      </c>
      <c r="G1531" s="4" t="str">
        <f>HYPERLINK("http://141.218.60.56/~jnz1568/getInfo.php?workbook=18_08.xlsx&amp;sheet=A0&amp;row=1531&amp;col=7&amp;number=0&amp;sourceID=14","0")</f>
        <v>0</v>
      </c>
    </row>
    <row r="1532" spans="1:7">
      <c r="A1532" s="3">
        <v>18</v>
      </c>
      <c r="B1532" s="3">
        <v>8</v>
      </c>
      <c r="C1532" s="3">
        <v>67</v>
      </c>
      <c r="D1532" s="3">
        <v>25</v>
      </c>
      <c r="E1532" s="3">
        <v>387.852</v>
      </c>
      <c r="F1532" s="4" t="str">
        <f>HYPERLINK("http://141.218.60.56/~jnz1568/getInfo.php?workbook=18_08.xlsx&amp;sheet=A0&amp;row=1532&amp;col=6&amp;number=7.601&amp;sourceID=14","7.601")</f>
        <v>7.601</v>
      </c>
      <c r="G1532" s="4" t="str">
        <f>HYPERLINK("http://141.218.60.56/~jnz1568/getInfo.php?workbook=18_08.xlsx&amp;sheet=A0&amp;row=1532&amp;col=7&amp;number=0&amp;sourceID=14","0")</f>
        <v>0</v>
      </c>
    </row>
    <row r="1533" spans="1:7">
      <c r="A1533" s="3">
        <v>18</v>
      </c>
      <c r="B1533" s="3">
        <v>8</v>
      </c>
      <c r="C1533" s="3">
        <v>68</v>
      </c>
      <c r="D1533" s="3">
        <v>25</v>
      </c>
      <c r="E1533" s="3">
        <v>372.99</v>
      </c>
      <c r="F1533" s="4" t="str">
        <f>HYPERLINK("http://141.218.60.56/~jnz1568/getInfo.php?workbook=18_08.xlsx&amp;sheet=A0&amp;row=1533&amp;col=6&amp;number=85.29&amp;sourceID=14","85.29")</f>
        <v>85.29</v>
      </c>
      <c r="G1533" s="4" t="str">
        <f>HYPERLINK("http://141.218.60.56/~jnz1568/getInfo.php?workbook=18_08.xlsx&amp;sheet=A0&amp;row=1533&amp;col=7&amp;number=0&amp;sourceID=14","0")</f>
        <v>0</v>
      </c>
    </row>
    <row r="1534" spans="1:7">
      <c r="A1534" s="3">
        <v>18</v>
      </c>
      <c r="B1534" s="3">
        <v>8</v>
      </c>
      <c r="C1534" s="3">
        <v>69</v>
      </c>
      <c r="D1534" s="3">
        <v>25</v>
      </c>
      <c r="E1534" s="3">
        <v>360.858</v>
      </c>
      <c r="F1534" s="4" t="str">
        <f>HYPERLINK("http://141.218.60.56/~jnz1568/getInfo.php?workbook=18_08.xlsx&amp;sheet=A0&amp;row=1534&amp;col=6&amp;number=1174&amp;sourceID=14","1174")</f>
        <v>1174</v>
      </c>
      <c r="G1534" s="4" t="str">
        <f>HYPERLINK("http://141.218.60.56/~jnz1568/getInfo.php?workbook=18_08.xlsx&amp;sheet=A0&amp;row=1534&amp;col=7&amp;number=0&amp;sourceID=14","0")</f>
        <v>0</v>
      </c>
    </row>
    <row r="1535" spans="1:7">
      <c r="A1535" s="3">
        <v>18</v>
      </c>
      <c r="B1535" s="3">
        <v>8</v>
      </c>
      <c r="C1535" s="3">
        <v>70</v>
      </c>
      <c r="D1535" s="3">
        <v>25</v>
      </c>
      <c r="E1535" s="3">
        <v>-350.333</v>
      </c>
      <c r="F1535" s="4" t="str">
        <f>HYPERLINK("http://141.218.60.56/~jnz1568/getInfo.php?workbook=18_08.xlsx&amp;sheet=A0&amp;row=1535&amp;col=6&amp;number=39.81&amp;sourceID=14","39.81")</f>
        <v>39.81</v>
      </c>
      <c r="G1535" s="4" t="str">
        <f>HYPERLINK("http://141.218.60.56/~jnz1568/getInfo.php?workbook=18_08.xlsx&amp;sheet=A0&amp;row=1535&amp;col=7&amp;number=0&amp;sourceID=14","0")</f>
        <v>0</v>
      </c>
    </row>
    <row r="1536" spans="1:7">
      <c r="A1536" s="3">
        <v>18</v>
      </c>
      <c r="B1536" s="3">
        <v>8</v>
      </c>
      <c r="C1536" s="3">
        <v>71</v>
      </c>
      <c r="D1536" s="3">
        <v>25</v>
      </c>
      <c r="E1536" s="3">
        <v>346.589</v>
      </c>
      <c r="F1536" s="4" t="str">
        <f>HYPERLINK("http://141.218.60.56/~jnz1568/getInfo.php?workbook=18_08.xlsx&amp;sheet=A0&amp;row=1536&amp;col=6&amp;number=643.4&amp;sourceID=14","643.4")</f>
        <v>643.4</v>
      </c>
      <c r="G1536" s="4" t="str">
        <f>HYPERLINK("http://141.218.60.56/~jnz1568/getInfo.php?workbook=18_08.xlsx&amp;sheet=A0&amp;row=1536&amp;col=7&amp;number=0&amp;sourceID=14","0")</f>
        <v>0</v>
      </c>
    </row>
    <row r="1537" spans="1:7">
      <c r="A1537" s="3">
        <v>18</v>
      </c>
      <c r="B1537" s="3">
        <v>8</v>
      </c>
      <c r="C1537" s="3">
        <v>72</v>
      </c>
      <c r="D1537" s="3">
        <v>25</v>
      </c>
      <c r="E1537" s="3">
        <v>360.858</v>
      </c>
      <c r="F1537" s="4" t="str">
        <f>HYPERLINK("http://141.218.60.56/~jnz1568/getInfo.php?workbook=18_08.xlsx&amp;sheet=A0&amp;row=1537&amp;col=6&amp;number=0.3598&amp;sourceID=14","0.3598")</f>
        <v>0.3598</v>
      </c>
      <c r="G1537" s="4" t="str">
        <f>HYPERLINK("http://141.218.60.56/~jnz1568/getInfo.php?workbook=18_08.xlsx&amp;sheet=A0&amp;row=1537&amp;col=7&amp;number=0&amp;sourceID=14","0")</f>
        <v>0</v>
      </c>
    </row>
    <row r="1538" spans="1:7">
      <c r="A1538" s="3">
        <v>18</v>
      </c>
      <c r="B1538" s="3">
        <v>8</v>
      </c>
      <c r="C1538" s="3">
        <v>73</v>
      </c>
      <c r="D1538" s="3">
        <v>25</v>
      </c>
      <c r="E1538" s="3">
        <v>346.589</v>
      </c>
      <c r="F1538" s="4" t="str">
        <f>HYPERLINK("http://141.218.60.56/~jnz1568/getInfo.php?workbook=18_08.xlsx&amp;sheet=A0&amp;row=1538&amp;col=6&amp;number=2170&amp;sourceID=14","2170")</f>
        <v>2170</v>
      </c>
      <c r="G1538" s="4" t="str">
        <f>HYPERLINK("http://141.218.60.56/~jnz1568/getInfo.php?workbook=18_08.xlsx&amp;sheet=A0&amp;row=1538&amp;col=7&amp;number=0&amp;sourceID=14","0")</f>
        <v>0</v>
      </c>
    </row>
    <row r="1539" spans="1:7">
      <c r="A1539" s="3">
        <v>18</v>
      </c>
      <c r="B1539" s="3">
        <v>8</v>
      </c>
      <c r="C1539" s="3">
        <v>74</v>
      </c>
      <c r="D1539" s="3">
        <v>25</v>
      </c>
      <c r="E1539" s="3">
        <v>332.671</v>
      </c>
      <c r="F1539" s="4" t="str">
        <f>HYPERLINK("http://141.218.60.56/~jnz1568/getInfo.php?workbook=18_08.xlsx&amp;sheet=A0&amp;row=1539&amp;col=6&amp;number=5870&amp;sourceID=14","5870")</f>
        <v>5870</v>
      </c>
      <c r="G1539" s="4" t="str">
        <f>HYPERLINK("http://141.218.60.56/~jnz1568/getInfo.php?workbook=18_08.xlsx&amp;sheet=A0&amp;row=1539&amp;col=7&amp;number=0&amp;sourceID=14","0")</f>
        <v>0</v>
      </c>
    </row>
    <row r="1540" spans="1:7">
      <c r="A1540" s="3">
        <v>18</v>
      </c>
      <c r="B1540" s="3">
        <v>8</v>
      </c>
      <c r="C1540" s="3">
        <v>75</v>
      </c>
      <c r="D1540" s="3">
        <v>25</v>
      </c>
      <c r="E1540" s="3">
        <v>-324.121</v>
      </c>
      <c r="F1540" s="4" t="str">
        <f>HYPERLINK("http://141.218.60.56/~jnz1568/getInfo.php?workbook=18_08.xlsx&amp;sheet=A0&amp;row=1540&amp;col=6&amp;number=2325&amp;sourceID=14","2325")</f>
        <v>2325</v>
      </c>
      <c r="G1540" s="4" t="str">
        <f>HYPERLINK("http://141.218.60.56/~jnz1568/getInfo.php?workbook=18_08.xlsx&amp;sheet=A0&amp;row=1540&amp;col=7&amp;number=0&amp;sourceID=14","0")</f>
        <v>0</v>
      </c>
    </row>
    <row r="1541" spans="1:7">
      <c r="A1541" s="3">
        <v>18</v>
      </c>
      <c r="B1541" s="3">
        <v>8</v>
      </c>
      <c r="C1541" s="3">
        <v>76</v>
      </c>
      <c r="D1541" s="3">
        <v>25</v>
      </c>
      <c r="E1541" s="3">
        <v>-323.858</v>
      </c>
      <c r="F1541" s="4" t="str">
        <f>HYPERLINK("http://141.218.60.56/~jnz1568/getInfo.php?workbook=18_08.xlsx&amp;sheet=A0&amp;row=1541&amp;col=6&amp;number=52610&amp;sourceID=14","52610")</f>
        <v>52610</v>
      </c>
      <c r="G1541" s="4" t="str">
        <f>HYPERLINK("http://141.218.60.56/~jnz1568/getInfo.php?workbook=18_08.xlsx&amp;sheet=A0&amp;row=1541&amp;col=7&amp;number=0&amp;sourceID=14","0")</f>
        <v>0</v>
      </c>
    </row>
    <row r="1542" spans="1:7">
      <c r="A1542" s="3">
        <v>18</v>
      </c>
      <c r="B1542" s="3">
        <v>8</v>
      </c>
      <c r="C1542" s="3">
        <v>77</v>
      </c>
      <c r="D1542" s="3">
        <v>25</v>
      </c>
      <c r="E1542" s="3">
        <v>332.635</v>
      </c>
      <c r="F1542" s="4" t="str">
        <f>HYPERLINK("http://141.218.60.56/~jnz1568/getInfo.php?workbook=18_08.xlsx&amp;sheet=A0&amp;row=1542&amp;col=6&amp;number=757.3&amp;sourceID=14","757.3")</f>
        <v>757.3</v>
      </c>
      <c r="G1542" s="4" t="str">
        <f>HYPERLINK("http://141.218.60.56/~jnz1568/getInfo.php?workbook=18_08.xlsx&amp;sheet=A0&amp;row=1542&amp;col=7&amp;number=0&amp;sourceID=14","0")</f>
        <v>0</v>
      </c>
    </row>
    <row r="1543" spans="1:7">
      <c r="A1543" s="3">
        <v>18</v>
      </c>
      <c r="B1543" s="3">
        <v>8</v>
      </c>
      <c r="C1543" s="3">
        <v>78</v>
      </c>
      <c r="D1543" s="3">
        <v>25</v>
      </c>
      <c r="E1543" s="3">
        <v>-323.259</v>
      </c>
      <c r="F1543" s="4" t="str">
        <f>HYPERLINK("http://141.218.60.56/~jnz1568/getInfo.php?workbook=18_08.xlsx&amp;sheet=A0&amp;row=1543&amp;col=6&amp;number=60410&amp;sourceID=14","60410")</f>
        <v>60410</v>
      </c>
      <c r="G1543" s="4" t="str">
        <f>HYPERLINK("http://141.218.60.56/~jnz1568/getInfo.php?workbook=18_08.xlsx&amp;sheet=A0&amp;row=1543&amp;col=7&amp;number=0&amp;sourceID=14","0")</f>
        <v>0</v>
      </c>
    </row>
    <row r="1544" spans="1:7">
      <c r="A1544" s="3">
        <v>18</v>
      </c>
      <c r="B1544" s="3">
        <v>8</v>
      </c>
      <c r="C1544" s="3">
        <v>79</v>
      </c>
      <c r="D1544" s="3">
        <v>25</v>
      </c>
      <c r="E1544" s="3">
        <v>-320.168</v>
      </c>
      <c r="F1544" s="4" t="str">
        <f>HYPERLINK("http://141.218.60.56/~jnz1568/getInfo.php?workbook=18_08.xlsx&amp;sheet=A0&amp;row=1544&amp;col=6&amp;number=40880&amp;sourceID=14","40880")</f>
        <v>40880</v>
      </c>
      <c r="G1544" s="4" t="str">
        <f>HYPERLINK("http://141.218.60.56/~jnz1568/getInfo.php?workbook=18_08.xlsx&amp;sheet=A0&amp;row=1544&amp;col=7&amp;number=0&amp;sourceID=14","0")</f>
        <v>0</v>
      </c>
    </row>
    <row r="1545" spans="1:7">
      <c r="A1545" s="3">
        <v>18</v>
      </c>
      <c r="B1545" s="3">
        <v>8</v>
      </c>
      <c r="C1545" s="3">
        <v>80</v>
      </c>
      <c r="D1545" s="3">
        <v>25</v>
      </c>
      <c r="E1545" s="3">
        <v>-318.194</v>
      </c>
      <c r="F1545" s="4" t="str">
        <f>HYPERLINK("http://141.218.60.56/~jnz1568/getInfo.php?workbook=18_08.xlsx&amp;sheet=A0&amp;row=1545&amp;col=6&amp;number=11350&amp;sourceID=14","11350")</f>
        <v>11350</v>
      </c>
      <c r="G1545" s="4" t="str">
        <f>HYPERLINK("http://141.218.60.56/~jnz1568/getInfo.php?workbook=18_08.xlsx&amp;sheet=A0&amp;row=1545&amp;col=7&amp;number=0&amp;sourceID=14","0")</f>
        <v>0</v>
      </c>
    </row>
    <row r="1546" spans="1:7">
      <c r="A1546" s="3">
        <v>18</v>
      </c>
      <c r="B1546" s="3">
        <v>8</v>
      </c>
      <c r="C1546" s="3">
        <v>81</v>
      </c>
      <c r="D1546" s="3">
        <v>25</v>
      </c>
      <c r="E1546" s="3">
        <v>311.983</v>
      </c>
      <c r="F1546" s="4" t="str">
        <f>HYPERLINK("http://141.218.60.56/~jnz1568/getInfo.php?workbook=18_08.xlsx&amp;sheet=A0&amp;row=1546&amp;col=6&amp;number=32020&amp;sourceID=14","32020")</f>
        <v>32020</v>
      </c>
      <c r="G1546" s="4" t="str">
        <f>HYPERLINK("http://141.218.60.56/~jnz1568/getInfo.php?workbook=18_08.xlsx&amp;sheet=A0&amp;row=1546&amp;col=7&amp;number=0&amp;sourceID=14","0")</f>
        <v>0</v>
      </c>
    </row>
    <row r="1547" spans="1:7">
      <c r="A1547" s="3">
        <v>18</v>
      </c>
      <c r="B1547" s="3">
        <v>8</v>
      </c>
      <c r="C1547" s="3">
        <v>82</v>
      </c>
      <c r="D1547" s="3">
        <v>25</v>
      </c>
      <c r="E1547" s="3">
        <v>308.253</v>
      </c>
      <c r="F1547" s="4" t="str">
        <f>HYPERLINK("http://141.218.60.56/~jnz1568/getInfo.php?workbook=18_08.xlsx&amp;sheet=A0&amp;row=1547&amp;col=6&amp;number=59230&amp;sourceID=14","59230")</f>
        <v>59230</v>
      </c>
      <c r="G1547" s="4" t="str">
        <f>HYPERLINK("http://141.218.60.56/~jnz1568/getInfo.php?workbook=18_08.xlsx&amp;sheet=A0&amp;row=1547&amp;col=7&amp;number=0&amp;sourceID=14","0")</f>
        <v>0</v>
      </c>
    </row>
    <row r="1548" spans="1:7">
      <c r="A1548" s="3">
        <v>18</v>
      </c>
      <c r="B1548" s="3">
        <v>8</v>
      </c>
      <c r="C1548" s="3">
        <v>83</v>
      </c>
      <c r="D1548" s="3">
        <v>25</v>
      </c>
      <c r="E1548" s="3">
        <v>299.222</v>
      </c>
      <c r="F1548" s="4" t="str">
        <f>HYPERLINK("http://141.218.60.56/~jnz1568/getInfo.php?workbook=18_08.xlsx&amp;sheet=A0&amp;row=1548&amp;col=6&amp;number=24200&amp;sourceID=14","24200")</f>
        <v>24200</v>
      </c>
      <c r="G1548" s="4" t="str">
        <f>HYPERLINK("http://141.218.60.56/~jnz1568/getInfo.php?workbook=18_08.xlsx&amp;sheet=A0&amp;row=1548&amp;col=7&amp;number=0&amp;sourceID=14","0")</f>
        <v>0</v>
      </c>
    </row>
    <row r="1549" spans="1:7">
      <c r="A1549" s="3">
        <v>18</v>
      </c>
      <c r="B1549" s="3">
        <v>8</v>
      </c>
      <c r="C1549" s="3">
        <v>84</v>
      </c>
      <c r="D1549" s="3">
        <v>25</v>
      </c>
      <c r="E1549" s="3">
        <v>307.977</v>
      </c>
      <c r="F1549" s="4" t="str">
        <f>HYPERLINK("http://141.218.60.56/~jnz1568/getInfo.php?workbook=18_08.xlsx&amp;sheet=A0&amp;row=1549&amp;col=6&amp;number=21900&amp;sourceID=14","21900")</f>
        <v>21900</v>
      </c>
      <c r="G1549" s="4" t="str">
        <f>HYPERLINK("http://141.218.60.56/~jnz1568/getInfo.php?workbook=18_08.xlsx&amp;sheet=A0&amp;row=1549&amp;col=7&amp;number=0&amp;sourceID=14","0")</f>
        <v>0</v>
      </c>
    </row>
    <row r="1550" spans="1:7">
      <c r="A1550" s="3">
        <v>18</v>
      </c>
      <c r="B1550" s="3">
        <v>8</v>
      </c>
      <c r="C1550" s="3">
        <v>85</v>
      </c>
      <c r="D1550" s="3">
        <v>25</v>
      </c>
      <c r="E1550" s="3">
        <v>294.178</v>
      </c>
      <c r="F1550" s="4" t="str">
        <f>HYPERLINK("http://141.218.60.56/~jnz1568/getInfo.php?workbook=18_08.xlsx&amp;sheet=A0&amp;row=1550&amp;col=6&amp;number=9833&amp;sourceID=14","9833")</f>
        <v>9833</v>
      </c>
      <c r="G1550" s="4" t="str">
        <f>HYPERLINK("http://141.218.60.56/~jnz1568/getInfo.php?workbook=18_08.xlsx&amp;sheet=A0&amp;row=1550&amp;col=7&amp;number=0&amp;sourceID=14","0")</f>
        <v>0</v>
      </c>
    </row>
    <row r="1551" spans="1:7">
      <c r="A1551" s="3">
        <v>18</v>
      </c>
      <c r="B1551" s="3">
        <v>8</v>
      </c>
      <c r="C1551" s="3">
        <v>86</v>
      </c>
      <c r="D1551" s="3">
        <v>25</v>
      </c>
      <c r="E1551" s="3">
        <v>269.811</v>
      </c>
      <c r="F1551" s="4" t="str">
        <f>HYPERLINK("http://141.218.60.56/~jnz1568/getInfo.php?workbook=18_08.xlsx&amp;sheet=A0&amp;row=1551&amp;col=6&amp;number=1920&amp;sourceID=14","1920")</f>
        <v>1920</v>
      </c>
      <c r="G1551" s="4" t="str">
        <f>HYPERLINK("http://141.218.60.56/~jnz1568/getInfo.php?workbook=18_08.xlsx&amp;sheet=A0&amp;row=1551&amp;col=7&amp;number=0&amp;sourceID=14","0")</f>
        <v>0</v>
      </c>
    </row>
    <row r="1552" spans="1:7">
      <c r="A1552" s="3">
        <v>18</v>
      </c>
      <c r="B1552" s="3">
        <v>8</v>
      </c>
      <c r="C1552" s="3">
        <v>27</v>
      </c>
      <c r="D1552" s="3">
        <v>26</v>
      </c>
      <c r="E1552" s="3">
        <v>-1660.504</v>
      </c>
      <c r="F1552" s="4" t="str">
        <f>HYPERLINK("http://141.218.60.56/~jnz1568/getInfo.php?workbook=18_08.xlsx&amp;sheet=A0&amp;row=1552&amp;col=6&amp;number=8882000&amp;sourceID=14","8882000")</f>
        <v>8882000</v>
      </c>
      <c r="G1552" s="4" t="str">
        <f>HYPERLINK("http://141.218.60.56/~jnz1568/getInfo.php?workbook=18_08.xlsx&amp;sheet=A0&amp;row=1552&amp;col=7&amp;number=0&amp;sourceID=14","0")</f>
        <v>0</v>
      </c>
    </row>
    <row r="1553" spans="1:7">
      <c r="A1553" s="3">
        <v>18</v>
      </c>
      <c r="B1553" s="3">
        <v>8</v>
      </c>
      <c r="C1553" s="3">
        <v>28</v>
      </c>
      <c r="D1553" s="3">
        <v>26</v>
      </c>
      <c r="E1553" s="3">
        <v>-1757.51</v>
      </c>
      <c r="F1553" s="4" t="str">
        <f>HYPERLINK("http://141.218.60.56/~jnz1568/getInfo.php?workbook=18_08.xlsx&amp;sheet=A0&amp;row=1553&amp;col=6&amp;number=102500&amp;sourceID=14","102500")</f>
        <v>102500</v>
      </c>
      <c r="G1553" s="4" t="str">
        <f>HYPERLINK("http://141.218.60.56/~jnz1568/getInfo.php?workbook=18_08.xlsx&amp;sheet=A0&amp;row=1553&amp;col=7&amp;number=0&amp;sourceID=14","0")</f>
        <v>0</v>
      </c>
    </row>
    <row r="1554" spans="1:7">
      <c r="A1554" s="3">
        <v>18</v>
      </c>
      <c r="B1554" s="3">
        <v>8</v>
      </c>
      <c r="C1554" s="3">
        <v>29</v>
      </c>
      <c r="D1554" s="3">
        <v>26</v>
      </c>
      <c r="E1554" s="3">
        <v>-1640.29</v>
      </c>
      <c r="F1554" s="4" t="str">
        <f>HYPERLINK("http://141.218.60.56/~jnz1568/getInfo.php?workbook=18_08.xlsx&amp;sheet=A0&amp;row=1554&amp;col=6&amp;number=0.0001198&amp;sourceID=14","0.0001198")</f>
        <v>0.0001198</v>
      </c>
      <c r="G1554" s="4" t="str">
        <f>HYPERLINK("http://141.218.60.56/~jnz1568/getInfo.php?workbook=18_08.xlsx&amp;sheet=A0&amp;row=1554&amp;col=7&amp;number=0&amp;sourceID=14","0")</f>
        <v>0</v>
      </c>
    </row>
    <row r="1555" spans="1:7">
      <c r="A1555" s="3">
        <v>18</v>
      </c>
      <c r="B1555" s="3">
        <v>8</v>
      </c>
      <c r="C1555" s="3">
        <v>30</v>
      </c>
      <c r="D1555" s="3">
        <v>26</v>
      </c>
      <c r="E1555" s="3">
        <v>-2068.494</v>
      </c>
      <c r="F1555" s="4" t="str">
        <f>HYPERLINK("http://141.218.60.56/~jnz1568/getInfo.php?workbook=18_08.xlsx&amp;sheet=A0&amp;row=1555&amp;col=6&amp;number=4128000&amp;sourceID=14","4128000")</f>
        <v>4128000</v>
      </c>
      <c r="G1555" s="4" t="str">
        <f>HYPERLINK("http://141.218.60.56/~jnz1568/getInfo.php?workbook=18_08.xlsx&amp;sheet=A0&amp;row=1555&amp;col=7&amp;number=0&amp;sourceID=14","0")</f>
        <v>0</v>
      </c>
    </row>
    <row r="1556" spans="1:7">
      <c r="A1556" s="3">
        <v>18</v>
      </c>
      <c r="B1556" s="3">
        <v>8</v>
      </c>
      <c r="C1556" s="3">
        <v>31</v>
      </c>
      <c r="D1556" s="3">
        <v>26</v>
      </c>
      <c r="E1556" s="3">
        <v>-1489.733</v>
      </c>
      <c r="F1556" s="4" t="str">
        <f>HYPERLINK("http://141.218.60.56/~jnz1568/getInfo.php?workbook=18_08.xlsx&amp;sheet=A0&amp;row=1556&amp;col=6&amp;number=19070&amp;sourceID=14","19070")</f>
        <v>19070</v>
      </c>
      <c r="G1556" s="4" t="str">
        <f>HYPERLINK("http://141.218.60.56/~jnz1568/getInfo.php?workbook=18_08.xlsx&amp;sheet=A0&amp;row=1556&amp;col=7&amp;number=0&amp;sourceID=14","0")</f>
        <v>0</v>
      </c>
    </row>
    <row r="1557" spans="1:7">
      <c r="A1557" s="3">
        <v>18</v>
      </c>
      <c r="B1557" s="3">
        <v>8</v>
      </c>
      <c r="C1557" s="3">
        <v>32</v>
      </c>
      <c r="D1557" s="3">
        <v>26</v>
      </c>
      <c r="E1557" s="3">
        <v>-1427.899</v>
      </c>
      <c r="F1557" s="4" t="str">
        <f>HYPERLINK("http://141.218.60.56/~jnz1568/getInfo.php?workbook=18_08.xlsx&amp;sheet=A0&amp;row=1557&amp;col=6&amp;number=5.374e-06&amp;sourceID=14","5.374e-06")</f>
        <v>5.374e-06</v>
      </c>
      <c r="G1557" s="4" t="str">
        <f>HYPERLINK("http://141.218.60.56/~jnz1568/getInfo.php?workbook=18_08.xlsx&amp;sheet=A0&amp;row=1557&amp;col=7&amp;number=0&amp;sourceID=14","0")</f>
        <v>0</v>
      </c>
    </row>
    <row r="1558" spans="1:7">
      <c r="A1558" s="3">
        <v>18</v>
      </c>
      <c r="B1558" s="3">
        <v>8</v>
      </c>
      <c r="C1558" s="3">
        <v>34</v>
      </c>
      <c r="D1558" s="3">
        <v>26</v>
      </c>
      <c r="E1558" s="3">
        <v>-1310.495</v>
      </c>
      <c r="F1558" s="4" t="str">
        <f>HYPERLINK("http://141.218.60.56/~jnz1568/getInfo.php?workbook=18_08.xlsx&amp;sheet=A0&amp;row=1558&amp;col=6&amp;number=2.185e-05&amp;sourceID=14","2.185e-05")</f>
        <v>2.185e-05</v>
      </c>
      <c r="G1558" s="4" t="str">
        <f>HYPERLINK("http://141.218.60.56/~jnz1568/getInfo.php?workbook=18_08.xlsx&amp;sheet=A0&amp;row=1558&amp;col=7&amp;number=0&amp;sourceID=14","0")</f>
        <v>0</v>
      </c>
    </row>
    <row r="1559" spans="1:7">
      <c r="A1559" s="3">
        <v>18</v>
      </c>
      <c r="B1559" s="3">
        <v>8</v>
      </c>
      <c r="C1559" s="3">
        <v>35</v>
      </c>
      <c r="D1559" s="3">
        <v>26</v>
      </c>
      <c r="E1559" s="3">
        <v>-912.409</v>
      </c>
      <c r="F1559" s="4" t="str">
        <f>HYPERLINK("http://141.218.60.56/~jnz1568/getInfo.php?workbook=18_08.xlsx&amp;sheet=A0&amp;row=1559&amp;col=6&amp;number=882000&amp;sourceID=14","882000")</f>
        <v>882000</v>
      </c>
      <c r="G1559" s="4" t="str">
        <f>HYPERLINK("http://141.218.60.56/~jnz1568/getInfo.php?workbook=18_08.xlsx&amp;sheet=A0&amp;row=1559&amp;col=7&amp;number=0&amp;sourceID=14","0")</f>
        <v>0</v>
      </c>
    </row>
    <row r="1560" spans="1:7">
      <c r="A1560" s="3">
        <v>18</v>
      </c>
      <c r="B1560" s="3">
        <v>8</v>
      </c>
      <c r="C1560" s="3">
        <v>36</v>
      </c>
      <c r="D1560" s="3">
        <v>26</v>
      </c>
      <c r="E1560" s="3">
        <v>-837.656</v>
      </c>
      <c r="F1560" s="4" t="str">
        <f>HYPERLINK("http://141.218.60.56/~jnz1568/getInfo.php?workbook=18_08.xlsx&amp;sheet=A0&amp;row=1560&amp;col=6&amp;number=1417000&amp;sourceID=14","1417000")</f>
        <v>1417000</v>
      </c>
      <c r="G1560" s="4" t="str">
        <f>HYPERLINK("http://141.218.60.56/~jnz1568/getInfo.php?workbook=18_08.xlsx&amp;sheet=A0&amp;row=1560&amp;col=7&amp;number=0&amp;sourceID=14","0")</f>
        <v>0</v>
      </c>
    </row>
    <row r="1561" spans="1:7">
      <c r="A1561" s="3">
        <v>18</v>
      </c>
      <c r="B1561" s="3">
        <v>8</v>
      </c>
      <c r="C1561" s="3">
        <v>37</v>
      </c>
      <c r="D1561" s="3">
        <v>26</v>
      </c>
      <c r="E1561" s="3">
        <v>834.063</v>
      </c>
      <c r="F1561" s="4" t="str">
        <f>HYPERLINK("http://141.218.60.56/~jnz1568/getInfo.php?workbook=18_08.xlsx&amp;sheet=A0&amp;row=1561&amp;col=6&amp;number=46010000&amp;sourceID=14","46010000")</f>
        <v>46010000</v>
      </c>
      <c r="G1561" s="4" t="str">
        <f>HYPERLINK("http://141.218.60.56/~jnz1568/getInfo.php?workbook=18_08.xlsx&amp;sheet=A0&amp;row=1561&amp;col=7&amp;number=0&amp;sourceID=14","0")</f>
        <v>0</v>
      </c>
    </row>
    <row r="1562" spans="1:7">
      <c r="A1562" s="3">
        <v>18</v>
      </c>
      <c r="B1562" s="3">
        <v>8</v>
      </c>
      <c r="C1562" s="3">
        <v>38</v>
      </c>
      <c r="D1562" s="3">
        <v>26</v>
      </c>
      <c r="E1562" s="3">
        <v>-758.5</v>
      </c>
      <c r="F1562" s="4" t="str">
        <f>HYPERLINK("http://141.218.60.56/~jnz1568/getInfo.php?workbook=18_08.xlsx&amp;sheet=A0&amp;row=1562&amp;col=6&amp;number=0.002652&amp;sourceID=14","0.002652")</f>
        <v>0.002652</v>
      </c>
      <c r="G1562" s="4" t="str">
        <f>HYPERLINK("http://141.218.60.56/~jnz1568/getInfo.php?workbook=18_08.xlsx&amp;sheet=A0&amp;row=1562&amp;col=7&amp;number=0&amp;sourceID=14","0")</f>
        <v>0</v>
      </c>
    </row>
    <row r="1563" spans="1:7">
      <c r="A1563" s="3">
        <v>18</v>
      </c>
      <c r="B1563" s="3">
        <v>8</v>
      </c>
      <c r="C1563" s="3">
        <v>39</v>
      </c>
      <c r="D1563" s="3">
        <v>26</v>
      </c>
      <c r="E1563" s="3">
        <v>-757.964</v>
      </c>
      <c r="F1563" s="4" t="str">
        <f>HYPERLINK("http://141.218.60.56/~jnz1568/getInfo.php?workbook=18_08.xlsx&amp;sheet=A0&amp;row=1563&amp;col=6&amp;number=0.002366&amp;sourceID=14","0.002366")</f>
        <v>0.002366</v>
      </c>
      <c r="G1563" s="4" t="str">
        <f>HYPERLINK("http://141.218.60.56/~jnz1568/getInfo.php?workbook=18_08.xlsx&amp;sheet=A0&amp;row=1563&amp;col=7&amp;number=0&amp;sourceID=14","0")</f>
        <v>0</v>
      </c>
    </row>
    <row r="1564" spans="1:7">
      <c r="A1564" s="3">
        <v>18</v>
      </c>
      <c r="B1564" s="3">
        <v>8</v>
      </c>
      <c r="C1564" s="3">
        <v>40</v>
      </c>
      <c r="D1564" s="3">
        <v>26</v>
      </c>
      <c r="E1564" s="3">
        <v>762.91</v>
      </c>
      <c r="F1564" s="4" t="str">
        <f>HYPERLINK("http://141.218.60.56/~jnz1568/getInfo.php?workbook=18_08.xlsx&amp;sheet=A0&amp;row=1564&amp;col=6&amp;number=0.0008672&amp;sourceID=14","0.0008672")</f>
        <v>0.0008672</v>
      </c>
      <c r="G1564" s="4" t="str">
        <f>HYPERLINK("http://141.218.60.56/~jnz1568/getInfo.php?workbook=18_08.xlsx&amp;sheet=A0&amp;row=1564&amp;col=7&amp;number=0&amp;sourceID=14","0")</f>
        <v>0</v>
      </c>
    </row>
    <row r="1565" spans="1:7">
      <c r="A1565" s="3">
        <v>18</v>
      </c>
      <c r="B1565" s="3">
        <v>8</v>
      </c>
      <c r="C1565" s="3">
        <v>41</v>
      </c>
      <c r="D1565" s="3">
        <v>26</v>
      </c>
      <c r="E1565" s="3">
        <v>-755.674</v>
      </c>
      <c r="F1565" s="4" t="str">
        <f>HYPERLINK("http://141.218.60.56/~jnz1568/getInfo.php?workbook=18_08.xlsx&amp;sheet=A0&amp;row=1565&amp;col=6&amp;number=0.0001203&amp;sourceID=14","0.0001203")</f>
        <v>0.0001203</v>
      </c>
      <c r="G1565" s="4" t="str">
        <f>HYPERLINK("http://141.218.60.56/~jnz1568/getInfo.php?workbook=18_08.xlsx&amp;sheet=A0&amp;row=1565&amp;col=7&amp;number=0&amp;sourceID=14","0")</f>
        <v>0</v>
      </c>
    </row>
    <row r="1566" spans="1:7">
      <c r="A1566" s="3">
        <v>18</v>
      </c>
      <c r="B1566" s="3">
        <v>8</v>
      </c>
      <c r="C1566" s="3">
        <v>43</v>
      </c>
      <c r="D1566" s="3">
        <v>26</v>
      </c>
      <c r="E1566" s="3">
        <v>-835.871</v>
      </c>
      <c r="F1566" s="4" t="str">
        <f>HYPERLINK("http://141.218.60.56/~jnz1568/getInfo.php?workbook=18_08.xlsx&amp;sheet=A0&amp;row=1566&amp;col=6&amp;number=36390000&amp;sourceID=14","36390000")</f>
        <v>36390000</v>
      </c>
      <c r="G1566" s="4" t="str">
        <f>HYPERLINK("http://141.218.60.56/~jnz1568/getInfo.php?workbook=18_08.xlsx&amp;sheet=A0&amp;row=1566&amp;col=7&amp;number=0&amp;sourceID=14","0")</f>
        <v>0</v>
      </c>
    </row>
    <row r="1567" spans="1:7">
      <c r="A1567" s="3">
        <v>18</v>
      </c>
      <c r="B1567" s="3">
        <v>8</v>
      </c>
      <c r="C1567" s="3">
        <v>44</v>
      </c>
      <c r="D1567" s="3">
        <v>26</v>
      </c>
      <c r="E1567" s="3">
        <v>-975.344</v>
      </c>
      <c r="F1567" s="4" t="str">
        <f>HYPERLINK("http://141.218.60.56/~jnz1568/getInfo.php?workbook=18_08.xlsx&amp;sheet=A0&amp;row=1567&amp;col=6&amp;number=13650000&amp;sourceID=14","13650000")</f>
        <v>13650000</v>
      </c>
      <c r="G1567" s="4" t="str">
        <f>HYPERLINK("http://141.218.60.56/~jnz1568/getInfo.php?workbook=18_08.xlsx&amp;sheet=A0&amp;row=1567&amp;col=7&amp;number=0&amp;sourceID=14","0")</f>
        <v>0</v>
      </c>
    </row>
    <row r="1568" spans="1:7">
      <c r="A1568" s="3">
        <v>18</v>
      </c>
      <c r="B1568" s="3">
        <v>8</v>
      </c>
      <c r="C1568" s="3">
        <v>45</v>
      </c>
      <c r="D1568" s="3">
        <v>26</v>
      </c>
      <c r="E1568" s="3">
        <v>-849.661</v>
      </c>
      <c r="F1568" s="4" t="str">
        <f>HYPERLINK("http://141.218.60.56/~jnz1568/getInfo.php?workbook=18_08.xlsx&amp;sheet=A0&amp;row=1568&amp;col=6&amp;number=29780000&amp;sourceID=14","29780000")</f>
        <v>29780000</v>
      </c>
      <c r="G1568" s="4" t="str">
        <f>HYPERLINK("http://141.218.60.56/~jnz1568/getInfo.php?workbook=18_08.xlsx&amp;sheet=A0&amp;row=1568&amp;col=7&amp;number=0&amp;sourceID=14","0")</f>
        <v>0</v>
      </c>
    </row>
    <row r="1569" spans="1:7">
      <c r="A1569" s="3">
        <v>18</v>
      </c>
      <c r="B1569" s="3">
        <v>8</v>
      </c>
      <c r="C1569" s="3">
        <v>46</v>
      </c>
      <c r="D1569" s="3">
        <v>26</v>
      </c>
      <c r="E1569" s="3">
        <v>-777.977</v>
      </c>
      <c r="F1569" s="4" t="str">
        <f>HYPERLINK("http://141.218.60.56/~jnz1568/getInfo.php?workbook=18_08.xlsx&amp;sheet=A0&amp;row=1569&amp;col=6&amp;number=391100000&amp;sourceID=14","391100000")</f>
        <v>391100000</v>
      </c>
      <c r="G1569" s="4" t="str">
        <f>HYPERLINK("http://141.218.60.56/~jnz1568/getInfo.php?workbook=18_08.xlsx&amp;sheet=A0&amp;row=1569&amp;col=7&amp;number=0&amp;sourceID=14","0")</f>
        <v>0</v>
      </c>
    </row>
    <row r="1570" spans="1:7">
      <c r="A1570" s="3">
        <v>18</v>
      </c>
      <c r="B1570" s="3">
        <v>8</v>
      </c>
      <c r="C1570" s="3">
        <v>47</v>
      </c>
      <c r="D1570" s="3">
        <v>26</v>
      </c>
      <c r="E1570" s="3">
        <v>-811.509</v>
      </c>
      <c r="F1570" s="4" t="str">
        <f>HYPERLINK("http://141.218.60.56/~jnz1568/getInfo.php?workbook=18_08.xlsx&amp;sheet=A0&amp;row=1570&amp;col=6&amp;number=0.08723&amp;sourceID=14","0.08723")</f>
        <v>0.08723</v>
      </c>
      <c r="G1570" s="4" t="str">
        <f>HYPERLINK("http://141.218.60.56/~jnz1568/getInfo.php?workbook=18_08.xlsx&amp;sheet=A0&amp;row=1570&amp;col=7&amp;number=0&amp;sourceID=14","0")</f>
        <v>0</v>
      </c>
    </row>
    <row r="1571" spans="1:7">
      <c r="A1571" s="3">
        <v>18</v>
      </c>
      <c r="B1571" s="3">
        <v>8</v>
      </c>
      <c r="C1571" s="3">
        <v>48</v>
      </c>
      <c r="D1571" s="3">
        <v>26</v>
      </c>
      <c r="E1571" s="3">
        <v>-753.147</v>
      </c>
      <c r="F1571" s="4" t="str">
        <f>HYPERLINK("http://141.218.60.56/~jnz1568/getInfo.php?workbook=18_08.xlsx&amp;sheet=A0&amp;row=1571&amp;col=6&amp;number=1046000000&amp;sourceID=14","1046000000")</f>
        <v>1046000000</v>
      </c>
      <c r="G1571" s="4" t="str">
        <f>HYPERLINK("http://141.218.60.56/~jnz1568/getInfo.php?workbook=18_08.xlsx&amp;sheet=A0&amp;row=1571&amp;col=7&amp;number=0&amp;sourceID=14","0")</f>
        <v>0</v>
      </c>
    </row>
    <row r="1572" spans="1:7">
      <c r="A1572" s="3">
        <v>18</v>
      </c>
      <c r="B1572" s="3">
        <v>8</v>
      </c>
      <c r="C1572" s="3">
        <v>49</v>
      </c>
      <c r="D1572" s="3">
        <v>26</v>
      </c>
      <c r="E1572" s="3">
        <v>-697.929</v>
      </c>
      <c r="F1572" s="4" t="str">
        <f>HYPERLINK("http://141.218.60.56/~jnz1568/getInfo.php?workbook=18_08.xlsx&amp;sheet=A0&amp;row=1572&amp;col=6&amp;number=354400000&amp;sourceID=14","354400000")</f>
        <v>354400000</v>
      </c>
      <c r="G1572" s="4" t="str">
        <f>HYPERLINK("http://141.218.60.56/~jnz1568/getInfo.php?workbook=18_08.xlsx&amp;sheet=A0&amp;row=1572&amp;col=7&amp;number=0&amp;sourceID=14","0")</f>
        <v>0</v>
      </c>
    </row>
    <row r="1573" spans="1:7">
      <c r="A1573" s="3">
        <v>18</v>
      </c>
      <c r="B1573" s="3">
        <v>8</v>
      </c>
      <c r="C1573" s="3">
        <v>50</v>
      </c>
      <c r="D1573" s="3">
        <v>26</v>
      </c>
      <c r="E1573" s="3">
        <v>-684.078</v>
      </c>
      <c r="F1573" s="4" t="str">
        <f>HYPERLINK("http://141.218.60.56/~jnz1568/getInfo.php?workbook=18_08.xlsx&amp;sheet=A0&amp;row=1573&amp;col=6&amp;number=129000000&amp;sourceID=14","129000000")</f>
        <v>129000000</v>
      </c>
      <c r="G1573" s="4" t="str">
        <f>HYPERLINK("http://141.218.60.56/~jnz1568/getInfo.php?workbook=18_08.xlsx&amp;sheet=A0&amp;row=1573&amp;col=7&amp;number=0&amp;sourceID=14","0")</f>
        <v>0</v>
      </c>
    </row>
    <row r="1574" spans="1:7">
      <c r="A1574" s="3">
        <v>18</v>
      </c>
      <c r="B1574" s="3">
        <v>8</v>
      </c>
      <c r="C1574" s="3">
        <v>51</v>
      </c>
      <c r="D1574" s="3">
        <v>26</v>
      </c>
      <c r="E1574" s="3">
        <v>566.813</v>
      </c>
      <c r="F1574" s="4" t="str">
        <f>HYPERLINK("http://141.218.60.56/~jnz1568/getInfo.php?workbook=18_08.xlsx&amp;sheet=A0&amp;row=1574&amp;col=6&amp;number=0.02747&amp;sourceID=14","0.02747")</f>
        <v>0.02747</v>
      </c>
      <c r="G1574" s="4" t="str">
        <f>HYPERLINK("http://141.218.60.56/~jnz1568/getInfo.php?workbook=18_08.xlsx&amp;sheet=A0&amp;row=1574&amp;col=7&amp;number=0&amp;sourceID=14","0")</f>
        <v>0</v>
      </c>
    </row>
    <row r="1575" spans="1:7">
      <c r="A1575" s="3">
        <v>18</v>
      </c>
      <c r="B1575" s="3">
        <v>8</v>
      </c>
      <c r="C1575" s="3">
        <v>52</v>
      </c>
      <c r="D1575" s="3">
        <v>26</v>
      </c>
      <c r="E1575" s="3">
        <v>570.672</v>
      </c>
      <c r="F1575" s="4" t="str">
        <f>HYPERLINK("http://141.218.60.56/~jnz1568/getInfo.php?workbook=18_08.xlsx&amp;sheet=A0&amp;row=1575&amp;col=6&amp;number=0.3671&amp;sourceID=14","0.3671")</f>
        <v>0.3671</v>
      </c>
      <c r="G1575" s="4" t="str">
        <f>HYPERLINK("http://141.218.60.56/~jnz1568/getInfo.php?workbook=18_08.xlsx&amp;sheet=A0&amp;row=1575&amp;col=7&amp;number=0&amp;sourceID=14","0")</f>
        <v>0</v>
      </c>
    </row>
    <row r="1576" spans="1:7">
      <c r="A1576" s="3">
        <v>18</v>
      </c>
      <c r="B1576" s="3">
        <v>8</v>
      </c>
      <c r="C1576" s="3">
        <v>53</v>
      </c>
      <c r="D1576" s="3">
        <v>26</v>
      </c>
      <c r="E1576" s="3">
        <v>-677.708</v>
      </c>
      <c r="F1576" s="4" t="str">
        <f>HYPERLINK("http://141.218.60.56/~jnz1568/getInfo.php?workbook=18_08.xlsx&amp;sheet=A0&amp;row=1576&amp;col=6&amp;number=7016000&amp;sourceID=14","7016000")</f>
        <v>7016000</v>
      </c>
      <c r="G1576" s="4" t="str">
        <f>HYPERLINK("http://141.218.60.56/~jnz1568/getInfo.php?workbook=18_08.xlsx&amp;sheet=A0&amp;row=1576&amp;col=7&amp;number=0&amp;sourceID=14","0")</f>
        <v>0</v>
      </c>
    </row>
    <row r="1577" spans="1:7">
      <c r="A1577" s="3">
        <v>18</v>
      </c>
      <c r="B1577" s="3">
        <v>8</v>
      </c>
      <c r="C1577" s="3">
        <v>54</v>
      </c>
      <c r="D1577" s="3">
        <v>26</v>
      </c>
      <c r="E1577" s="3">
        <v>566.813</v>
      </c>
      <c r="F1577" s="4" t="str">
        <f>HYPERLINK("http://141.218.60.56/~jnz1568/getInfo.php?workbook=18_08.xlsx&amp;sheet=A0&amp;row=1577&amp;col=6&amp;number=0.04854&amp;sourceID=14","0.04854")</f>
        <v>0.04854</v>
      </c>
      <c r="G1577" s="4" t="str">
        <f>HYPERLINK("http://141.218.60.56/~jnz1568/getInfo.php?workbook=18_08.xlsx&amp;sheet=A0&amp;row=1577&amp;col=7&amp;number=0&amp;sourceID=14","0")</f>
        <v>0</v>
      </c>
    </row>
    <row r="1578" spans="1:7">
      <c r="A1578" s="3">
        <v>18</v>
      </c>
      <c r="B1578" s="3">
        <v>8</v>
      </c>
      <c r="C1578" s="3">
        <v>55</v>
      </c>
      <c r="D1578" s="3">
        <v>26</v>
      </c>
      <c r="E1578" s="3">
        <v>-564.368</v>
      </c>
      <c r="F1578" s="4" t="str">
        <f>HYPERLINK("http://141.218.60.56/~jnz1568/getInfo.php?workbook=18_08.xlsx&amp;sheet=A0&amp;row=1578&amp;col=6&amp;number=1572000000&amp;sourceID=14","1572000000")</f>
        <v>1572000000</v>
      </c>
      <c r="G1578" s="4" t="str">
        <f>HYPERLINK("http://141.218.60.56/~jnz1568/getInfo.php?workbook=18_08.xlsx&amp;sheet=A0&amp;row=1578&amp;col=7&amp;number=0&amp;sourceID=14","0")</f>
        <v>0</v>
      </c>
    </row>
    <row r="1579" spans="1:7">
      <c r="A1579" s="3">
        <v>18</v>
      </c>
      <c r="B1579" s="3">
        <v>8</v>
      </c>
      <c r="C1579" s="3">
        <v>56</v>
      </c>
      <c r="D1579" s="3">
        <v>26</v>
      </c>
      <c r="E1579" s="3">
        <v>419.768</v>
      </c>
      <c r="F1579" s="4" t="str">
        <f>HYPERLINK("http://141.218.60.56/~jnz1568/getInfo.php?workbook=18_08.xlsx&amp;sheet=A0&amp;row=1579&amp;col=6&amp;number=22.66&amp;sourceID=14","22.66")</f>
        <v>22.66</v>
      </c>
      <c r="G1579" s="4" t="str">
        <f>HYPERLINK("http://141.218.60.56/~jnz1568/getInfo.php?workbook=18_08.xlsx&amp;sheet=A0&amp;row=1579&amp;col=7&amp;number=0&amp;sourceID=14","0")</f>
        <v>0</v>
      </c>
    </row>
    <row r="1580" spans="1:7">
      <c r="A1580" s="3">
        <v>18</v>
      </c>
      <c r="B1580" s="3">
        <v>8</v>
      </c>
      <c r="C1580" s="3">
        <v>57</v>
      </c>
      <c r="D1580" s="3">
        <v>26</v>
      </c>
      <c r="E1580" s="3">
        <v>-437.29</v>
      </c>
      <c r="F1580" s="4" t="str">
        <f>HYPERLINK("http://141.218.60.56/~jnz1568/getInfo.php?workbook=18_08.xlsx&amp;sheet=A0&amp;row=1580&amp;col=6&amp;number=17.99&amp;sourceID=14","17.99")</f>
        <v>17.99</v>
      </c>
      <c r="G1580" s="4" t="str">
        <f>HYPERLINK("http://141.218.60.56/~jnz1568/getInfo.php?workbook=18_08.xlsx&amp;sheet=A0&amp;row=1580&amp;col=7&amp;number=0&amp;sourceID=14","0")</f>
        <v>0</v>
      </c>
    </row>
    <row r="1581" spans="1:7">
      <c r="A1581" s="3">
        <v>18</v>
      </c>
      <c r="B1581" s="3">
        <v>8</v>
      </c>
      <c r="C1581" s="3">
        <v>58</v>
      </c>
      <c r="D1581" s="3">
        <v>26</v>
      </c>
      <c r="E1581" s="3">
        <v>-432.139</v>
      </c>
      <c r="F1581" s="4" t="str">
        <f>HYPERLINK("http://141.218.60.56/~jnz1568/getInfo.php?workbook=18_08.xlsx&amp;sheet=A0&amp;row=1581&amp;col=6&amp;number=0.0676&amp;sourceID=14","0.0676")</f>
        <v>0.0676</v>
      </c>
      <c r="G1581" s="4" t="str">
        <f>HYPERLINK("http://141.218.60.56/~jnz1568/getInfo.php?workbook=18_08.xlsx&amp;sheet=A0&amp;row=1581&amp;col=7&amp;number=0&amp;sourceID=14","0")</f>
        <v>0</v>
      </c>
    </row>
    <row r="1582" spans="1:7">
      <c r="A1582" s="3">
        <v>18</v>
      </c>
      <c r="B1582" s="3">
        <v>8</v>
      </c>
      <c r="C1582" s="3">
        <v>60</v>
      </c>
      <c r="D1582" s="3">
        <v>26</v>
      </c>
      <c r="E1582" s="3">
        <v>-417.04</v>
      </c>
      <c r="F1582" s="4" t="str">
        <f>HYPERLINK("http://141.218.60.56/~jnz1568/getInfo.php?workbook=18_08.xlsx&amp;sheet=A0&amp;row=1582&amp;col=6&amp;number=7.415&amp;sourceID=14","7.415")</f>
        <v>7.415</v>
      </c>
      <c r="G1582" s="4" t="str">
        <f>HYPERLINK("http://141.218.60.56/~jnz1568/getInfo.php?workbook=18_08.xlsx&amp;sheet=A0&amp;row=1582&amp;col=7&amp;number=0&amp;sourceID=14","0")</f>
        <v>0</v>
      </c>
    </row>
    <row r="1583" spans="1:7">
      <c r="A1583" s="3">
        <v>18</v>
      </c>
      <c r="B1583" s="3">
        <v>8</v>
      </c>
      <c r="C1583" s="3">
        <v>64</v>
      </c>
      <c r="D1583" s="3">
        <v>26</v>
      </c>
      <c r="E1583" s="3">
        <v>381.812</v>
      </c>
      <c r="F1583" s="4" t="str">
        <f>HYPERLINK("http://141.218.60.56/~jnz1568/getInfo.php?workbook=18_08.xlsx&amp;sheet=A0&amp;row=1583&amp;col=6&amp;number=591.2&amp;sourceID=14","591.2")</f>
        <v>591.2</v>
      </c>
      <c r="G1583" s="4" t="str">
        <f>HYPERLINK("http://141.218.60.56/~jnz1568/getInfo.php?workbook=18_08.xlsx&amp;sheet=A0&amp;row=1583&amp;col=7&amp;number=0&amp;sourceID=14","0")</f>
        <v>0</v>
      </c>
    </row>
    <row r="1584" spans="1:7">
      <c r="A1584" s="3">
        <v>18</v>
      </c>
      <c r="B1584" s="3">
        <v>8</v>
      </c>
      <c r="C1584" s="3">
        <v>65</v>
      </c>
      <c r="D1584" s="3">
        <v>26</v>
      </c>
      <c r="E1584" s="3">
        <v>-438.164</v>
      </c>
      <c r="F1584" s="4" t="str">
        <f>HYPERLINK("http://141.218.60.56/~jnz1568/getInfo.php?workbook=18_08.xlsx&amp;sheet=A0&amp;row=1584&amp;col=6&amp;number=8380000000&amp;sourceID=14","8380000000")</f>
        <v>8380000000</v>
      </c>
      <c r="G1584" s="4" t="str">
        <f>HYPERLINK("http://141.218.60.56/~jnz1568/getInfo.php?workbook=18_08.xlsx&amp;sheet=A0&amp;row=1584&amp;col=7&amp;number=0&amp;sourceID=14","0")</f>
        <v>0</v>
      </c>
    </row>
    <row r="1585" spans="1:7">
      <c r="A1585" s="3">
        <v>18</v>
      </c>
      <c r="B1585" s="3">
        <v>8</v>
      </c>
      <c r="C1585" s="3">
        <v>66</v>
      </c>
      <c r="D1585" s="3">
        <v>26</v>
      </c>
      <c r="E1585" s="3">
        <v>382.358</v>
      </c>
      <c r="F1585" s="4" t="str">
        <f>HYPERLINK("http://141.218.60.56/~jnz1568/getInfo.php?workbook=18_08.xlsx&amp;sheet=A0&amp;row=1585&amp;col=6&amp;number=44.28&amp;sourceID=14","44.28")</f>
        <v>44.28</v>
      </c>
      <c r="G1585" s="4" t="str">
        <f>HYPERLINK("http://141.218.60.56/~jnz1568/getInfo.php?workbook=18_08.xlsx&amp;sheet=A0&amp;row=1585&amp;col=7&amp;number=0&amp;sourceID=14","0")</f>
        <v>0</v>
      </c>
    </row>
    <row r="1586" spans="1:7">
      <c r="A1586" s="3">
        <v>18</v>
      </c>
      <c r="B1586" s="3">
        <v>8</v>
      </c>
      <c r="C1586" s="3">
        <v>67</v>
      </c>
      <c r="D1586" s="3">
        <v>26</v>
      </c>
      <c r="E1586" s="3">
        <v>395.509</v>
      </c>
      <c r="F1586" s="4" t="str">
        <f>HYPERLINK("http://141.218.60.56/~jnz1568/getInfo.php?workbook=18_08.xlsx&amp;sheet=A0&amp;row=1586&amp;col=6&amp;number=307.3&amp;sourceID=14","307.3")</f>
        <v>307.3</v>
      </c>
      <c r="G1586" s="4" t="str">
        <f>HYPERLINK("http://141.218.60.56/~jnz1568/getInfo.php?workbook=18_08.xlsx&amp;sheet=A0&amp;row=1586&amp;col=7&amp;number=0&amp;sourceID=14","0")</f>
        <v>0</v>
      </c>
    </row>
    <row r="1587" spans="1:7">
      <c r="A1587" s="3">
        <v>18</v>
      </c>
      <c r="B1587" s="3">
        <v>8</v>
      </c>
      <c r="C1587" s="3">
        <v>68</v>
      </c>
      <c r="D1587" s="3">
        <v>26</v>
      </c>
      <c r="E1587" s="3">
        <v>380.065</v>
      </c>
      <c r="F1587" s="4" t="str">
        <f>HYPERLINK("http://141.218.60.56/~jnz1568/getInfo.php?workbook=18_08.xlsx&amp;sheet=A0&amp;row=1587&amp;col=6&amp;number=14.94&amp;sourceID=14","14.94")</f>
        <v>14.94</v>
      </c>
      <c r="G1587" s="4" t="str">
        <f>HYPERLINK("http://141.218.60.56/~jnz1568/getInfo.php?workbook=18_08.xlsx&amp;sheet=A0&amp;row=1587&amp;col=7&amp;number=0&amp;sourceID=14","0")</f>
        <v>0</v>
      </c>
    </row>
    <row r="1588" spans="1:7">
      <c r="A1588" s="3">
        <v>18</v>
      </c>
      <c r="B1588" s="3">
        <v>8</v>
      </c>
      <c r="C1588" s="3">
        <v>69</v>
      </c>
      <c r="D1588" s="3">
        <v>26</v>
      </c>
      <c r="E1588" s="3">
        <v>367.477</v>
      </c>
      <c r="F1588" s="4" t="str">
        <f>HYPERLINK("http://141.218.60.56/~jnz1568/getInfo.php?workbook=18_08.xlsx&amp;sheet=A0&amp;row=1588&amp;col=6&amp;number=1055&amp;sourceID=14","1055")</f>
        <v>1055</v>
      </c>
      <c r="G1588" s="4" t="str">
        <f>HYPERLINK("http://141.218.60.56/~jnz1568/getInfo.php?workbook=18_08.xlsx&amp;sheet=A0&amp;row=1588&amp;col=7&amp;number=0&amp;sourceID=14","0")</f>
        <v>0</v>
      </c>
    </row>
    <row r="1589" spans="1:7">
      <c r="A1589" s="3">
        <v>18</v>
      </c>
      <c r="B1589" s="3">
        <v>8</v>
      </c>
      <c r="C1589" s="3">
        <v>70</v>
      </c>
      <c r="D1589" s="3">
        <v>26</v>
      </c>
      <c r="E1589" s="3">
        <v>-369.858</v>
      </c>
      <c r="F1589" s="4" t="str">
        <f>HYPERLINK("http://141.218.60.56/~jnz1568/getInfo.php?workbook=18_08.xlsx&amp;sheet=A0&amp;row=1589&amp;col=6&amp;number=0.5204&amp;sourceID=14","0.5204")</f>
        <v>0.5204</v>
      </c>
      <c r="G1589" s="4" t="str">
        <f>HYPERLINK("http://141.218.60.56/~jnz1568/getInfo.php?workbook=18_08.xlsx&amp;sheet=A0&amp;row=1589&amp;col=7&amp;number=0&amp;sourceID=14","0")</f>
        <v>0</v>
      </c>
    </row>
    <row r="1590" spans="1:7">
      <c r="A1590" s="3">
        <v>18</v>
      </c>
      <c r="B1590" s="3">
        <v>8</v>
      </c>
      <c r="C1590" s="3">
        <v>71</v>
      </c>
      <c r="D1590" s="3">
        <v>26</v>
      </c>
      <c r="E1590" s="3">
        <v>352.69</v>
      </c>
      <c r="F1590" s="4" t="str">
        <f>HYPERLINK("http://141.218.60.56/~jnz1568/getInfo.php?workbook=18_08.xlsx&amp;sheet=A0&amp;row=1590&amp;col=6&amp;number=148.4&amp;sourceID=14","148.4")</f>
        <v>148.4</v>
      </c>
      <c r="G1590" s="4" t="str">
        <f>HYPERLINK("http://141.218.60.56/~jnz1568/getInfo.php?workbook=18_08.xlsx&amp;sheet=A0&amp;row=1590&amp;col=7&amp;number=0&amp;sourceID=14","0")</f>
        <v>0</v>
      </c>
    </row>
    <row r="1591" spans="1:7">
      <c r="A1591" s="3">
        <v>18</v>
      </c>
      <c r="B1591" s="3">
        <v>8</v>
      </c>
      <c r="C1591" s="3">
        <v>72</v>
      </c>
      <c r="D1591" s="3">
        <v>26</v>
      </c>
      <c r="E1591" s="3">
        <v>367.477</v>
      </c>
      <c r="F1591" s="4" t="str">
        <f>HYPERLINK("http://141.218.60.56/~jnz1568/getInfo.php?workbook=18_08.xlsx&amp;sheet=A0&amp;row=1591&amp;col=6&amp;number=5738&amp;sourceID=14","5738")</f>
        <v>5738</v>
      </c>
      <c r="G1591" s="4" t="str">
        <f>HYPERLINK("http://141.218.60.56/~jnz1568/getInfo.php?workbook=18_08.xlsx&amp;sheet=A0&amp;row=1591&amp;col=7&amp;number=0&amp;sourceID=14","0")</f>
        <v>0</v>
      </c>
    </row>
    <row r="1592" spans="1:7">
      <c r="A1592" s="3">
        <v>18</v>
      </c>
      <c r="B1592" s="3">
        <v>8</v>
      </c>
      <c r="C1592" s="3">
        <v>73</v>
      </c>
      <c r="D1592" s="3">
        <v>26</v>
      </c>
      <c r="E1592" s="3">
        <v>352.69</v>
      </c>
      <c r="F1592" s="4" t="str">
        <f>HYPERLINK("http://141.218.60.56/~jnz1568/getInfo.php?workbook=18_08.xlsx&amp;sheet=A0&amp;row=1592&amp;col=6&amp;number=30.9&amp;sourceID=14","30.9")</f>
        <v>30.9</v>
      </c>
      <c r="G1592" s="4" t="str">
        <f>HYPERLINK("http://141.218.60.56/~jnz1568/getInfo.php?workbook=18_08.xlsx&amp;sheet=A0&amp;row=1592&amp;col=7&amp;number=0&amp;sourceID=14","0")</f>
        <v>0</v>
      </c>
    </row>
    <row r="1593" spans="1:7">
      <c r="A1593" s="3">
        <v>18</v>
      </c>
      <c r="B1593" s="3">
        <v>8</v>
      </c>
      <c r="C1593" s="3">
        <v>74</v>
      </c>
      <c r="D1593" s="3">
        <v>26</v>
      </c>
      <c r="E1593" s="3">
        <v>338.288</v>
      </c>
      <c r="F1593" s="4" t="str">
        <f>HYPERLINK("http://141.218.60.56/~jnz1568/getInfo.php?workbook=18_08.xlsx&amp;sheet=A0&amp;row=1593&amp;col=6&amp;number=2564&amp;sourceID=14","2564")</f>
        <v>2564</v>
      </c>
      <c r="G1593" s="4" t="str">
        <f>HYPERLINK("http://141.218.60.56/~jnz1568/getInfo.php?workbook=18_08.xlsx&amp;sheet=A0&amp;row=1593&amp;col=7&amp;number=0&amp;sourceID=14","0")</f>
        <v>0</v>
      </c>
    </row>
    <row r="1594" spans="1:7">
      <c r="A1594" s="3">
        <v>18</v>
      </c>
      <c r="B1594" s="3">
        <v>8</v>
      </c>
      <c r="C1594" s="3">
        <v>75</v>
      </c>
      <c r="D1594" s="3">
        <v>26</v>
      </c>
      <c r="E1594" s="3">
        <v>-340.764</v>
      </c>
      <c r="F1594" s="4" t="str">
        <f>HYPERLINK("http://141.218.60.56/~jnz1568/getInfo.php?workbook=18_08.xlsx&amp;sheet=A0&amp;row=1594&amp;col=6&amp;number=22.61&amp;sourceID=14","22.61")</f>
        <v>22.61</v>
      </c>
      <c r="G1594" s="4" t="str">
        <f>HYPERLINK("http://141.218.60.56/~jnz1568/getInfo.php?workbook=18_08.xlsx&amp;sheet=A0&amp;row=1594&amp;col=7&amp;number=0&amp;sourceID=14","0")</f>
        <v>0</v>
      </c>
    </row>
    <row r="1595" spans="1:7">
      <c r="A1595" s="3">
        <v>18</v>
      </c>
      <c r="B1595" s="3">
        <v>8</v>
      </c>
      <c r="C1595" s="3">
        <v>77</v>
      </c>
      <c r="D1595" s="3">
        <v>26</v>
      </c>
      <c r="E1595" s="3">
        <v>338.25</v>
      </c>
      <c r="F1595" s="4" t="str">
        <f>HYPERLINK("http://141.218.60.56/~jnz1568/getInfo.php?workbook=18_08.xlsx&amp;sheet=A0&amp;row=1595&amp;col=6&amp;number=562.3&amp;sourceID=14","562.3")</f>
        <v>562.3</v>
      </c>
      <c r="G1595" s="4" t="str">
        <f>HYPERLINK("http://141.218.60.56/~jnz1568/getInfo.php?workbook=18_08.xlsx&amp;sheet=A0&amp;row=1595&amp;col=7&amp;number=0&amp;sourceID=14","0")</f>
        <v>0</v>
      </c>
    </row>
    <row r="1596" spans="1:7">
      <c r="A1596" s="3">
        <v>18</v>
      </c>
      <c r="B1596" s="3">
        <v>8</v>
      </c>
      <c r="C1596" s="3">
        <v>78</v>
      </c>
      <c r="D1596" s="3">
        <v>26</v>
      </c>
      <c r="E1596" s="3">
        <v>-339.811</v>
      </c>
      <c r="F1596" s="4" t="str">
        <f>HYPERLINK("http://141.218.60.56/~jnz1568/getInfo.php?workbook=18_08.xlsx&amp;sheet=A0&amp;row=1596&amp;col=6&amp;number=4.889&amp;sourceID=14","4.889")</f>
        <v>4.889</v>
      </c>
      <c r="G1596" s="4" t="str">
        <f>HYPERLINK("http://141.218.60.56/~jnz1568/getInfo.php?workbook=18_08.xlsx&amp;sheet=A0&amp;row=1596&amp;col=7&amp;number=0&amp;sourceID=14","0")</f>
        <v>0</v>
      </c>
    </row>
    <row r="1597" spans="1:7">
      <c r="A1597" s="3">
        <v>18</v>
      </c>
      <c r="B1597" s="3">
        <v>8</v>
      </c>
      <c r="C1597" s="3">
        <v>79</v>
      </c>
      <c r="D1597" s="3">
        <v>26</v>
      </c>
      <c r="E1597" s="3">
        <v>-336.397</v>
      </c>
      <c r="F1597" s="4" t="str">
        <f>HYPERLINK("http://141.218.60.56/~jnz1568/getInfo.php?workbook=18_08.xlsx&amp;sheet=A0&amp;row=1597&amp;col=6&amp;number=762.3&amp;sourceID=14","762.3")</f>
        <v>762.3</v>
      </c>
      <c r="G1597" s="4" t="str">
        <f>HYPERLINK("http://141.218.60.56/~jnz1568/getInfo.php?workbook=18_08.xlsx&amp;sheet=A0&amp;row=1597&amp;col=7&amp;number=0&amp;sourceID=14","0")</f>
        <v>0</v>
      </c>
    </row>
    <row r="1598" spans="1:7">
      <c r="A1598" s="3">
        <v>18</v>
      </c>
      <c r="B1598" s="3">
        <v>8</v>
      </c>
      <c r="C1598" s="3">
        <v>80</v>
      </c>
      <c r="D1598" s="3">
        <v>26</v>
      </c>
      <c r="E1598" s="3">
        <v>-334.219</v>
      </c>
      <c r="F1598" s="4" t="str">
        <f>HYPERLINK("http://141.218.60.56/~jnz1568/getInfo.php?workbook=18_08.xlsx&amp;sheet=A0&amp;row=1598&amp;col=6&amp;number=2119&amp;sourceID=14","2119")</f>
        <v>2119</v>
      </c>
      <c r="G1598" s="4" t="str">
        <f>HYPERLINK("http://141.218.60.56/~jnz1568/getInfo.php?workbook=18_08.xlsx&amp;sheet=A0&amp;row=1598&amp;col=7&amp;number=0&amp;sourceID=14","0")</f>
        <v>0</v>
      </c>
    </row>
    <row r="1599" spans="1:7">
      <c r="A1599" s="3">
        <v>18</v>
      </c>
      <c r="B1599" s="3">
        <v>8</v>
      </c>
      <c r="C1599" s="3">
        <v>81</v>
      </c>
      <c r="D1599" s="3">
        <v>26</v>
      </c>
      <c r="E1599" s="3">
        <v>316.918</v>
      </c>
      <c r="F1599" s="4" t="str">
        <f>HYPERLINK("http://141.218.60.56/~jnz1568/getInfo.php?workbook=18_08.xlsx&amp;sheet=A0&amp;row=1599&amp;col=6&amp;number=4297&amp;sourceID=14","4297")</f>
        <v>4297</v>
      </c>
      <c r="G1599" s="4" t="str">
        <f>HYPERLINK("http://141.218.60.56/~jnz1568/getInfo.php?workbook=18_08.xlsx&amp;sheet=A0&amp;row=1599&amp;col=7&amp;number=0&amp;sourceID=14","0")</f>
        <v>0</v>
      </c>
    </row>
    <row r="1600" spans="1:7">
      <c r="A1600" s="3">
        <v>18</v>
      </c>
      <c r="B1600" s="3">
        <v>8</v>
      </c>
      <c r="C1600" s="3">
        <v>82</v>
      </c>
      <c r="D1600" s="3">
        <v>26</v>
      </c>
      <c r="E1600" s="3">
        <v>313.069</v>
      </c>
      <c r="F1600" s="4" t="str">
        <f>HYPERLINK("http://141.218.60.56/~jnz1568/getInfo.php?workbook=18_08.xlsx&amp;sheet=A0&amp;row=1600&amp;col=6&amp;number=6477&amp;sourceID=14","6477")</f>
        <v>6477</v>
      </c>
      <c r="G1600" s="4" t="str">
        <f>HYPERLINK("http://141.218.60.56/~jnz1568/getInfo.php?workbook=18_08.xlsx&amp;sheet=A0&amp;row=1600&amp;col=7&amp;number=0&amp;sourceID=14","0")</f>
        <v>0</v>
      </c>
    </row>
    <row r="1601" spans="1:7">
      <c r="A1601" s="3">
        <v>18</v>
      </c>
      <c r="B1601" s="3">
        <v>8</v>
      </c>
      <c r="C1601" s="3">
        <v>83</v>
      </c>
      <c r="D1601" s="3">
        <v>26</v>
      </c>
      <c r="E1601" s="3">
        <v>303.758</v>
      </c>
      <c r="F1601" s="4" t="str">
        <f>HYPERLINK("http://141.218.60.56/~jnz1568/getInfo.php?workbook=18_08.xlsx&amp;sheet=A0&amp;row=1601&amp;col=6&amp;number=0.6163&amp;sourceID=14","0.6163")</f>
        <v>0.6163</v>
      </c>
      <c r="G1601" s="4" t="str">
        <f>HYPERLINK("http://141.218.60.56/~jnz1568/getInfo.php?workbook=18_08.xlsx&amp;sheet=A0&amp;row=1601&amp;col=7&amp;number=0&amp;sourceID=14","0")</f>
        <v>0</v>
      </c>
    </row>
    <row r="1602" spans="1:7">
      <c r="A1602" s="3">
        <v>18</v>
      </c>
      <c r="B1602" s="3">
        <v>8</v>
      </c>
      <c r="C1602" s="3">
        <v>84</v>
      </c>
      <c r="D1602" s="3">
        <v>26</v>
      </c>
      <c r="E1602" s="3">
        <v>312.784</v>
      </c>
      <c r="F1602" s="4" t="str">
        <f>HYPERLINK("http://141.218.60.56/~jnz1568/getInfo.php?workbook=18_08.xlsx&amp;sheet=A0&amp;row=1602&amp;col=6&amp;number=18270&amp;sourceID=14","18270")</f>
        <v>18270</v>
      </c>
      <c r="G1602" s="4" t="str">
        <f>HYPERLINK("http://141.218.60.56/~jnz1568/getInfo.php?workbook=18_08.xlsx&amp;sheet=A0&amp;row=1602&amp;col=7&amp;number=0&amp;sourceID=14","0")</f>
        <v>0</v>
      </c>
    </row>
    <row r="1603" spans="1:7">
      <c r="A1603" s="3">
        <v>18</v>
      </c>
      <c r="B1603" s="3">
        <v>8</v>
      </c>
      <c r="C1603" s="3">
        <v>85</v>
      </c>
      <c r="D1603" s="3">
        <v>26</v>
      </c>
      <c r="E1603" s="3">
        <v>298.562</v>
      </c>
      <c r="F1603" s="4" t="str">
        <f>HYPERLINK("http://141.218.60.56/~jnz1568/getInfo.php?workbook=18_08.xlsx&amp;sheet=A0&amp;row=1603&amp;col=6&amp;number=44650&amp;sourceID=14","44650")</f>
        <v>44650</v>
      </c>
      <c r="G1603" s="4" t="str">
        <f>HYPERLINK("http://141.218.60.56/~jnz1568/getInfo.php?workbook=18_08.xlsx&amp;sheet=A0&amp;row=1603&amp;col=7&amp;number=0&amp;sourceID=14","0")</f>
        <v>0</v>
      </c>
    </row>
    <row r="1604" spans="1:7">
      <c r="A1604" s="3">
        <v>18</v>
      </c>
      <c r="B1604" s="3">
        <v>8</v>
      </c>
      <c r="C1604" s="3">
        <v>86</v>
      </c>
      <c r="D1604" s="3">
        <v>26</v>
      </c>
      <c r="E1604" s="3">
        <v>273.494</v>
      </c>
      <c r="F1604" s="4" t="str">
        <f>HYPERLINK("http://141.218.60.56/~jnz1568/getInfo.php?workbook=18_08.xlsx&amp;sheet=A0&amp;row=1604&amp;col=6&amp;number=92840&amp;sourceID=14","92840")</f>
        <v>92840</v>
      </c>
      <c r="G1604" s="4" t="str">
        <f>HYPERLINK("http://141.218.60.56/~jnz1568/getInfo.php?workbook=18_08.xlsx&amp;sheet=A0&amp;row=1604&amp;col=7&amp;number=0&amp;sourceID=14","0")</f>
        <v>0</v>
      </c>
    </row>
    <row r="1605" spans="1:7">
      <c r="A1605" s="3">
        <v>18</v>
      </c>
      <c r="B1605" s="3">
        <v>8</v>
      </c>
      <c r="C1605" s="3">
        <v>29</v>
      </c>
      <c r="D1605" s="3">
        <v>27</v>
      </c>
      <c r="E1605" s="3">
        <v>-134745.109</v>
      </c>
      <c r="F1605" s="4" t="str">
        <f>HYPERLINK("http://141.218.60.56/~jnz1568/getInfo.php?workbook=18_08.xlsx&amp;sheet=A0&amp;row=1605&amp;col=6&amp;number=1.11e-11&amp;sourceID=14","1.11e-11")</f>
        <v>1.11e-11</v>
      </c>
      <c r="G1605" s="4" t="str">
        <f>HYPERLINK("http://141.218.60.56/~jnz1568/getInfo.php?workbook=18_08.xlsx&amp;sheet=A0&amp;row=1605&amp;col=7&amp;number=0&amp;sourceID=14","0")</f>
        <v>0</v>
      </c>
    </row>
    <row r="1606" spans="1:7">
      <c r="A1606" s="3">
        <v>18</v>
      </c>
      <c r="B1606" s="3">
        <v>8</v>
      </c>
      <c r="C1606" s="3">
        <v>31</v>
      </c>
      <c r="D1606" s="3">
        <v>27</v>
      </c>
      <c r="E1606" s="3">
        <v>-14485.567</v>
      </c>
      <c r="F1606" s="4" t="str">
        <f>HYPERLINK("http://141.218.60.56/~jnz1568/getInfo.php?workbook=18_08.xlsx&amp;sheet=A0&amp;row=1606&amp;col=6&amp;number=0.2812&amp;sourceID=14","0.2812")</f>
        <v>0.2812</v>
      </c>
      <c r="G1606" s="4" t="str">
        <f>HYPERLINK("http://141.218.60.56/~jnz1568/getInfo.php?workbook=18_08.xlsx&amp;sheet=A0&amp;row=1606&amp;col=7&amp;number=0&amp;sourceID=14","0")</f>
        <v>0</v>
      </c>
    </row>
    <row r="1607" spans="1:7">
      <c r="A1607" s="3">
        <v>18</v>
      </c>
      <c r="B1607" s="3">
        <v>8</v>
      </c>
      <c r="C1607" s="3">
        <v>32</v>
      </c>
      <c r="D1607" s="3">
        <v>27</v>
      </c>
      <c r="E1607" s="3">
        <v>-10193.375</v>
      </c>
      <c r="F1607" s="4" t="str">
        <f>HYPERLINK("http://141.218.60.56/~jnz1568/getInfo.php?workbook=18_08.xlsx&amp;sheet=A0&amp;row=1607&amp;col=6&amp;number=0.0001609&amp;sourceID=14","0.0001609")</f>
        <v>0.0001609</v>
      </c>
      <c r="G1607" s="4" t="str">
        <f>HYPERLINK("http://141.218.60.56/~jnz1568/getInfo.php?workbook=18_08.xlsx&amp;sheet=A0&amp;row=1607&amp;col=7&amp;number=0&amp;sourceID=14","0")</f>
        <v>0</v>
      </c>
    </row>
    <row r="1608" spans="1:7">
      <c r="A1608" s="3">
        <v>18</v>
      </c>
      <c r="B1608" s="3">
        <v>8</v>
      </c>
      <c r="C1608" s="3">
        <v>34</v>
      </c>
      <c r="D1608" s="3">
        <v>27</v>
      </c>
      <c r="E1608" s="3">
        <v>-6217.223</v>
      </c>
      <c r="F1608" s="4" t="str">
        <f>HYPERLINK("http://141.218.60.56/~jnz1568/getInfo.php?workbook=18_08.xlsx&amp;sheet=A0&amp;row=1608&amp;col=6&amp;number=0.008159&amp;sourceID=14","0.008159")</f>
        <v>0.008159</v>
      </c>
      <c r="G1608" s="4" t="str">
        <f>HYPERLINK("http://141.218.60.56/~jnz1568/getInfo.php?workbook=18_08.xlsx&amp;sheet=A0&amp;row=1608&amp;col=7&amp;number=0&amp;sourceID=14","0")</f>
        <v>0</v>
      </c>
    </row>
    <row r="1609" spans="1:7">
      <c r="A1609" s="3">
        <v>18</v>
      </c>
      <c r="B1609" s="3">
        <v>8</v>
      </c>
      <c r="C1609" s="3">
        <v>35</v>
      </c>
      <c r="D1609" s="3">
        <v>27</v>
      </c>
      <c r="E1609" s="3">
        <v>-2025.222</v>
      </c>
      <c r="F1609" s="4" t="str">
        <f>HYPERLINK("http://141.218.60.56/~jnz1568/getInfo.php?workbook=18_08.xlsx&amp;sheet=A0&amp;row=1609&amp;col=6&amp;number=0.6013&amp;sourceID=14","0.6013")</f>
        <v>0.6013</v>
      </c>
      <c r="G1609" s="4" t="str">
        <f>HYPERLINK("http://141.218.60.56/~jnz1568/getInfo.php?workbook=18_08.xlsx&amp;sheet=A0&amp;row=1609&amp;col=7&amp;number=0&amp;sourceID=14","0")</f>
        <v>0</v>
      </c>
    </row>
    <row r="1610" spans="1:7">
      <c r="A1610" s="3">
        <v>18</v>
      </c>
      <c r="B1610" s="3">
        <v>8</v>
      </c>
      <c r="C1610" s="3">
        <v>36</v>
      </c>
      <c r="D1610" s="3">
        <v>27</v>
      </c>
      <c r="E1610" s="3">
        <v>-1690.386</v>
      </c>
      <c r="F1610" s="4" t="str">
        <f>HYPERLINK("http://141.218.60.56/~jnz1568/getInfo.php?workbook=18_08.xlsx&amp;sheet=A0&amp;row=1610&amp;col=6&amp;number=60.06&amp;sourceID=14","60.06")</f>
        <v>60.06</v>
      </c>
      <c r="G1610" s="4" t="str">
        <f>HYPERLINK("http://141.218.60.56/~jnz1568/getInfo.php?workbook=18_08.xlsx&amp;sheet=A0&amp;row=1610&amp;col=7&amp;number=0&amp;sourceID=14","0")</f>
        <v>0</v>
      </c>
    </row>
    <row r="1611" spans="1:7">
      <c r="A1611" s="3">
        <v>18</v>
      </c>
      <c r="B1611" s="3">
        <v>8</v>
      </c>
      <c r="C1611" s="3">
        <v>37</v>
      </c>
      <c r="D1611" s="3">
        <v>27</v>
      </c>
      <c r="E1611" s="3">
        <v>-1780.48</v>
      </c>
      <c r="F1611" s="4" t="str">
        <f>HYPERLINK("http://141.218.60.56/~jnz1568/getInfo.php?workbook=18_08.xlsx&amp;sheet=A0&amp;row=1611&amp;col=6&amp;number=0.6766&amp;sourceID=14","0.6766")</f>
        <v>0.6766</v>
      </c>
      <c r="G1611" s="4" t="str">
        <f>HYPERLINK("http://141.218.60.56/~jnz1568/getInfo.php?workbook=18_08.xlsx&amp;sheet=A0&amp;row=1611&amp;col=7&amp;number=0&amp;sourceID=14","0")</f>
        <v>0</v>
      </c>
    </row>
    <row r="1612" spans="1:7">
      <c r="A1612" s="3">
        <v>18</v>
      </c>
      <c r="B1612" s="3">
        <v>8</v>
      </c>
      <c r="C1612" s="3">
        <v>38</v>
      </c>
      <c r="D1612" s="3">
        <v>27</v>
      </c>
      <c r="E1612" s="3">
        <v>-1396.328</v>
      </c>
      <c r="F1612" s="4" t="str">
        <f>HYPERLINK("http://141.218.60.56/~jnz1568/getInfo.php?workbook=18_08.xlsx&amp;sheet=A0&amp;row=1612&amp;col=6&amp;number=356.9&amp;sourceID=14","356.9")</f>
        <v>356.9</v>
      </c>
      <c r="G1612" s="4" t="str">
        <f>HYPERLINK("http://141.218.60.56/~jnz1568/getInfo.php?workbook=18_08.xlsx&amp;sheet=A0&amp;row=1612&amp;col=7&amp;number=0&amp;sourceID=14","0")</f>
        <v>0</v>
      </c>
    </row>
    <row r="1613" spans="1:7">
      <c r="A1613" s="3">
        <v>18</v>
      </c>
      <c r="B1613" s="3">
        <v>8</v>
      </c>
      <c r="C1613" s="3">
        <v>39</v>
      </c>
      <c r="D1613" s="3">
        <v>27</v>
      </c>
      <c r="E1613" s="3">
        <v>-1394.511</v>
      </c>
      <c r="F1613" s="4" t="str">
        <f>HYPERLINK("http://141.218.60.56/~jnz1568/getInfo.php?workbook=18_08.xlsx&amp;sheet=A0&amp;row=1613&amp;col=6&amp;number=3300&amp;sourceID=14","3300")</f>
        <v>3300</v>
      </c>
      <c r="G1613" s="4" t="str">
        <f>HYPERLINK("http://141.218.60.56/~jnz1568/getInfo.php?workbook=18_08.xlsx&amp;sheet=A0&amp;row=1613&amp;col=7&amp;number=0&amp;sourceID=14","0")</f>
        <v>0</v>
      </c>
    </row>
    <row r="1614" spans="1:7">
      <c r="A1614" s="3">
        <v>18</v>
      </c>
      <c r="B1614" s="3">
        <v>8</v>
      </c>
      <c r="C1614" s="3">
        <v>40</v>
      </c>
      <c r="D1614" s="3">
        <v>27</v>
      </c>
      <c r="E1614" s="3">
        <v>-1391.331</v>
      </c>
      <c r="F1614" s="4" t="str">
        <f>HYPERLINK("http://141.218.60.56/~jnz1568/getInfo.php?workbook=18_08.xlsx&amp;sheet=A0&amp;row=1614&amp;col=6&amp;number=8198&amp;sourceID=14","8198")</f>
        <v>8198</v>
      </c>
      <c r="G1614" s="4" t="str">
        <f>HYPERLINK("http://141.218.60.56/~jnz1568/getInfo.php?workbook=18_08.xlsx&amp;sheet=A0&amp;row=1614&amp;col=7&amp;number=0&amp;sourceID=14","0")</f>
        <v>0</v>
      </c>
    </row>
    <row r="1615" spans="1:7">
      <c r="A1615" s="3">
        <v>18</v>
      </c>
      <c r="B1615" s="3">
        <v>8</v>
      </c>
      <c r="C1615" s="3">
        <v>41</v>
      </c>
      <c r="D1615" s="3">
        <v>27</v>
      </c>
      <c r="E1615" s="3">
        <v>-1386.779</v>
      </c>
      <c r="F1615" s="4" t="str">
        <f>HYPERLINK("http://141.218.60.56/~jnz1568/getInfo.php?workbook=18_08.xlsx&amp;sheet=A0&amp;row=1615&amp;col=6&amp;number=1.266e-06&amp;sourceID=14","1.266e-06")</f>
        <v>1.266e-06</v>
      </c>
      <c r="G1615" s="4" t="str">
        <f>HYPERLINK("http://141.218.60.56/~jnz1568/getInfo.php?workbook=18_08.xlsx&amp;sheet=A0&amp;row=1615&amp;col=7&amp;number=0&amp;sourceID=14","0")</f>
        <v>0</v>
      </c>
    </row>
    <row r="1616" spans="1:7">
      <c r="A1616" s="3">
        <v>18</v>
      </c>
      <c r="B1616" s="3">
        <v>8</v>
      </c>
      <c r="C1616" s="3">
        <v>43</v>
      </c>
      <c r="D1616" s="3">
        <v>27</v>
      </c>
      <c r="E1616" s="3">
        <v>-1683.133</v>
      </c>
      <c r="F1616" s="4" t="str">
        <f>HYPERLINK("http://141.218.60.56/~jnz1568/getInfo.php?workbook=18_08.xlsx&amp;sheet=A0&amp;row=1616&amp;col=6&amp;number=20.7&amp;sourceID=14","20.7")</f>
        <v>20.7</v>
      </c>
      <c r="G1616" s="4" t="str">
        <f>HYPERLINK("http://141.218.60.56/~jnz1568/getInfo.php?workbook=18_08.xlsx&amp;sheet=A0&amp;row=1616&amp;col=7&amp;number=0&amp;sourceID=14","0")</f>
        <v>0</v>
      </c>
    </row>
    <row r="1617" spans="1:7">
      <c r="A1617" s="3">
        <v>18</v>
      </c>
      <c r="B1617" s="3">
        <v>8</v>
      </c>
      <c r="C1617" s="3">
        <v>44</v>
      </c>
      <c r="D1617" s="3">
        <v>27</v>
      </c>
      <c r="E1617" s="3">
        <v>-2363.774</v>
      </c>
      <c r="F1617" s="4" t="str">
        <f>HYPERLINK("http://141.218.60.56/~jnz1568/getInfo.php?workbook=18_08.xlsx&amp;sheet=A0&amp;row=1617&amp;col=6&amp;number=24.49&amp;sourceID=14","24.49")</f>
        <v>24.49</v>
      </c>
      <c r="G1617" s="4" t="str">
        <f>HYPERLINK("http://141.218.60.56/~jnz1568/getInfo.php?workbook=18_08.xlsx&amp;sheet=A0&amp;row=1617&amp;col=7&amp;number=0&amp;sourceID=14","0")</f>
        <v>0</v>
      </c>
    </row>
    <row r="1618" spans="1:7">
      <c r="A1618" s="3">
        <v>18</v>
      </c>
      <c r="B1618" s="3">
        <v>8</v>
      </c>
      <c r="C1618" s="3">
        <v>45</v>
      </c>
      <c r="D1618" s="3">
        <v>27</v>
      </c>
      <c r="E1618" s="3">
        <v>-1739.999</v>
      </c>
      <c r="F1618" s="4" t="str">
        <f>HYPERLINK("http://141.218.60.56/~jnz1568/getInfo.php?workbook=18_08.xlsx&amp;sheet=A0&amp;row=1618&amp;col=6&amp;number=0.4296&amp;sourceID=14","0.4296")</f>
        <v>0.4296</v>
      </c>
      <c r="G1618" s="4" t="str">
        <f>HYPERLINK("http://141.218.60.56/~jnz1568/getInfo.php?workbook=18_08.xlsx&amp;sheet=A0&amp;row=1618&amp;col=7&amp;number=0&amp;sourceID=14","0")</f>
        <v>0</v>
      </c>
    </row>
    <row r="1619" spans="1:7">
      <c r="A1619" s="3">
        <v>18</v>
      </c>
      <c r="B1619" s="3">
        <v>8</v>
      </c>
      <c r="C1619" s="3">
        <v>46</v>
      </c>
      <c r="D1619" s="3">
        <v>27</v>
      </c>
      <c r="E1619" s="3">
        <v>-1463.791</v>
      </c>
      <c r="F1619" s="4" t="str">
        <f>HYPERLINK("http://141.218.60.56/~jnz1568/getInfo.php?workbook=18_08.xlsx&amp;sheet=A0&amp;row=1619&amp;col=6&amp;number=3.776&amp;sourceID=14","3.776")</f>
        <v>3.776</v>
      </c>
      <c r="G1619" s="4" t="str">
        <f>HYPERLINK("http://141.218.60.56/~jnz1568/getInfo.php?workbook=18_08.xlsx&amp;sheet=A0&amp;row=1619&amp;col=7&amp;number=0&amp;sourceID=14","0")</f>
        <v>0</v>
      </c>
    </row>
    <row r="1620" spans="1:7">
      <c r="A1620" s="3">
        <v>18</v>
      </c>
      <c r="B1620" s="3">
        <v>8</v>
      </c>
      <c r="C1620" s="3">
        <v>47</v>
      </c>
      <c r="D1620" s="3">
        <v>27</v>
      </c>
      <c r="E1620" s="3">
        <v>-1587.187</v>
      </c>
      <c r="F1620" s="4" t="str">
        <f>HYPERLINK("http://141.218.60.56/~jnz1568/getInfo.php?workbook=18_08.xlsx&amp;sheet=A0&amp;row=1620&amp;col=6&amp;number=0.02644&amp;sourceID=14","0.02644")</f>
        <v>0.02644</v>
      </c>
      <c r="G1620" s="4" t="str">
        <f>HYPERLINK("http://141.218.60.56/~jnz1568/getInfo.php?workbook=18_08.xlsx&amp;sheet=A0&amp;row=1620&amp;col=7&amp;number=0&amp;sourceID=14","0")</f>
        <v>0</v>
      </c>
    </row>
    <row r="1621" spans="1:7">
      <c r="A1621" s="3">
        <v>18</v>
      </c>
      <c r="B1621" s="3">
        <v>8</v>
      </c>
      <c r="C1621" s="3">
        <v>48</v>
      </c>
      <c r="D1621" s="3">
        <v>27</v>
      </c>
      <c r="E1621" s="3">
        <v>-1378.293</v>
      </c>
      <c r="F1621" s="4" t="str">
        <f>HYPERLINK("http://141.218.60.56/~jnz1568/getInfo.php?workbook=18_08.xlsx&amp;sheet=A0&amp;row=1621&amp;col=6&amp;number=24.92&amp;sourceID=14","24.92")</f>
        <v>24.92</v>
      </c>
      <c r="G1621" s="4" t="str">
        <f>HYPERLINK("http://141.218.60.56/~jnz1568/getInfo.php?workbook=18_08.xlsx&amp;sheet=A0&amp;row=1621&amp;col=7&amp;number=0&amp;sourceID=14","0")</f>
        <v>0</v>
      </c>
    </row>
    <row r="1622" spans="1:7">
      <c r="A1622" s="3">
        <v>18</v>
      </c>
      <c r="B1622" s="3">
        <v>8</v>
      </c>
      <c r="C1622" s="3">
        <v>49</v>
      </c>
      <c r="D1622" s="3">
        <v>27</v>
      </c>
      <c r="E1622" s="3">
        <v>-1203.973</v>
      </c>
      <c r="F1622" s="4" t="str">
        <f>HYPERLINK("http://141.218.60.56/~jnz1568/getInfo.php?workbook=18_08.xlsx&amp;sheet=A0&amp;row=1622&amp;col=6&amp;number=75.84&amp;sourceID=14","75.84")</f>
        <v>75.84</v>
      </c>
      <c r="G1622" s="4" t="str">
        <f>HYPERLINK("http://141.218.60.56/~jnz1568/getInfo.php?workbook=18_08.xlsx&amp;sheet=A0&amp;row=1622&amp;col=7&amp;number=0&amp;sourceID=14","0")</f>
        <v>0</v>
      </c>
    </row>
    <row r="1623" spans="1:7">
      <c r="A1623" s="3">
        <v>18</v>
      </c>
      <c r="B1623" s="3">
        <v>8</v>
      </c>
      <c r="C1623" s="3">
        <v>50</v>
      </c>
      <c r="D1623" s="3">
        <v>27</v>
      </c>
      <c r="E1623" s="3">
        <v>-1163.338</v>
      </c>
      <c r="F1623" s="4" t="str">
        <f>HYPERLINK("http://141.218.60.56/~jnz1568/getInfo.php?workbook=18_08.xlsx&amp;sheet=A0&amp;row=1623&amp;col=6&amp;number=45.79&amp;sourceID=14","45.79")</f>
        <v>45.79</v>
      </c>
      <c r="G1623" s="4" t="str">
        <f>HYPERLINK("http://141.218.60.56/~jnz1568/getInfo.php?workbook=18_08.xlsx&amp;sheet=A0&amp;row=1623&amp;col=7&amp;number=0&amp;sourceID=14","0")</f>
        <v>0</v>
      </c>
    </row>
    <row r="1624" spans="1:7">
      <c r="A1624" s="3">
        <v>18</v>
      </c>
      <c r="B1624" s="3">
        <v>8</v>
      </c>
      <c r="C1624" s="3">
        <v>51</v>
      </c>
      <c r="D1624" s="3">
        <v>27</v>
      </c>
      <c r="E1624" s="3">
        <v>-920.313</v>
      </c>
      <c r="F1624" s="4" t="str">
        <f>HYPERLINK("http://141.218.60.56/~jnz1568/getInfo.php?workbook=18_08.xlsx&amp;sheet=A0&amp;row=1624&amp;col=6&amp;number=3905000&amp;sourceID=14","3905000")</f>
        <v>3905000</v>
      </c>
      <c r="G1624" s="4" t="str">
        <f>HYPERLINK("http://141.218.60.56/~jnz1568/getInfo.php?workbook=18_08.xlsx&amp;sheet=A0&amp;row=1624&amp;col=7&amp;number=0&amp;sourceID=14","0")</f>
        <v>0</v>
      </c>
    </row>
    <row r="1625" spans="1:7">
      <c r="A1625" s="3">
        <v>18</v>
      </c>
      <c r="B1625" s="3">
        <v>8</v>
      </c>
      <c r="C1625" s="3">
        <v>52</v>
      </c>
      <c r="D1625" s="3">
        <v>27</v>
      </c>
      <c r="E1625" s="3">
        <v>-911.996</v>
      </c>
      <c r="F1625" s="4" t="str">
        <f>HYPERLINK("http://141.218.60.56/~jnz1568/getInfo.php?workbook=18_08.xlsx&amp;sheet=A0&amp;row=1625&amp;col=6&amp;number=11220000&amp;sourceID=14","11220000")</f>
        <v>11220000</v>
      </c>
      <c r="G1625" s="4" t="str">
        <f>HYPERLINK("http://141.218.60.56/~jnz1568/getInfo.php?workbook=18_08.xlsx&amp;sheet=A0&amp;row=1625&amp;col=7&amp;number=0&amp;sourceID=14","0")</f>
        <v>0</v>
      </c>
    </row>
    <row r="1626" spans="1:7">
      <c r="A1626" s="3">
        <v>18</v>
      </c>
      <c r="B1626" s="3">
        <v>8</v>
      </c>
      <c r="C1626" s="3">
        <v>53</v>
      </c>
      <c r="D1626" s="3">
        <v>27</v>
      </c>
      <c r="E1626" s="3">
        <v>-1145.037</v>
      </c>
      <c r="F1626" s="4" t="str">
        <f>HYPERLINK("http://141.218.60.56/~jnz1568/getInfo.php?workbook=18_08.xlsx&amp;sheet=A0&amp;row=1626&amp;col=6&amp;number=7.285&amp;sourceID=14","7.285")</f>
        <v>7.285</v>
      </c>
      <c r="G1626" s="4" t="str">
        <f>HYPERLINK("http://141.218.60.56/~jnz1568/getInfo.php?workbook=18_08.xlsx&amp;sheet=A0&amp;row=1626&amp;col=7&amp;number=0&amp;sourceID=14","0")</f>
        <v>0</v>
      </c>
    </row>
    <row r="1627" spans="1:7">
      <c r="A1627" s="3">
        <v>18</v>
      </c>
      <c r="B1627" s="3">
        <v>8</v>
      </c>
      <c r="C1627" s="3">
        <v>54</v>
      </c>
      <c r="D1627" s="3">
        <v>27</v>
      </c>
      <c r="E1627" s="3">
        <v>-904.66</v>
      </c>
      <c r="F1627" s="4" t="str">
        <f>HYPERLINK("http://141.218.60.56/~jnz1568/getInfo.php?workbook=18_08.xlsx&amp;sheet=A0&amp;row=1627&amp;col=6&amp;number=0.000189&amp;sourceID=14","0.000189")</f>
        <v>0.000189</v>
      </c>
      <c r="G1627" s="4" t="str">
        <f>HYPERLINK("http://141.218.60.56/~jnz1568/getInfo.php?workbook=18_08.xlsx&amp;sheet=A0&amp;row=1627&amp;col=7&amp;number=0&amp;sourceID=14","0")</f>
        <v>0</v>
      </c>
    </row>
    <row r="1628" spans="1:7">
      <c r="A1628" s="3">
        <v>18</v>
      </c>
      <c r="B1628" s="3">
        <v>8</v>
      </c>
      <c r="C1628" s="3">
        <v>55</v>
      </c>
      <c r="D1628" s="3">
        <v>27</v>
      </c>
      <c r="E1628" s="3">
        <v>-854.944</v>
      </c>
      <c r="F1628" s="4" t="str">
        <f>HYPERLINK("http://141.218.60.56/~jnz1568/getInfo.php?workbook=18_08.xlsx&amp;sheet=A0&amp;row=1628&amp;col=6&amp;number=64.89&amp;sourceID=14","64.89")</f>
        <v>64.89</v>
      </c>
      <c r="G1628" s="4" t="str">
        <f>HYPERLINK("http://141.218.60.56/~jnz1568/getInfo.php?workbook=18_08.xlsx&amp;sheet=A0&amp;row=1628&amp;col=7&amp;number=0&amp;sourceID=14","0")</f>
        <v>0</v>
      </c>
    </row>
    <row r="1629" spans="1:7">
      <c r="A1629" s="3">
        <v>18</v>
      </c>
      <c r="B1629" s="3">
        <v>8</v>
      </c>
      <c r="C1629" s="3">
        <v>56</v>
      </c>
      <c r="D1629" s="3">
        <v>27</v>
      </c>
      <c r="E1629" s="3">
        <v>-606.308</v>
      </c>
      <c r="F1629" s="4" t="str">
        <f>HYPERLINK("http://141.218.60.56/~jnz1568/getInfo.php?workbook=18_08.xlsx&amp;sheet=A0&amp;row=1629&amp;col=6&amp;number=620700000&amp;sourceID=14","620700000")</f>
        <v>620700000</v>
      </c>
      <c r="G1629" s="4" t="str">
        <f>HYPERLINK("http://141.218.60.56/~jnz1568/getInfo.php?workbook=18_08.xlsx&amp;sheet=A0&amp;row=1629&amp;col=7&amp;number=0&amp;sourceID=14","0")</f>
        <v>0</v>
      </c>
    </row>
    <row r="1630" spans="1:7">
      <c r="A1630" s="3">
        <v>18</v>
      </c>
      <c r="B1630" s="3">
        <v>8</v>
      </c>
      <c r="C1630" s="3">
        <v>57</v>
      </c>
      <c r="D1630" s="3">
        <v>27</v>
      </c>
      <c r="E1630" s="3">
        <v>-593.617</v>
      </c>
      <c r="F1630" s="4" t="str">
        <f>HYPERLINK("http://141.218.60.56/~jnz1568/getInfo.php?workbook=18_08.xlsx&amp;sheet=A0&amp;row=1630&amp;col=6&amp;number=0.1535&amp;sourceID=14","0.1535")</f>
        <v>0.1535</v>
      </c>
      <c r="G1630" s="4" t="str">
        <f>HYPERLINK("http://141.218.60.56/~jnz1568/getInfo.php?workbook=18_08.xlsx&amp;sheet=A0&amp;row=1630&amp;col=7&amp;number=0&amp;sourceID=14","0")</f>
        <v>0</v>
      </c>
    </row>
    <row r="1631" spans="1:7">
      <c r="A1631" s="3">
        <v>18</v>
      </c>
      <c r="B1631" s="3">
        <v>8</v>
      </c>
      <c r="C1631" s="3">
        <v>58</v>
      </c>
      <c r="D1631" s="3">
        <v>27</v>
      </c>
      <c r="E1631" s="3">
        <v>-584.166</v>
      </c>
      <c r="F1631" s="4" t="str">
        <f>HYPERLINK("http://141.218.60.56/~jnz1568/getInfo.php?workbook=18_08.xlsx&amp;sheet=A0&amp;row=1631&amp;col=6&amp;number=1116000000&amp;sourceID=14","1116000000")</f>
        <v>1116000000</v>
      </c>
      <c r="G1631" s="4" t="str">
        <f>HYPERLINK("http://141.218.60.56/~jnz1568/getInfo.php?workbook=18_08.xlsx&amp;sheet=A0&amp;row=1631&amp;col=7&amp;number=0&amp;sourceID=14","0")</f>
        <v>0</v>
      </c>
    </row>
    <row r="1632" spans="1:7">
      <c r="A1632" s="3">
        <v>18</v>
      </c>
      <c r="B1632" s="3">
        <v>8</v>
      </c>
      <c r="C1632" s="3">
        <v>60</v>
      </c>
      <c r="D1632" s="3">
        <v>27</v>
      </c>
      <c r="E1632" s="3">
        <v>-556.909</v>
      </c>
      <c r="F1632" s="4" t="str">
        <f>HYPERLINK("http://141.218.60.56/~jnz1568/getInfo.php?workbook=18_08.xlsx&amp;sheet=A0&amp;row=1632&amp;col=6&amp;number=0.0202&amp;sourceID=14","0.0202")</f>
        <v>0.0202</v>
      </c>
      <c r="G1632" s="4" t="str">
        <f>HYPERLINK("http://141.218.60.56/~jnz1568/getInfo.php?workbook=18_08.xlsx&amp;sheet=A0&amp;row=1632&amp;col=7&amp;number=0&amp;sourceID=14","0")</f>
        <v>0</v>
      </c>
    </row>
    <row r="1633" spans="1:7">
      <c r="A1633" s="3">
        <v>18</v>
      </c>
      <c r="B1633" s="3">
        <v>8</v>
      </c>
      <c r="C1633" s="3">
        <v>64</v>
      </c>
      <c r="D1633" s="3">
        <v>27</v>
      </c>
      <c r="E1633" s="3">
        <v>-505.891</v>
      </c>
      <c r="F1633" s="4" t="str">
        <f>HYPERLINK("http://141.218.60.56/~jnz1568/getInfo.php?workbook=18_08.xlsx&amp;sheet=A0&amp;row=1633&amp;col=6&amp;number=2234000000&amp;sourceID=14","2234000000")</f>
        <v>2234000000</v>
      </c>
      <c r="G1633" s="4" t="str">
        <f>HYPERLINK("http://141.218.60.56/~jnz1568/getInfo.php?workbook=18_08.xlsx&amp;sheet=A0&amp;row=1633&amp;col=7&amp;number=0&amp;sourceID=14","0")</f>
        <v>0</v>
      </c>
    </row>
    <row r="1634" spans="1:7">
      <c r="A1634" s="3">
        <v>18</v>
      </c>
      <c r="B1634" s="3">
        <v>8</v>
      </c>
      <c r="C1634" s="3">
        <v>65</v>
      </c>
      <c r="D1634" s="3">
        <v>27</v>
      </c>
      <c r="E1634" s="3">
        <v>-595.229</v>
      </c>
      <c r="F1634" s="4" t="str">
        <f>HYPERLINK("http://141.218.60.56/~jnz1568/getInfo.php?workbook=18_08.xlsx&amp;sheet=A0&amp;row=1634&amp;col=6&amp;number=0.1312&amp;sourceID=14","0.1312")</f>
        <v>0.1312</v>
      </c>
      <c r="G1634" s="4" t="str">
        <f>HYPERLINK("http://141.218.60.56/~jnz1568/getInfo.php?workbook=18_08.xlsx&amp;sheet=A0&amp;row=1634&amp;col=7&amp;number=0&amp;sourceID=14","0")</f>
        <v>0</v>
      </c>
    </row>
    <row r="1635" spans="1:7">
      <c r="A1635" s="3">
        <v>18</v>
      </c>
      <c r="B1635" s="3">
        <v>8</v>
      </c>
      <c r="C1635" s="3">
        <v>66</v>
      </c>
      <c r="D1635" s="3">
        <v>27</v>
      </c>
      <c r="E1635" s="3">
        <v>-510.619</v>
      </c>
      <c r="F1635" s="4" t="str">
        <f>HYPERLINK("http://141.218.60.56/~jnz1568/getInfo.php?workbook=18_08.xlsx&amp;sheet=A0&amp;row=1635&amp;col=6&amp;number=136400000&amp;sourceID=14","136400000")</f>
        <v>136400000</v>
      </c>
      <c r="G1635" s="4" t="str">
        <f>HYPERLINK("http://141.218.60.56/~jnz1568/getInfo.php?workbook=18_08.xlsx&amp;sheet=A0&amp;row=1635&amp;col=7&amp;number=0&amp;sourceID=14","0")</f>
        <v>0</v>
      </c>
    </row>
    <row r="1636" spans="1:7">
      <c r="A1636" s="3">
        <v>18</v>
      </c>
      <c r="B1636" s="3">
        <v>8</v>
      </c>
      <c r="C1636" s="3">
        <v>67</v>
      </c>
      <c r="D1636" s="3">
        <v>27</v>
      </c>
      <c r="E1636" s="3">
        <v>-531.13</v>
      </c>
      <c r="F1636" s="4" t="str">
        <f>HYPERLINK("http://141.218.60.56/~jnz1568/getInfo.php?workbook=18_08.xlsx&amp;sheet=A0&amp;row=1636&amp;col=6&amp;number=7644000&amp;sourceID=14","7644000")</f>
        <v>7644000</v>
      </c>
      <c r="G1636" s="4" t="str">
        <f>HYPERLINK("http://141.218.60.56/~jnz1568/getInfo.php?workbook=18_08.xlsx&amp;sheet=A0&amp;row=1636&amp;col=7&amp;number=0&amp;sourceID=14","0")</f>
        <v>0</v>
      </c>
    </row>
    <row r="1637" spans="1:7">
      <c r="A1637" s="3">
        <v>18</v>
      </c>
      <c r="B1637" s="3">
        <v>8</v>
      </c>
      <c r="C1637" s="3">
        <v>68</v>
      </c>
      <c r="D1637" s="3">
        <v>27</v>
      </c>
      <c r="E1637" s="3">
        <v>-503.818</v>
      </c>
      <c r="F1637" s="4" t="str">
        <f>HYPERLINK("http://141.218.60.56/~jnz1568/getInfo.php?workbook=18_08.xlsx&amp;sheet=A0&amp;row=1637&amp;col=6&amp;number=0.008955&amp;sourceID=14","0.008955")</f>
        <v>0.008955</v>
      </c>
      <c r="G1637" s="4" t="str">
        <f>HYPERLINK("http://141.218.60.56/~jnz1568/getInfo.php?workbook=18_08.xlsx&amp;sheet=A0&amp;row=1637&amp;col=7&amp;number=0&amp;sourceID=14","0")</f>
        <v>0</v>
      </c>
    </row>
    <row r="1638" spans="1:7">
      <c r="A1638" s="3">
        <v>18</v>
      </c>
      <c r="B1638" s="3">
        <v>8</v>
      </c>
      <c r="C1638" s="3">
        <v>69</v>
      </c>
      <c r="D1638" s="3">
        <v>27</v>
      </c>
      <c r="E1638" s="3">
        <v>-485.18</v>
      </c>
      <c r="F1638" s="4" t="str">
        <f>HYPERLINK("http://141.218.60.56/~jnz1568/getInfo.php?workbook=18_08.xlsx&amp;sheet=A0&amp;row=1638&amp;col=6&amp;number=133700000&amp;sourceID=14","133700000")</f>
        <v>133700000</v>
      </c>
      <c r="G1638" s="4" t="str">
        <f>HYPERLINK("http://141.218.60.56/~jnz1568/getInfo.php?workbook=18_08.xlsx&amp;sheet=A0&amp;row=1638&amp;col=7&amp;number=0&amp;sourceID=14","0")</f>
        <v>0</v>
      </c>
    </row>
    <row r="1639" spans="1:7">
      <c r="A1639" s="3">
        <v>18</v>
      </c>
      <c r="B1639" s="3">
        <v>8</v>
      </c>
      <c r="C1639" s="3">
        <v>70</v>
      </c>
      <c r="D1639" s="3">
        <v>27</v>
      </c>
      <c r="E1639" s="3">
        <v>-475.847</v>
      </c>
      <c r="F1639" s="4" t="str">
        <f>HYPERLINK("http://141.218.60.56/~jnz1568/getInfo.php?workbook=18_08.xlsx&amp;sheet=A0&amp;row=1639&amp;col=6&amp;number=734900000&amp;sourceID=14","734900000")</f>
        <v>734900000</v>
      </c>
      <c r="G1639" s="4" t="str">
        <f>HYPERLINK("http://141.218.60.56/~jnz1568/getInfo.php?workbook=18_08.xlsx&amp;sheet=A0&amp;row=1639&amp;col=7&amp;number=0&amp;sourceID=14","0")</f>
        <v>0</v>
      </c>
    </row>
    <row r="1640" spans="1:7">
      <c r="A1640" s="3">
        <v>18</v>
      </c>
      <c r="B1640" s="3">
        <v>8</v>
      </c>
      <c r="C1640" s="3">
        <v>71</v>
      </c>
      <c r="D1640" s="3">
        <v>27</v>
      </c>
      <c r="E1640" s="3">
        <v>-474.362</v>
      </c>
      <c r="F1640" s="4" t="str">
        <f>HYPERLINK("http://141.218.60.56/~jnz1568/getInfo.php?workbook=18_08.xlsx&amp;sheet=A0&amp;row=1640&amp;col=6&amp;number=240300000&amp;sourceID=14","240300000")</f>
        <v>240300000</v>
      </c>
      <c r="G1640" s="4" t="str">
        <f>HYPERLINK("http://141.218.60.56/~jnz1568/getInfo.php?workbook=18_08.xlsx&amp;sheet=A0&amp;row=1640&amp;col=7&amp;number=0&amp;sourceID=14","0")</f>
        <v>0</v>
      </c>
    </row>
    <row r="1641" spans="1:7">
      <c r="A1641" s="3">
        <v>18</v>
      </c>
      <c r="B1641" s="3">
        <v>8</v>
      </c>
      <c r="C1641" s="3">
        <v>72</v>
      </c>
      <c r="D1641" s="3">
        <v>27</v>
      </c>
      <c r="E1641" s="3">
        <v>-490.055</v>
      </c>
      <c r="F1641" s="4" t="str">
        <f>HYPERLINK("http://141.218.60.56/~jnz1568/getInfo.php?workbook=18_08.xlsx&amp;sheet=A0&amp;row=1641&amp;col=6&amp;number=1137000000&amp;sourceID=14","1137000000")</f>
        <v>1137000000</v>
      </c>
      <c r="G1641" s="4" t="str">
        <f>HYPERLINK("http://141.218.60.56/~jnz1568/getInfo.php?workbook=18_08.xlsx&amp;sheet=A0&amp;row=1641&amp;col=7&amp;number=0&amp;sourceID=14","0")</f>
        <v>0</v>
      </c>
    </row>
    <row r="1642" spans="1:7">
      <c r="A1642" s="3">
        <v>18</v>
      </c>
      <c r="B1642" s="3">
        <v>8</v>
      </c>
      <c r="C1642" s="3">
        <v>73</v>
      </c>
      <c r="D1642" s="3">
        <v>27</v>
      </c>
      <c r="E1642" s="3">
        <v>-464.318</v>
      </c>
      <c r="F1642" s="4" t="str">
        <f>HYPERLINK("http://141.218.60.56/~jnz1568/getInfo.php?workbook=18_08.xlsx&amp;sheet=A0&amp;row=1642&amp;col=6&amp;number=706700&amp;sourceID=14","706700")</f>
        <v>706700</v>
      </c>
      <c r="G1642" s="4" t="str">
        <f>HYPERLINK("http://141.218.60.56/~jnz1568/getInfo.php?workbook=18_08.xlsx&amp;sheet=A0&amp;row=1642&amp;col=7&amp;number=0&amp;sourceID=14","0")</f>
        <v>0</v>
      </c>
    </row>
    <row r="1643" spans="1:7">
      <c r="A1643" s="3">
        <v>18</v>
      </c>
      <c r="B1643" s="3">
        <v>8</v>
      </c>
      <c r="C1643" s="3">
        <v>74</v>
      </c>
      <c r="D1643" s="3">
        <v>27</v>
      </c>
      <c r="E1643" s="3">
        <v>-435.188</v>
      </c>
      <c r="F1643" s="4" t="str">
        <f>HYPERLINK("http://141.218.60.56/~jnz1568/getInfo.php?workbook=18_08.xlsx&amp;sheet=A0&amp;row=1643&amp;col=6&amp;number=0.0005834&amp;sourceID=14","0.0005834")</f>
        <v>0.0005834</v>
      </c>
      <c r="G1643" s="4" t="str">
        <f>HYPERLINK("http://141.218.60.56/~jnz1568/getInfo.php?workbook=18_08.xlsx&amp;sheet=A0&amp;row=1643&amp;col=7&amp;number=0&amp;sourceID=14","0")</f>
        <v>0</v>
      </c>
    </row>
    <row r="1644" spans="1:7">
      <c r="A1644" s="3">
        <v>18</v>
      </c>
      <c r="B1644" s="3">
        <v>8</v>
      </c>
      <c r="C1644" s="3">
        <v>75</v>
      </c>
      <c r="D1644" s="3">
        <v>27</v>
      </c>
      <c r="E1644" s="3">
        <v>-428.751</v>
      </c>
      <c r="F1644" s="4" t="str">
        <f>HYPERLINK("http://141.218.60.56/~jnz1568/getInfo.php?workbook=18_08.xlsx&amp;sheet=A0&amp;row=1644&amp;col=6&amp;number=6028000&amp;sourceID=14","6028000")</f>
        <v>6028000</v>
      </c>
      <c r="G1644" s="4" t="str">
        <f>HYPERLINK("http://141.218.60.56/~jnz1568/getInfo.php?workbook=18_08.xlsx&amp;sheet=A0&amp;row=1644&amp;col=7&amp;number=0&amp;sourceID=14","0")</f>
        <v>0</v>
      </c>
    </row>
    <row r="1645" spans="1:7">
      <c r="A1645" s="3">
        <v>18</v>
      </c>
      <c r="B1645" s="3">
        <v>8</v>
      </c>
      <c r="C1645" s="3">
        <v>77</v>
      </c>
      <c r="D1645" s="3">
        <v>27</v>
      </c>
      <c r="E1645" s="3">
        <v>-424.588</v>
      </c>
      <c r="F1645" s="4" t="str">
        <f>HYPERLINK("http://141.218.60.56/~jnz1568/getInfo.php?workbook=18_08.xlsx&amp;sheet=A0&amp;row=1645&amp;col=6&amp;number=0.06151&amp;sourceID=14","0.06151")</f>
        <v>0.06151</v>
      </c>
      <c r="G1645" s="4" t="str">
        <f>HYPERLINK("http://141.218.60.56/~jnz1568/getInfo.php?workbook=18_08.xlsx&amp;sheet=A0&amp;row=1645&amp;col=7&amp;number=0&amp;sourceID=14","0")</f>
        <v>0</v>
      </c>
    </row>
    <row r="1646" spans="1:7">
      <c r="A1646" s="3">
        <v>18</v>
      </c>
      <c r="B1646" s="3">
        <v>8</v>
      </c>
      <c r="C1646" s="3">
        <v>78</v>
      </c>
      <c r="D1646" s="3">
        <v>27</v>
      </c>
      <c r="E1646" s="3">
        <v>-427.244</v>
      </c>
      <c r="F1646" s="4" t="str">
        <f>HYPERLINK("http://141.218.60.56/~jnz1568/getInfo.php?workbook=18_08.xlsx&amp;sheet=A0&amp;row=1646&amp;col=6&amp;number=815100&amp;sourceID=14","815100")</f>
        <v>815100</v>
      </c>
      <c r="G1646" s="4" t="str">
        <f>HYPERLINK("http://141.218.60.56/~jnz1568/getInfo.php?workbook=18_08.xlsx&amp;sheet=A0&amp;row=1646&amp;col=7&amp;number=0&amp;sourceID=14","0")</f>
        <v>0</v>
      </c>
    </row>
    <row r="1647" spans="1:7">
      <c r="A1647" s="3">
        <v>18</v>
      </c>
      <c r="B1647" s="3">
        <v>8</v>
      </c>
      <c r="C1647" s="3">
        <v>79</v>
      </c>
      <c r="D1647" s="3">
        <v>27</v>
      </c>
      <c r="E1647" s="3">
        <v>-421.861</v>
      </c>
      <c r="F1647" s="4" t="str">
        <f>HYPERLINK("http://141.218.60.56/~jnz1568/getInfo.php?workbook=18_08.xlsx&amp;sheet=A0&amp;row=1647&amp;col=6&amp;number=6283000&amp;sourceID=14","6283000")</f>
        <v>6283000</v>
      </c>
      <c r="G1647" s="4" t="str">
        <f>HYPERLINK("http://141.218.60.56/~jnz1568/getInfo.php?workbook=18_08.xlsx&amp;sheet=A0&amp;row=1647&amp;col=7&amp;number=0&amp;sourceID=14","0")</f>
        <v>0</v>
      </c>
    </row>
    <row r="1648" spans="1:7">
      <c r="A1648" s="3">
        <v>18</v>
      </c>
      <c r="B1648" s="3">
        <v>8</v>
      </c>
      <c r="C1648" s="3">
        <v>80</v>
      </c>
      <c r="D1648" s="3">
        <v>27</v>
      </c>
      <c r="E1648" s="3">
        <v>-418.441</v>
      </c>
      <c r="F1648" s="4" t="str">
        <f>HYPERLINK("http://141.218.60.56/~jnz1568/getInfo.php?workbook=18_08.xlsx&amp;sheet=A0&amp;row=1648&amp;col=6&amp;number=13860000&amp;sourceID=14","13860000")</f>
        <v>13860000</v>
      </c>
      <c r="G1648" s="4" t="str">
        <f>HYPERLINK("http://141.218.60.56/~jnz1568/getInfo.php?workbook=18_08.xlsx&amp;sheet=A0&amp;row=1648&amp;col=7&amp;number=0&amp;sourceID=14","0")</f>
        <v>0</v>
      </c>
    </row>
    <row r="1649" spans="1:7">
      <c r="A1649" s="3">
        <v>18</v>
      </c>
      <c r="B1649" s="3">
        <v>8</v>
      </c>
      <c r="C1649" s="3">
        <v>81</v>
      </c>
      <c r="D1649" s="3">
        <v>27</v>
      </c>
      <c r="E1649" s="3">
        <v>-401.104</v>
      </c>
      <c r="F1649" s="4" t="str">
        <f>HYPERLINK("http://141.218.60.56/~jnz1568/getInfo.php?workbook=18_08.xlsx&amp;sheet=A0&amp;row=1649&amp;col=6&amp;number=15890000&amp;sourceID=14","15890000")</f>
        <v>15890000</v>
      </c>
      <c r="G1649" s="4" t="str">
        <f>HYPERLINK("http://141.218.60.56/~jnz1568/getInfo.php?workbook=18_08.xlsx&amp;sheet=A0&amp;row=1649&amp;col=7&amp;number=0&amp;sourceID=14","0")</f>
        <v>0</v>
      </c>
    </row>
    <row r="1650" spans="1:7">
      <c r="A1650" s="3">
        <v>18</v>
      </c>
      <c r="B1650" s="3">
        <v>8</v>
      </c>
      <c r="C1650" s="3">
        <v>82</v>
      </c>
      <c r="D1650" s="3">
        <v>27</v>
      </c>
      <c r="E1650" s="3">
        <v>-395.911</v>
      </c>
      <c r="F1650" s="4" t="str">
        <f>HYPERLINK("http://141.218.60.56/~jnz1568/getInfo.php?workbook=18_08.xlsx&amp;sheet=A0&amp;row=1650&amp;col=6&amp;number=0.05264&amp;sourceID=14","0.05264")</f>
        <v>0.05264</v>
      </c>
      <c r="G1650" s="4" t="str">
        <f>HYPERLINK("http://141.218.60.56/~jnz1568/getInfo.php?workbook=18_08.xlsx&amp;sheet=A0&amp;row=1650&amp;col=7&amp;number=0&amp;sourceID=14","0")</f>
        <v>0</v>
      </c>
    </row>
    <row r="1651" spans="1:7">
      <c r="A1651" s="3">
        <v>18</v>
      </c>
      <c r="B1651" s="3">
        <v>8</v>
      </c>
      <c r="C1651" s="3">
        <v>83</v>
      </c>
      <c r="D1651" s="3">
        <v>27</v>
      </c>
      <c r="E1651" s="3">
        <v>-395.576</v>
      </c>
      <c r="F1651" s="4" t="str">
        <f>HYPERLINK("http://141.218.60.56/~jnz1568/getInfo.php?workbook=18_08.xlsx&amp;sheet=A0&amp;row=1651&amp;col=6&amp;number=973200&amp;sourceID=14","973200")</f>
        <v>973200</v>
      </c>
      <c r="G1651" s="4" t="str">
        <f>HYPERLINK("http://141.218.60.56/~jnz1568/getInfo.php?workbook=18_08.xlsx&amp;sheet=A0&amp;row=1651&amp;col=7&amp;number=0&amp;sourceID=14","0")</f>
        <v>0</v>
      </c>
    </row>
    <row r="1652" spans="1:7">
      <c r="A1652" s="3">
        <v>18</v>
      </c>
      <c r="B1652" s="3">
        <v>8</v>
      </c>
      <c r="C1652" s="3">
        <v>84</v>
      </c>
      <c r="D1652" s="3">
        <v>27</v>
      </c>
      <c r="E1652" s="3">
        <v>-376.586</v>
      </c>
      <c r="F1652" s="4" t="str">
        <f>HYPERLINK("http://141.218.60.56/~jnz1568/getInfo.php?workbook=18_08.xlsx&amp;sheet=A0&amp;row=1652&amp;col=6&amp;number=123000000&amp;sourceID=14","123000000")</f>
        <v>123000000</v>
      </c>
      <c r="G1652" s="4" t="str">
        <f>HYPERLINK("http://141.218.60.56/~jnz1568/getInfo.php?workbook=18_08.xlsx&amp;sheet=A0&amp;row=1652&amp;col=7&amp;number=0&amp;sourceID=14","0")</f>
        <v>0</v>
      </c>
    </row>
    <row r="1653" spans="1:7">
      <c r="A1653" s="3">
        <v>18</v>
      </c>
      <c r="B1653" s="3">
        <v>8</v>
      </c>
      <c r="C1653" s="3">
        <v>85</v>
      </c>
      <c r="D1653" s="3">
        <v>27</v>
      </c>
      <c r="E1653" s="3">
        <v>-371.476</v>
      </c>
      <c r="F1653" s="4" t="str">
        <f>HYPERLINK("http://141.218.60.56/~jnz1568/getInfo.php?workbook=18_08.xlsx&amp;sheet=A0&amp;row=1653&amp;col=6&amp;number=0.4211&amp;sourceID=14","0.4211")</f>
        <v>0.4211</v>
      </c>
      <c r="G1653" s="4" t="str">
        <f>HYPERLINK("http://141.218.60.56/~jnz1568/getInfo.php?workbook=18_08.xlsx&amp;sheet=A0&amp;row=1653&amp;col=7&amp;number=0&amp;sourceID=14","0")</f>
        <v>0</v>
      </c>
    </row>
    <row r="1654" spans="1:7">
      <c r="A1654" s="3">
        <v>18</v>
      </c>
      <c r="B1654" s="3">
        <v>8</v>
      </c>
      <c r="C1654" s="3">
        <v>86</v>
      </c>
      <c r="D1654" s="3">
        <v>27</v>
      </c>
      <c r="E1654" s="3">
        <v>-333.134</v>
      </c>
      <c r="F1654" s="4" t="str">
        <f>HYPERLINK("http://141.218.60.56/~jnz1568/getInfo.php?workbook=18_08.xlsx&amp;sheet=A0&amp;row=1654&amp;col=6&amp;number=6101000&amp;sourceID=14","6101000")</f>
        <v>6101000</v>
      </c>
      <c r="G1654" s="4" t="str">
        <f>HYPERLINK("http://141.218.60.56/~jnz1568/getInfo.php?workbook=18_08.xlsx&amp;sheet=A0&amp;row=1654&amp;col=7&amp;number=0&amp;sourceID=14","0")</f>
        <v>0</v>
      </c>
    </row>
    <row r="1655" spans="1:7">
      <c r="A1655" s="3">
        <v>18</v>
      </c>
      <c r="B1655" s="3">
        <v>8</v>
      </c>
      <c r="C1655" s="3">
        <v>29</v>
      </c>
      <c r="D1655" s="3">
        <v>28</v>
      </c>
      <c r="E1655" s="3">
        <v>-24593.186</v>
      </c>
      <c r="F1655" s="4" t="str">
        <f>HYPERLINK("http://141.218.60.56/~jnz1568/getInfo.php?workbook=18_08.xlsx&amp;sheet=A0&amp;row=1655&amp;col=6&amp;number=1.222&amp;sourceID=14","1.222")</f>
        <v>1.222</v>
      </c>
      <c r="G1655" s="4" t="str">
        <f>HYPERLINK("http://141.218.60.56/~jnz1568/getInfo.php?workbook=18_08.xlsx&amp;sheet=A0&amp;row=1655&amp;col=7&amp;number=0&amp;sourceID=14","0")</f>
        <v>0</v>
      </c>
    </row>
    <row r="1656" spans="1:7">
      <c r="A1656" s="3">
        <v>18</v>
      </c>
      <c r="B1656" s="3">
        <v>8</v>
      </c>
      <c r="C1656" s="3">
        <v>31</v>
      </c>
      <c r="D1656" s="3">
        <v>28</v>
      </c>
      <c r="E1656" s="3">
        <v>-9777.61</v>
      </c>
      <c r="F1656" s="4" t="str">
        <f>HYPERLINK("http://141.218.60.56/~jnz1568/getInfo.php?workbook=18_08.xlsx&amp;sheet=A0&amp;row=1656&amp;col=6&amp;number=2.693&amp;sourceID=14","2.693")</f>
        <v>2.693</v>
      </c>
      <c r="G1656" s="4" t="str">
        <f>HYPERLINK("http://141.218.60.56/~jnz1568/getInfo.php?workbook=18_08.xlsx&amp;sheet=A0&amp;row=1656&amp;col=7&amp;number=0&amp;sourceID=14","0")</f>
        <v>0</v>
      </c>
    </row>
    <row r="1657" spans="1:7">
      <c r="A1657" s="3">
        <v>18</v>
      </c>
      <c r="B1657" s="3">
        <v>8</v>
      </c>
      <c r="C1657" s="3">
        <v>32</v>
      </c>
      <c r="D1657" s="3">
        <v>28</v>
      </c>
      <c r="E1657" s="3">
        <v>-7613.643</v>
      </c>
      <c r="F1657" s="4" t="str">
        <f>HYPERLINK("http://141.218.60.56/~jnz1568/getInfo.php?workbook=18_08.xlsx&amp;sheet=A0&amp;row=1657&amp;col=6&amp;number=0.0125&amp;sourceID=14","0.0125")</f>
        <v>0.0125</v>
      </c>
      <c r="G1657" s="4" t="str">
        <f>HYPERLINK("http://141.218.60.56/~jnz1568/getInfo.php?workbook=18_08.xlsx&amp;sheet=A0&amp;row=1657&amp;col=7&amp;number=0&amp;sourceID=14","0")</f>
        <v>0</v>
      </c>
    </row>
    <row r="1658" spans="1:7">
      <c r="A1658" s="3">
        <v>18</v>
      </c>
      <c r="B1658" s="3">
        <v>8</v>
      </c>
      <c r="C1658" s="3">
        <v>33</v>
      </c>
      <c r="D1658" s="3">
        <v>28</v>
      </c>
      <c r="E1658" s="3">
        <v>-6170.024</v>
      </c>
      <c r="F1658" s="4" t="str">
        <f>HYPERLINK("http://141.218.60.56/~jnz1568/getInfo.php?workbook=18_08.xlsx&amp;sheet=A0&amp;row=1658&amp;col=6&amp;number=0.004331&amp;sourceID=14","0.004331")</f>
        <v>0.004331</v>
      </c>
      <c r="G1658" s="4" t="str">
        <f>HYPERLINK("http://141.218.60.56/~jnz1568/getInfo.php?workbook=18_08.xlsx&amp;sheet=A0&amp;row=1658&amp;col=7&amp;number=0&amp;sourceID=14","0")</f>
        <v>0</v>
      </c>
    </row>
    <row r="1659" spans="1:7">
      <c r="A1659" s="3">
        <v>18</v>
      </c>
      <c r="B1659" s="3">
        <v>8</v>
      </c>
      <c r="C1659" s="3">
        <v>34</v>
      </c>
      <c r="D1659" s="3">
        <v>28</v>
      </c>
      <c r="E1659" s="3">
        <v>-5152.414</v>
      </c>
      <c r="F1659" s="4" t="str">
        <f>HYPERLINK("http://141.218.60.56/~jnz1568/getInfo.php?workbook=18_08.xlsx&amp;sheet=A0&amp;row=1659&amp;col=6&amp;number=0.01254&amp;sourceID=14","0.01254")</f>
        <v>0.01254</v>
      </c>
      <c r="G1659" s="4" t="str">
        <f>HYPERLINK("http://141.218.60.56/~jnz1568/getInfo.php?workbook=18_08.xlsx&amp;sheet=A0&amp;row=1659&amp;col=7&amp;number=0&amp;sourceID=14","0")</f>
        <v>0</v>
      </c>
    </row>
    <row r="1660" spans="1:7">
      <c r="A1660" s="3">
        <v>18</v>
      </c>
      <c r="B1660" s="3">
        <v>8</v>
      </c>
      <c r="C1660" s="3">
        <v>35</v>
      </c>
      <c r="D1660" s="3">
        <v>28</v>
      </c>
      <c r="E1660" s="3">
        <v>-1897.485</v>
      </c>
      <c r="F1660" s="4" t="str">
        <f>HYPERLINK("http://141.218.60.56/~jnz1568/getInfo.php?workbook=18_08.xlsx&amp;sheet=A0&amp;row=1660&amp;col=6&amp;number=0.01424&amp;sourceID=14","0.01424")</f>
        <v>0.01424</v>
      </c>
      <c r="G1660" s="4" t="str">
        <f>HYPERLINK("http://141.218.60.56/~jnz1568/getInfo.php?workbook=18_08.xlsx&amp;sheet=A0&amp;row=1660&amp;col=7&amp;number=0&amp;sourceID=14","0")</f>
        <v>0</v>
      </c>
    </row>
    <row r="1661" spans="1:7">
      <c r="A1661" s="3">
        <v>18</v>
      </c>
      <c r="B1661" s="3">
        <v>8</v>
      </c>
      <c r="C1661" s="3">
        <v>36</v>
      </c>
      <c r="D1661" s="3">
        <v>28</v>
      </c>
      <c r="E1661" s="3">
        <v>-1600.458</v>
      </c>
      <c r="F1661" s="4" t="str">
        <f>HYPERLINK("http://141.218.60.56/~jnz1568/getInfo.php?workbook=18_08.xlsx&amp;sheet=A0&amp;row=1661&amp;col=6&amp;number=1.501&amp;sourceID=14","1.501")</f>
        <v>1.501</v>
      </c>
      <c r="G1661" s="4" t="str">
        <f>HYPERLINK("http://141.218.60.56/~jnz1568/getInfo.php?workbook=18_08.xlsx&amp;sheet=A0&amp;row=1661&amp;col=7&amp;number=0&amp;sourceID=14","0")</f>
        <v>0</v>
      </c>
    </row>
    <row r="1662" spans="1:7">
      <c r="A1662" s="3">
        <v>18</v>
      </c>
      <c r="B1662" s="3">
        <v>8</v>
      </c>
      <c r="C1662" s="3">
        <v>37</v>
      </c>
      <c r="D1662" s="3">
        <v>28</v>
      </c>
      <c r="E1662" s="3">
        <v>-1680.993</v>
      </c>
      <c r="F1662" s="4" t="str">
        <f>HYPERLINK("http://141.218.60.56/~jnz1568/getInfo.php?workbook=18_08.xlsx&amp;sheet=A0&amp;row=1662&amp;col=6&amp;number=22.43&amp;sourceID=14","22.43")</f>
        <v>22.43</v>
      </c>
      <c r="G1662" s="4" t="str">
        <f>HYPERLINK("http://141.218.60.56/~jnz1568/getInfo.php?workbook=18_08.xlsx&amp;sheet=A0&amp;row=1662&amp;col=7&amp;number=0&amp;sourceID=14","0")</f>
        <v>0</v>
      </c>
    </row>
    <row r="1663" spans="1:7">
      <c r="A1663" s="3">
        <v>18</v>
      </c>
      <c r="B1663" s="3">
        <v>8</v>
      </c>
      <c r="C1663" s="3">
        <v>38</v>
      </c>
      <c r="D1663" s="3">
        <v>28</v>
      </c>
      <c r="E1663" s="3">
        <v>-1334.393</v>
      </c>
      <c r="F1663" s="4" t="str">
        <f>HYPERLINK("http://141.218.60.56/~jnz1568/getInfo.php?workbook=18_08.xlsx&amp;sheet=A0&amp;row=1663&amp;col=6&amp;number=3.089e-06&amp;sourceID=14","3.089e-06")</f>
        <v>3.089e-06</v>
      </c>
      <c r="G1663" s="4" t="str">
        <f>HYPERLINK("http://141.218.60.56/~jnz1568/getInfo.php?workbook=18_08.xlsx&amp;sheet=A0&amp;row=1663&amp;col=7&amp;number=0&amp;sourceID=14","0")</f>
        <v>0</v>
      </c>
    </row>
    <row r="1664" spans="1:7">
      <c r="A1664" s="3">
        <v>18</v>
      </c>
      <c r="B1664" s="3">
        <v>8</v>
      </c>
      <c r="C1664" s="3">
        <v>39</v>
      </c>
      <c r="D1664" s="3">
        <v>28</v>
      </c>
      <c r="E1664" s="3">
        <v>-1332.733</v>
      </c>
      <c r="F1664" s="4" t="str">
        <f>HYPERLINK("http://141.218.60.56/~jnz1568/getInfo.php?workbook=18_08.xlsx&amp;sheet=A0&amp;row=1664&amp;col=6&amp;number=4024&amp;sourceID=14","4024")</f>
        <v>4024</v>
      </c>
      <c r="G1664" s="4" t="str">
        <f>HYPERLINK("http://141.218.60.56/~jnz1568/getInfo.php?workbook=18_08.xlsx&amp;sheet=A0&amp;row=1664&amp;col=7&amp;number=0&amp;sourceID=14","0")</f>
        <v>0</v>
      </c>
    </row>
    <row r="1665" spans="1:7">
      <c r="A1665" s="3">
        <v>18</v>
      </c>
      <c r="B1665" s="3">
        <v>8</v>
      </c>
      <c r="C1665" s="3">
        <v>40</v>
      </c>
      <c r="D1665" s="3">
        <v>28</v>
      </c>
      <c r="E1665" s="3">
        <v>-1329.829</v>
      </c>
      <c r="F1665" s="4" t="str">
        <f>HYPERLINK("http://141.218.60.56/~jnz1568/getInfo.php?workbook=18_08.xlsx&amp;sheet=A0&amp;row=1665&amp;col=6&amp;number=26240&amp;sourceID=14","26240")</f>
        <v>26240</v>
      </c>
      <c r="G1665" s="4" t="str">
        <f>HYPERLINK("http://141.218.60.56/~jnz1568/getInfo.php?workbook=18_08.xlsx&amp;sheet=A0&amp;row=1665&amp;col=7&amp;number=0&amp;sourceID=14","0")</f>
        <v>0</v>
      </c>
    </row>
    <row r="1666" spans="1:7">
      <c r="A1666" s="3">
        <v>18</v>
      </c>
      <c r="B1666" s="3">
        <v>8</v>
      </c>
      <c r="C1666" s="3">
        <v>41</v>
      </c>
      <c r="D1666" s="3">
        <v>28</v>
      </c>
      <c r="E1666" s="3">
        <v>-1325.67</v>
      </c>
      <c r="F1666" s="4" t="str">
        <f>HYPERLINK("http://141.218.60.56/~jnz1568/getInfo.php?workbook=18_08.xlsx&amp;sheet=A0&amp;row=1666&amp;col=6&amp;number=10680&amp;sourceID=14","10680")</f>
        <v>10680</v>
      </c>
      <c r="G1666" s="4" t="str">
        <f>HYPERLINK("http://141.218.60.56/~jnz1568/getInfo.php?workbook=18_08.xlsx&amp;sheet=A0&amp;row=1666&amp;col=7&amp;number=0&amp;sourceID=14","0")</f>
        <v>0</v>
      </c>
    </row>
    <row r="1667" spans="1:7">
      <c r="A1667" s="3">
        <v>18</v>
      </c>
      <c r="B1667" s="3">
        <v>8</v>
      </c>
      <c r="C1667" s="3">
        <v>42</v>
      </c>
      <c r="D1667" s="3">
        <v>28</v>
      </c>
      <c r="E1667" s="3">
        <v>-1318.82</v>
      </c>
      <c r="F1667" s="4" t="str">
        <f>HYPERLINK("http://141.218.60.56/~jnz1568/getInfo.php?workbook=18_08.xlsx&amp;sheet=A0&amp;row=1667&amp;col=6&amp;number=5.66e-06&amp;sourceID=14","5.66e-06")</f>
        <v>5.66e-06</v>
      </c>
      <c r="G1667" s="4" t="str">
        <f>HYPERLINK("http://141.218.60.56/~jnz1568/getInfo.php?workbook=18_08.xlsx&amp;sheet=A0&amp;row=1667&amp;col=7&amp;number=0&amp;sourceID=14","0")</f>
        <v>0</v>
      </c>
    </row>
    <row r="1668" spans="1:7">
      <c r="A1668" s="3">
        <v>18</v>
      </c>
      <c r="B1668" s="3">
        <v>8</v>
      </c>
      <c r="C1668" s="3">
        <v>43</v>
      </c>
      <c r="D1668" s="3">
        <v>28</v>
      </c>
      <c r="E1668" s="3">
        <v>-1593.955</v>
      </c>
      <c r="F1668" s="4" t="str">
        <f>HYPERLINK("http://141.218.60.56/~jnz1568/getInfo.php?workbook=18_08.xlsx&amp;sheet=A0&amp;row=1668&amp;col=6&amp;number=16.35&amp;sourceID=14","16.35")</f>
        <v>16.35</v>
      </c>
      <c r="G1668" s="4" t="str">
        <f>HYPERLINK("http://141.218.60.56/~jnz1568/getInfo.php?workbook=18_08.xlsx&amp;sheet=A0&amp;row=1668&amp;col=7&amp;number=0&amp;sourceID=14","0")</f>
        <v>0</v>
      </c>
    </row>
    <row r="1669" spans="1:7">
      <c r="A1669" s="3">
        <v>18</v>
      </c>
      <c r="B1669" s="3">
        <v>8</v>
      </c>
      <c r="C1669" s="3">
        <v>44</v>
      </c>
      <c r="D1669" s="3">
        <v>28</v>
      </c>
      <c r="E1669" s="3">
        <v>-2191.577</v>
      </c>
      <c r="F1669" s="4" t="str">
        <f>HYPERLINK("http://141.218.60.56/~jnz1568/getInfo.php?workbook=18_08.xlsx&amp;sheet=A0&amp;row=1669&amp;col=6&amp;number=2.106&amp;sourceID=14","2.106")</f>
        <v>2.106</v>
      </c>
      <c r="G1669" s="4" t="str">
        <f>HYPERLINK("http://141.218.60.56/~jnz1568/getInfo.php?workbook=18_08.xlsx&amp;sheet=A0&amp;row=1669&amp;col=7&amp;number=0&amp;sourceID=14","0")</f>
        <v>0</v>
      </c>
    </row>
    <row r="1670" spans="1:7">
      <c r="A1670" s="3">
        <v>18</v>
      </c>
      <c r="B1670" s="3">
        <v>8</v>
      </c>
      <c r="C1670" s="3">
        <v>45</v>
      </c>
      <c r="D1670" s="3">
        <v>28</v>
      </c>
      <c r="E1670" s="3">
        <v>-1644.863</v>
      </c>
      <c r="F1670" s="4" t="str">
        <f>HYPERLINK("http://141.218.60.56/~jnz1568/getInfo.php?workbook=18_08.xlsx&amp;sheet=A0&amp;row=1670&amp;col=6&amp;number=2.216&amp;sourceID=14","2.216")</f>
        <v>2.216</v>
      </c>
      <c r="G1670" s="4" t="str">
        <f>HYPERLINK("http://141.218.60.56/~jnz1568/getInfo.php?workbook=18_08.xlsx&amp;sheet=A0&amp;row=1670&amp;col=7&amp;number=0&amp;sourceID=14","0")</f>
        <v>0</v>
      </c>
    </row>
    <row r="1671" spans="1:7">
      <c r="A1671" s="3">
        <v>18</v>
      </c>
      <c r="B1671" s="3">
        <v>8</v>
      </c>
      <c r="C1671" s="3">
        <v>46</v>
      </c>
      <c r="D1671" s="3">
        <v>28</v>
      </c>
      <c r="E1671" s="3">
        <v>-1395.872</v>
      </c>
      <c r="F1671" s="4" t="str">
        <f>HYPERLINK("http://141.218.60.56/~jnz1568/getInfo.php?workbook=18_08.xlsx&amp;sheet=A0&amp;row=1671&amp;col=6&amp;number=40.68&amp;sourceID=14","40.68")</f>
        <v>40.68</v>
      </c>
      <c r="G1671" s="4" t="str">
        <f>HYPERLINK("http://141.218.60.56/~jnz1568/getInfo.php?workbook=18_08.xlsx&amp;sheet=A0&amp;row=1671&amp;col=7&amp;number=0&amp;sourceID=14","0")</f>
        <v>0</v>
      </c>
    </row>
    <row r="1672" spans="1:7">
      <c r="A1672" s="3">
        <v>18</v>
      </c>
      <c r="B1672" s="3">
        <v>8</v>
      </c>
      <c r="C1672" s="3">
        <v>47</v>
      </c>
      <c r="D1672" s="3">
        <v>28</v>
      </c>
      <c r="E1672" s="3">
        <v>-1507.646</v>
      </c>
      <c r="F1672" s="4" t="str">
        <f>HYPERLINK("http://141.218.60.56/~jnz1568/getInfo.php?workbook=18_08.xlsx&amp;sheet=A0&amp;row=1672&amp;col=6&amp;number=22.46&amp;sourceID=14","22.46")</f>
        <v>22.46</v>
      </c>
      <c r="G1672" s="4" t="str">
        <f>HYPERLINK("http://141.218.60.56/~jnz1568/getInfo.php?workbook=18_08.xlsx&amp;sheet=A0&amp;row=1672&amp;col=7&amp;number=0&amp;sourceID=14","0")</f>
        <v>0</v>
      </c>
    </row>
    <row r="1673" spans="1:7">
      <c r="A1673" s="3">
        <v>18</v>
      </c>
      <c r="B1673" s="3">
        <v>8</v>
      </c>
      <c r="C1673" s="3">
        <v>48</v>
      </c>
      <c r="D1673" s="3">
        <v>28</v>
      </c>
      <c r="E1673" s="3">
        <v>-1317.913</v>
      </c>
      <c r="F1673" s="4" t="str">
        <f>HYPERLINK("http://141.218.60.56/~jnz1568/getInfo.php?workbook=18_08.xlsx&amp;sheet=A0&amp;row=1673&amp;col=6&amp;number=154.8&amp;sourceID=14","154.8")</f>
        <v>154.8</v>
      </c>
      <c r="G1673" s="4" t="str">
        <f>HYPERLINK("http://141.218.60.56/~jnz1568/getInfo.php?workbook=18_08.xlsx&amp;sheet=A0&amp;row=1673&amp;col=7&amp;number=0&amp;sourceID=14","0")</f>
        <v>0</v>
      </c>
    </row>
    <row r="1674" spans="1:7">
      <c r="A1674" s="3">
        <v>18</v>
      </c>
      <c r="B1674" s="3">
        <v>8</v>
      </c>
      <c r="C1674" s="3">
        <v>49</v>
      </c>
      <c r="D1674" s="3">
        <v>28</v>
      </c>
      <c r="E1674" s="3">
        <v>-1157.643</v>
      </c>
      <c r="F1674" s="4" t="str">
        <f>HYPERLINK("http://141.218.60.56/~jnz1568/getInfo.php?workbook=18_08.xlsx&amp;sheet=A0&amp;row=1674&amp;col=6&amp;number=73.66&amp;sourceID=14","73.66")</f>
        <v>73.66</v>
      </c>
      <c r="G1674" s="4" t="str">
        <f>HYPERLINK("http://141.218.60.56/~jnz1568/getInfo.php?workbook=18_08.xlsx&amp;sheet=A0&amp;row=1674&amp;col=7&amp;number=0&amp;sourceID=14","0")</f>
        <v>0</v>
      </c>
    </row>
    <row r="1675" spans="1:7">
      <c r="A1675" s="3">
        <v>18</v>
      </c>
      <c r="B1675" s="3">
        <v>8</v>
      </c>
      <c r="C1675" s="3">
        <v>50</v>
      </c>
      <c r="D1675" s="3">
        <v>28</v>
      </c>
      <c r="E1675" s="3">
        <v>-1120.027</v>
      </c>
      <c r="F1675" s="4" t="str">
        <f>HYPERLINK("http://141.218.60.56/~jnz1568/getInfo.php?workbook=18_08.xlsx&amp;sheet=A0&amp;row=1675&amp;col=6&amp;number=7.333&amp;sourceID=14","7.333")</f>
        <v>7.333</v>
      </c>
      <c r="G1675" s="4" t="str">
        <f>HYPERLINK("http://141.218.60.56/~jnz1568/getInfo.php?workbook=18_08.xlsx&amp;sheet=A0&amp;row=1675&amp;col=7&amp;number=0&amp;sourceID=14","0")</f>
        <v>0</v>
      </c>
    </row>
    <row r="1676" spans="1:7">
      <c r="A1676" s="3">
        <v>18</v>
      </c>
      <c r="B1676" s="3">
        <v>8</v>
      </c>
      <c r="C1676" s="3">
        <v>51</v>
      </c>
      <c r="D1676" s="3">
        <v>28</v>
      </c>
      <c r="E1676" s="3">
        <v>-892.995</v>
      </c>
      <c r="F1676" s="4" t="str">
        <f>HYPERLINK("http://141.218.60.56/~jnz1568/getInfo.php?workbook=18_08.xlsx&amp;sheet=A0&amp;row=1676&amp;col=6&amp;number=16220000&amp;sourceID=14","16220000")</f>
        <v>16220000</v>
      </c>
      <c r="G1676" s="4" t="str">
        <f>HYPERLINK("http://141.218.60.56/~jnz1568/getInfo.php?workbook=18_08.xlsx&amp;sheet=A0&amp;row=1676&amp;col=7&amp;number=0&amp;sourceID=14","0")</f>
        <v>0</v>
      </c>
    </row>
    <row r="1677" spans="1:7">
      <c r="A1677" s="3">
        <v>18</v>
      </c>
      <c r="B1677" s="3">
        <v>8</v>
      </c>
      <c r="C1677" s="3">
        <v>52</v>
      </c>
      <c r="D1677" s="3">
        <v>28</v>
      </c>
      <c r="E1677" s="3">
        <v>-885.163</v>
      </c>
      <c r="F1677" s="4" t="str">
        <f>HYPERLINK("http://141.218.60.56/~jnz1568/getInfo.php?workbook=18_08.xlsx&amp;sheet=A0&amp;row=1677&amp;col=6&amp;number=12010000&amp;sourceID=14","12010000")</f>
        <v>12010000</v>
      </c>
      <c r="G1677" s="4" t="str">
        <f>HYPERLINK("http://141.218.60.56/~jnz1568/getInfo.php?workbook=18_08.xlsx&amp;sheet=A0&amp;row=1677&amp;col=7&amp;number=0&amp;sourceID=14","0")</f>
        <v>0</v>
      </c>
    </row>
    <row r="1678" spans="1:7">
      <c r="A1678" s="3">
        <v>18</v>
      </c>
      <c r="B1678" s="3">
        <v>8</v>
      </c>
      <c r="C1678" s="3">
        <v>53</v>
      </c>
      <c r="D1678" s="3">
        <v>28</v>
      </c>
      <c r="E1678" s="3">
        <v>-1103.053</v>
      </c>
      <c r="F1678" s="4" t="str">
        <f>HYPERLINK("http://141.218.60.56/~jnz1568/getInfo.php?workbook=18_08.xlsx&amp;sheet=A0&amp;row=1678&amp;col=6&amp;number=11.71&amp;sourceID=14","11.71")</f>
        <v>11.71</v>
      </c>
      <c r="G1678" s="4" t="str">
        <f>HYPERLINK("http://141.218.60.56/~jnz1568/getInfo.php?workbook=18_08.xlsx&amp;sheet=A0&amp;row=1678&amp;col=7&amp;number=0&amp;sourceID=14","0")</f>
        <v>0</v>
      </c>
    </row>
    <row r="1679" spans="1:7">
      <c r="A1679" s="3">
        <v>18</v>
      </c>
      <c r="B1679" s="3">
        <v>8</v>
      </c>
      <c r="C1679" s="3">
        <v>54</v>
      </c>
      <c r="D1679" s="3">
        <v>28</v>
      </c>
      <c r="E1679" s="3">
        <v>-878.25</v>
      </c>
      <c r="F1679" s="4" t="str">
        <f>HYPERLINK("http://141.218.60.56/~jnz1568/getInfo.php?workbook=18_08.xlsx&amp;sheet=A0&amp;row=1679&amp;col=6&amp;number=3752000&amp;sourceID=14","3752000")</f>
        <v>3752000</v>
      </c>
      <c r="G1679" s="4" t="str">
        <f>HYPERLINK("http://141.218.60.56/~jnz1568/getInfo.php?workbook=18_08.xlsx&amp;sheet=A0&amp;row=1679&amp;col=7&amp;number=0&amp;sourceID=14","0")</f>
        <v>0</v>
      </c>
    </row>
    <row r="1680" spans="1:7">
      <c r="A1680" s="3">
        <v>18</v>
      </c>
      <c r="B1680" s="3">
        <v>8</v>
      </c>
      <c r="C1680" s="3">
        <v>55</v>
      </c>
      <c r="D1680" s="3">
        <v>28</v>
      </c>
      <c r="E1680" s="3">
        <v>-831.319</v>
      </c>
      <c r="F1680" s="4" t="str">
        <f>HYPERLINK("http://141.218.60.56/~jnz1568/getInfo.php?workbook=18_08.xlsx&amp;sheet=A0&amp;row=1680&amp;col=6&amp;number=85.5&amp;sourceID=14","85.5")</f>
        <v>85.5</v>
      </c>
      <c r="G1680" s="4" t="str">
        <f>HYPERLINK("http://141.218.60.56/~jnz1568/getInfo.php?workbook=18_08.xlsx&amp;sheet=A0&amp;row=1680&amp;col=7&amp;number=0&amp;sourceID=14","0")</f>
        <v>0</v>
      </c>
    </row>
    <row r="1681" spans="1:7">
      <c r="A1681" s="3">
        <v>18</v>
      </c>
      <c r="B1681" s="3">
        <v>8</v>
      </c>
      <c r="C1681" s="3">
        <v>56</v>
      </c>
      <c r="D1681" s="3">
        <v>28</v>
      </c>
      <c r="E1681" s="3">
        <v>-594.33</v>
      </c>
      <c r="F1681" s="4" t="str">
        <f>HYPERLINK("http://141.218.60.56/~jnz1568/getInfo.php?workbook=18_08.xlsx&amp;sheet=A0&amp;row=1681&amp;col=6&amp;number=602700000&amp;sourceID=14","602700000")</f>
        <v>602700000</v>
      </c>
      <c r="G1681" s="4" t="str">
        <f>HYPERLINK("http://141.218.60.56/~jnz1568/getInfo.php?workbook=18_08.xlsx&amp;sheet=A0&amp;row=1681&amp;col=7&amp;number=0&amp;sourceID=14","0")</f>
        <v>0</v>
      </c>
    </row>
    <row r="1682" spans="1:7">
      <c r="A1682" s="3">
        <v>18</v>
      </c>
      <c r="B1682" s="3">
        <v>8</v>
      </c>
      <c r="C1682" s="3">
        <v>57</v>
      </c>
      <c r="D1682" s="3">
        <v>28</v>
      </c>
      <c r="E1682" s="3">
        <v>-582.131</v>
      </c>
      <c r="F1682" s="4" t="str">
        <f>HYPERLINK("http://141.218.60.56/~jnz1568/getInfo.php?workbook=18_08.xlsx&amp;sheet=A0&amp;row=1682&amp;col=6&amp;number=1621000000&amp;sourceID=14","1621000000")</f>
        <v>1621000000</v>
      </c>
      <c r="G1682" s="4" t="str">
        <f>HYPERLINK("http://141.218.60.56/~jnz1568/getInfo.php?workbook=18_08.xlsx&amp;sheet=A0&amp;row=1682&amp;col=7&amp;number=0&amp;sourceID=14","0")</f>
        <v>0</v>
      </c>
    </row>
    <row r="1683" spans="1:7">
      <c r="A1683" s="3">
        <v>18</v>
      </c>
      <c r="B1683" s="3">
        <v>8</v>
      </c>
      <c r="C1683" s="3">
        <v>58</v>
      </c>
      <c r="D1683" s="3">
        <v>28</v>
      </c>
      <c r="E1683" s="3">
        <v>-573.039</v>
      </c>
      <c r="F1683" s="4" t="str">
        <f>HYPERLINK("http://141.218.60.56/~jnz1568/getInfo.php?workbook=18_08.xlsx&amp;sheet=A0&amp;row=1683&amp;col=6&amp;number=0.0006224&amp;sourceID=14","0.0006224")</f>
        <v>0.0006224</v>
      </c>
      <c r="G1683" s="4" t="str">
        <f>HYPERLINK("http://141.218.60.56/~jnz1568/getInfo.php?workbook=18_08.xlsx&amp;sheet=A0&amp;row=1683&amp;col=7&amp;number=0&amp;sourceID=14","0")</f>
        <v>0</v>
      </c>
    </row>
    <row r="1684" spans="1:7">
      <c r="A1684" s="3">
        <v>18</v>
      </c>
      <c r="B1684" s="3">
        <v>8</v>
      </c>
      <c r="C1684" s="3">
        <v>59</v>
      </c>
      <c r="D1684" s="3">
        <v>28</v>
      </c>
      <c r="E1684" s="3">
        <v>-568.457</v>
      </c>
      <c r="F1684" s="4" t="str">
        <f>HYPERLINK("http://141.218.60.56/~jnz1568/getInfo.php?workbook=18_08.xlsx&amp;sheet=A0&amp;row=1684&amp;col=6&amp;number=0.3666&amp;sourceID=14","0.3666")</f>
        <v>0.3666</v>
      </c>
      <c r="G1684" s="4" t="str">
        <f>HYPERLINK("http://141.218.60.56/~jnz1568/getInfo.php?workbook=18_08.xlsx&amp;sheet=A0&amp;row=1684&amp;col=7&amp;number=0&amp;sourceID=14","0")</f>
        <v>0</v>
      </c>
    </row>
    <row r="1685" spans="1:7">
      <c r="A1685" s="3">
        <v>18</v>
      </c>
      <c r="B1685" s="3">
        <v>8</v>
      </c>
      <c r="C1685" s="3">
        <v>60</v>
      </c>
      <c r="D1685" s="3">
        <v>28</v>
      </c>
      <c r="E1685" s="3">
        <v>-546.787</v>
      </c>
      <c r="F1685" s="4" t="str">
        <f>HYPERLINK("http://141.218.60.56/~jnz1568/getInfo.php?workbook=18_08.xlsx&amp;sheet=A0&amp;row=1685&amp;col=6&amp;number=33450000&amp;sourceID=14","33450000")</f>
        <v>33450000</v>
      </c>
      <c r="G1685" s="4" t="str">
        <f>HYPERLINK("http://141.218.60.56/~jnz1568/getInfo.php?workbook=18_08.xlsx&amp;sheet=A0&amp;row=1685&amp;col=7&amp;number=0&amp;sourceID=14","0")</f>
        <v>0</v>
      </c>
    </row>
    <row r="1686" spans="1:7">
      <c r="A1686" s="3">
        <v>18</v>
      </c>
      <c r="B1686" s="3">
        <v>8</v>
      </c>
      <c r="C1686" s="3">
        <v>61</v>
      </c>
      <c r="D1686" s="3">
        <v>28</v>
      </c>
      <c r="E1686" s="3">
        <v>-542.035</v>
      </c>
      <c r="F1686" s="4" t="str">
        <f>HYPERLINK("http://141.218.60.56/~jnz1568/getInfo.php?workbook=18_08.xlsx&amp;sheet=A0&amp;row=1686&amp;col=6&amp;number=0.1722&amp;sourceID=14","0.1722")</f>
        <v>0.1722</v>
      </c>
      <c r="G1686" s="4" t="str">
        <f>HYPERLINK("http://141.218.60.56/~jnz1568/getInfo.php?workbook=18_08.xlsx&amp;sheet=A0&amp;row=1686&amp;col=7&amp;number=0&amp;sourceID=14","0")</f>
        <v>0</v>
      </c>
    </row>
    <row r="1687" spans="1:7">
      <c r="A1687" s="3">
        <v>18</v>
      </c>
      <c r="B1687" s="3">
        <v>8</v>
      </c>
      <c r="C1687" s="3">
        <v>63</v>
      </c>
      <c r="D1687" s="3">
        <v>28</v>
      </c>
      <c r="E1687" s="3">
        <v>-527.255</v>
      </c>
      <c r="F1687" s="4" t="str">
        <f>HYPERLINK("http://141.218.60.56/~jnz1568/getInfo.php?workbook=18_08.xlsx&amp;sheet=A0&amp;row=1687&amp;col=6&amp;number=0.0001487&amp;sourceID=14","0.0001487")</f>
        <v>0.0001487</v>
      </c>
      <c r="G1687" s="4" t="str">
        <f>HYPERLINK("http://141.218.60.56/~jnz1568/getInfo.php?workbook=18_08.xlsx&amp;sheet=A0&amp;row=1687&amp;col=7&amp;number=0&amp;sourceID=14","0")</f>
        <v>0</v>
      </c>
    </row>
    <row r="1688" spans="1:7">
      <c r="A1688" s="3">
        <v>18</v>
      </c>
      <c r="B1688" s="3">
        <v>8</v>
      </c>
      <c r="C1688" s="3">
        <v>64</v>
      </c>
      <c r="D1688" s="3">
        <v>28</v>
      </c>
      <c r="E1688" s="3">
        <v>-497.524</v>
      </c>
      <c r="F1688" s="4" t="str">
        <f>HYPERLINK("http://141.218.60.56/~jnz1568/getInfo.php?workbook=18_08.xlsx&amp;sheet=A0&amp;row=1688&amp;col=6&amp;number=454500000&amp;sourceID=14","454500000")</f>
        <v>454500000</v>
      </c>
      <c r="G1688" s="4" t="str">
        <f>HYPERLINK("http://141.218.60.56/~jnz1568/getInfo.php?workbook=18_08.xlsx&amp;sheet=A0&amp;row=1688&amp;col=7&amp;number=0&amp;sourceID=14","0")</f>
        <v>0</v>
      </c>
    </row>
    <row r="1689" spans="1:7">
      <c r="A1689" s="3">
        <v>18</v>
      </c>
      <c r="B1689" s="3">
        <v>8</v>
      </c>
      <c r="C1689" s="3">
        <v>65</v>
      </c>
      <c r="D1689" s="3">
        <v>28</v>
      </c>
      <c r="E1689" s="3">
        <v>-583.681</v>
      </c>
      <c r="F1689" s="4" t="str">
        <f>HYPERLINK("http://141.218.60.56/~jnz1568/getInfo.php?workbook=18_08.xlsx&amp;sheet=A0&amp;row=1689&amp;col=6&amp;number=1.142&amp;sourceID=14","1.142")</f>
        <v>1.142</v>
      </c>
      <c r="G1689" s="4" t="str">
        <f>HYPERLINK("http://141.218.60.56/~jnz1568/getInfo.php?workbook=18_08.xlsx&amp;sheet=A0&amp;row=1689&amp;col=7&amp;number=0&amp;sourceID=14","0")</f>
        <v>0</v>
      </c>
    </row>
    <row r="1690" spans="1:7">
      <c r="A1690" s="3">
        <v>18</v>
      </c>
      <c r="B1690" s="3">
        <v>8</v>
      </c>
      <c r="C1690" s="3">
        <v>66</v>
      </c>
      <c r="D1690" s="3">
        <v>28</v>
      </c>
      <c r="E1690" s="3">
        <v>-502.097</v>
      </c>
      <c r="F1690" s="4" t="str">
        <f>HYPERLINK("http://141.218.60.56/~jnz1568/getInfo.php?workbook=18_08.xlsx&amp;sheet=A0&amp;row=1690&amp;col=6&amp;number=1469000000&amp;sourceID=14","1469000000")</f>
        <v>1469000000</v>
      </c>
      <c r="G1690" s="4" t="str">
        <f>HYPERLINK("http://141.218.60.56/~jnz1568/getInfo.php?workbook=18_08.xlsx&amp;sheet=A0&amp;row=1690&amp;col=7&amp;number=0&amp;sourceID=14","0")</f>
        <v>0</v>
      </c>
    </row>
    <row r="1691" spans="1:7">
      <c r="A1691" s="3">
        <v>18</v>
      </c>
      <c r="B1691" s="3">
        <v>8</v>
      </c>
      <c r="C1691" s="3">
        <v>67</v>
      </c>
      <c r="D1691" s="3">
        <v>28</v>
      </c>
      <c r="E1691" s="3">
        <v>-521.916</v>
      </c>
      <c r="F1691" s="4" t="str">
        <f>HYPERLINK("http://141.218.60.56/~jnz1568/getInfo.php?workbook=18_08.xlsx&amp;sheet=A0&amp;row=1691&amp;col=6&amp;number=290300000&amp;sourceID=14","290300000")</f>
        <v>290300000</v>
      </c>
      <c r="G1691" s="4" t="str">
        <f>HYPERLINK("http://141.218.60.56/~jnz1568/getInfo.php?workbook=18_08.xlsx&amp;sheet=A0&amp;row=1691&amp;col=7&amp;number=0&amp;sourceID=14","0")</f>
        <v>0</v>
      </c>
    </row>
    <row r="1692" spans="1:7">
      <c r="A1692" s="3">
        <v>18</v>
      </c>
      <c r="B1692" s="3">
        <v>8</v>
      </c>
      <c r="C1692" s="3">
        <v>68</v>
      </c>
      <c r="D1692" s="3">
        <v>28</v>
      </c>
      <c r="E1692" s="3">
        <v>-495.52</v>
      </c>
      <c r="F1692" s="4" t="str">
        <f>HYPERLINK("http://141.218.60.56/~jnz1568/getInfo.php?workbook=18_08.xlsx&amp;sheet=A0&amp;row=1692&amp;col=6&amp;number=215500000&amp;sourceID=14","215500000")</f>
        <v>215500000</v>
      </c>
      <c r="G1692" s="4" t="str">
        <f>HYPERLINK("http://141.218.60.56/~jnz1568/getInfo.php?workbook=18_08.xlsx&amp;sheet=A0&amp;row=1692&amp;col=7&amp;number=0&amp;sourceID=14","0")</f>
        <v>0</v>
      </c>
    </row>
    <row r="1693" spans="1:7">
      <c r="A1693" s="3">
        <v>18</v>
      </c>
      <c r="B1693" s="3">
        <v>8</v>
      </c>
      <c r="C1693" s="3">
        <v>69</v>
      </c>
      <c r="D1693" s="3">
        <v>28</v>
      </c>
      <c r="E1693" s="3">
        <v>-477.48</v>
      </c>
      <c r="F1693" s="4" t="str">
        <f>HYPERLINK("http://141.218.60.56/~jnz1568/getInfo.php?workbook=18_08.xlsx&amp;sheet=A0&amp;row=1693&amp;col=6&amp;number=4491000&amp;sourceID=14","4491000")</f>
        <v>4491000</v>
      </c>
      <c r="G1693" s="4" t="str">
        <f>HYPERLINK("http://141.218.60.56/~jnz1568/getInfo.php?workbook=18_08.xlsx&amp;sheet=A0&amp;row=1693&amp;col=7&amp;number=0&amp;sourceID=14","0")</f>
        <v>0</v>
      </c>
    </row>
    <row r="1694" spans="1:7">
      <c r="A1694" s="3">
        <v>18</v>
      </c>
      <c r="B1694" s="3">
        <v>8</v>
      </c>
      <c r="C1694" s="3">
        <v>70</v>
      </c>
      <c r="D1694" s="3">
        <v>28</v>
      </c>
      <c r="E1694" s="3">
        <v>-468.438</v>
      </c>
      <c r="F1694" s="4" t="str">
        <f>HYPERLINK("http://141.218.60.56/~jnz1568/getInfo.php?workbook=18_08.xlsx&amp;sheet=A0&amp;row=1694&amp;col=6&amp;number=1.967&amp;sourceID=14","1.967")</f>
        <v>1.967</v>
      </c>
      <c r="G1694" s="4" t="str">
        <f>HYPERLINK("http://141.218.60.56/~jnz1568/getInfo.php?workbook=18_08.xlsx&amp;sheet=A0&amp;row=1694&amp;col=7&amp;number=0&amp;sourceID=14","0")</f>
        <v>0</v>
      </c>
    </row>
    <row r="1695" spans="1:7">
      <c r="A1695" s="3">
        <v>18</v>
      </c>
      <c r="B1695" s="3">
        <v>8</v>
      </c>
      <c r="C1695" s="3">
        <v>71</v>
      </c>
      <c r="D1695" s="3">
        <v>28</v>
      </c>
      <c r="E1695" s="3">
        <v>-466.998</v>
      </c>
      <c r="F1695" s="4" t="str">
        <f>HYPERLINK("http://141.218.60.56/~jnz1568/getInfo.php?workbook=18_08.xlsx&amp;sheet=A0&amp;row=1695&amp;col=6&amp;number=1008000000&amp;sourceID=14","1008000000")</f>
        <v>1008000000</v>
      </c>
      <c r="G1695" s="4" t="str">
        <f>HYPERLINK("http://141.218.60.56/~jnz1568/getInfo.php?workbook=18_08.xlsx&amp;sheet=A0&amp;row=1695&amp;col=7&amp;number=0&amp;sourceID=14","0")</f>
        <v>0</v>
      </c>
    </row>
    <row r="1696" spans="1:7">
      <c r="A1696" s="3">
        <v>18</v>
      </c>
      <c r="B1696" s="3">
        <v>8</v>
      </c>
      <c r="C1696" s="3">
        <v>72</v>
      </c>
      <c r="D1696" s="3">
        <v>28</v>
      </c>
      <c r="E1696" s="3">
        <v>-482.2</v>
      </c>
      <c r="F1696" s="4" t="str">
        <f>HYPERLINK("http://141.218.60.56/~jnz1568/getInfo.php?workbook=18_08.xlsx&amp;sheet=A0&amp;row=1696&amp;col=6&amp;number=28740&amp;sourceID=14","28740")</f>
        <v>28740</v>
      </c>
      <c r="G1696" s="4" t="str">
        <f>HYPERLINK("http://141.218.60.56/~jnz1568/getInfo.php?workbook=18_08.xlsx&amp;sheet=A0&amp;row=1696&amp;col=7&amp;number=0&amp;sourceID=14","0")</f>
        <v>0</v>
      </c>
    </row>
    <row r="1697" spans="1:7">
      <c r="A1697" s="3">
        <v>18</v>
      </c>
      <c r="B1697" s="3">
        <v>8</v>
      </c>
      <c r="C1697" s="3">
        <v>73</v>
      </c>
      <c r="D1697" s="3">
        <v>28</v>
      </c>
      <c r="E1697" s="3">
        <v>-457.261</v>
      </c>
      <c r="F1697" s="4" t="str">
        <f>HYPERLINK("http://141.218.60.56/~jnz1568/getInfo.php?workbook=18_08.xlsx&amp;sheet=A0&amp;row=1697&amp;col=6&amp;number=2285000&amp;sourceID=14","2285000")</f>
        <v>2285000</v>
      </c>
      <c r="G1697" s="4" t="str">
        <f>HYPERLINK("http://141.218.60.56/~jnz1568/getInfo.php?workbook=18_08.xlsx&amp;sheet=A0&amp;row=1697&amp;col=7&amp;number=0&amp;sourceID=14","0")</f>
        <v>0</v>
      </c>
    </row>
    <row r="1698" spans="1:7">
      <c r="A1698" s="3">
        <v>18</v>
      </c>
      <c r="B1698" s="3">
        <v>8</v>
      </c>
      <c r="C1698" s="3">
        <v>74</v>
      </c>
      <c r="D1698" s="3">
        <v>28</v>
      </c>
      <c r="E1698" s="3">
        <v>-428.983</v>
      </c>
      <c r="F1698" s="4" t="str">
        <f>HYPERLINK("http://141.218.60.56/~jnz1568/getInfo.php?workbook=18_08.xlsx&amp;sheet=A0&amp;row=1698&amp;col=6&amp;number=610200&amp;sourceID=14","610200")</f>
        <v>610200</v>
      </c>
      <c r="G1698" s="4" t="str">
        <f>HYPERLINK("http://141.218.60.56/~jnz1568/getInfo.php?workbook=18_08.xlsx&amp;sheet=A0&amp;row=1698&amp;col=7&amp;number=0&amp;sourceID=14","0")</f>
        <v>0</v>
      </c>
    </row>
    <row r="1699" spans="1:7">
      <c r="A1699" s="3">
        <v>18</v>
      </c>
      <c r="B1699" s="3">
        <v>8</v>
      </c>
      <c r="C1699" s="3">
        <v>75</v>
      </c>
      <c r="D1699" s="3">
        <v>28</v>
      </c>
      <c r="E1699" s="3">
        <v>-422.726</v>
      </c>
      <c r="F1699" s="4" t="str">
        <f>HYPERLINK("http://141.218.60.56/~jnz1568/getInfo.php?workbook=18_08.xlsx&amp;sheet=A0&amp;row=1699&amp;col=6&amp;number=35440000&amp;sourceID=14","35440000")</f>
        <v>35440000</v>
      </c>
      <c r="G1699" s="4" t="str">
        <f>HYPERLINK("http://141.218.60.56/~jnz1568/getInfo.php?workbook=18_08.xlsx&amp;sheet=A0&amp;row=1699&amp;col=7&amp;number=0&amp;sourceID=14","0")</f>
        <v>0</v>
      </c>
    </row>
    <row r="1700" spans="1:7">
      <c r="A1700" s="3">
        <v>18</v>
      </c>
      <c r="B1700" s="3">
        <v>8</v>
      </c>
      <c r="C1700" s="3">
        <v>76</v>
      </c>
      <c r="D1700" s="3">
        <v>28</v>
      </c>
      <c r="E1700" s="3">
        <v>-422.278</v>
      </c>
      <c r="F1700" s="4" t="str">
        <f>HYPERLINK("http://141.218.60.56/~jnz1568/getInfo.php?workbook=18_08.xlsx&amp;sheet=A0&amp;row=1700&amp;col=6&amp;number=0.0001414&amp;sourceID=14","0.0001414")</f>
        <v>0.0001414</v>
      </c>
      <c r="G1700" s="4" t="str">
        <f>HYPERLINK("http://141.218.60.56/~jnz1568/getInfo.php?workbook=18_08.xlsx&amp;sheet=A0&amp;row=1700&amp;col=7&amp;number=0&amp;sourceID=14","0")</f>
        <v>0</v>
      </c>
    </row>
    <row r="1701" spans="1:7">
      <c r="A1701" s="3">
        <v>18</v>
      </c>
      <c r="B1701" s="3">
        <v>8</v>
      </c>
      <c r="C1701" s="3">
        <v>77</v>
      </c>
      <c r="D1701" s="3">
        <v>28</v>
      </c>
      <c r="E1701" s="3">
        <v>-418.679</v>
      </c>
      <c r="F1701" s="4" t="str">
        <f>HYPERLINK("http://141.218.60.56/~jnz1568/getInfo.php?workbook=18_08.xlsx&amp;sheet=A0&amp;row=1701&amp;col=6&amp;number=525400&amp;sourceID=14","525400")</f>
        <v>525400</v>
      </c>
      <c r="G1701" s="4" t="str">
        <f>HYPERLINK("http://141.218.60.56/~jnz1568/getInfo.php?workbook=18_08.xlsx&amp;sheet=A0&amp;row=1701&amp;col=7&amp;number=0&amp;sourceID=14","0")</f>
        <v>0</v>
      </c>
    </row>
    <row r="1702" spans="1:7">
      <c r="A1702" s="3">
        <v>18</v>
      </c>
      <c r="B1702" s="3">
        <v>8</v>
      </c>
      <c r="C1702" s="3">
        <v>78</v>
      </c>
      <c r="D1702" s="3">
        <v>28</v>
      </c>
      <c r="E1702" s="3">
        <v>-421.262</v>
      </c>
      <c r="F1702" s="4" t="str">
        <f>HYPERLINK("http://141.218.60.56/~jnz1568/getInfo.php?workbook=18_08.xlsx&amp;sheet=A0&amp;row=1702&amp;col=6&amp;number=0.003081&amp;sourceID=14","0.003081")</f>
        <v>0.003081</v>
      </c>
      <c r="G1702" s="4" t="str">
        <f>HYPERLINK("http://141.218.60.56/~jnz1568/getInfo.php?workbook=18_08.xlsx&amp;sheet=A0&amp;row=1702&amp;col=7&amp;number=0&amp;sourceID=14","0")</f>
        <v>0</v>
      </c>
    </row>
    <row r="1703" spans="1:7">
      <c r="A1703" s="3">
        <v>18</v>
      </c>
      <c r="B1703" s="3">
        <v>8</v>
      </c>
      <c r="C1703" s="3">
        <v>79</v>
      </c>
      <c r="D1703" s="3">
        <v>28</v>
      </c>
      <c r="E1703" s="3">
        <v>-416.027</v>
      </c>
      <c r="F1703" s="4" t="str">
        <f>HYPERLINK("http://141.218.60.56/~jnz1568/getInfo.php?workbook=18_08.xlsx&amp;sheet=A0&amp;row=1703&amp;col=6&amp;number=37940000&amp;sourceID=14","37940000")</f>
        <v>37940000</v>
      </c>
      <c r="G1703" s="4" t="str">
        <f>HYPERLINK("http://141.218.60.56/~jnz1568/getInfo.php?workbook=18_08.xlsx&amp;sheet=A0&amp;row=1703&amp;col=7&amp;number=0&amp;sourceID=14","0")</f>
        <v>0</v>
      </c>
    </row>
    <row r="1704" spans="1:7">
      <c r="A1704" s="3">
        <v>18</v>
      </c>
      <c r="B1704" s="3">
        <v>8</v>
      </c>
      <c r="C1704" s="3">
        <v>80</v>
      </c>
      <c r="D1704" s="3">
        <v>28</v>
      </c>
      <c r="E1704" s="3">
        <v>-412.701</v>
      </c>
      <c r="F1704" s="4" t="str">
        <f>HYPERLINK("http://141.218.60.56/~jnz1568/getInfo.php?workbook=18_08.xlsx&amp;sheet=A0&amp;row=1704&amp;col=6&amp;number=54820000&amp;sourceID=14","54820000")</f>
        <v>54820000</v>
      </c>
      <c r="G1704" s="4" t="str">
        <f>HYPERLINK("http://141.218.60.56/~jnz1568/getInfo.php?workbook=18_08.xlsx&amp;sheet=A0&amp;row=1704&amp;col=7&amp;number=0&amp;sourceID=14","0")</f>
        <v>0</v>
      </c>
    </row>
    <row r="1705" spans="1:7">
      <c r="A1705" s="3">
        <v>18</v>
      </c>
      <c r="B1705" s="3">
        <v>8</v>
      </c>
      <c r="C1705" s="3">
        <v>81</v>
      </c>
      <c r="D1705" s="3">
        <v>28</v>
      </c>
      <c r="E1705" s="3">
        <v>-395.827</v>
      </c>
      <c r="F1705" s="4" t="str">
        <f>HYPERLINK("http://141.218.60.56/~jnz1568/getInfo.php?workbook=18_08.xlsx&amp;sheet=A0&amp;row=1705&amp;col=6&amp;number=47470&amp;sourceID=14","47470")</f>
        <v>47470</v>
      </c>
      <c r="G1705" s="4" t="str">
        <f>HYPERLINK("http://141.218.60.56/~jnz1568/getInfo.php?workbook=18_08.xlsx&amp;sheet=A0&amp;row=1705&amp;col=7&amp;number=0&amp;sourceID=14","0")</f>
        <v>0</v>
      </c>
    </row>
    <row r="1706" spans="1:7">
      <c r="A1706" s="3">
        <v>18</v>
      </c>
      <c r="B1706" s="3">
        <v>8</v>
      </c>
      <c r="C1706" s="3">
        <v>82</v>
      </c>
      <c r="D1706" s="3">
        <v>28</v>
      </c>
      <c r="E1706" s="3">
        <v>-390.768</v>
      </c>
      <c r="F1706" s="4" t="str">
        <f>HYPERLINK("http://141.218.60.56/~jnz1568/getInfo.php?workbook=18_08.xlsx&amp;sheet=A0&amp;row=1706&amp;col=6&amp;number=5845000&amp;sourceID=14","5845000")</f>
        <v>5845000</v>
      </c>
      <c r="G1706" s="4" t="str">
        <f>HYPERLINK("http://141.218.60.56/~jnz1568/getInfo.php?workbook=18_08.xlsx&amp;sheet=A0&amp;row=1706&amp;col=7&amp;number=0&amp;sourceID=14","0")</f>
        <v>0</v>
      </c>
    </row>
    <row r="1707" spans="1:7">
      <c r="A1707" s="3">
        <v>18</v>
      </c>
      <c r="B1707" s="3">
        <v>8</v>
      </c>
      <c r="C1707" s="3">
        <v>83</v>
      </c>
      <c r="D1707" s="3">
        <v>28</v>
      </c>
      <c r="E1707" s="3">
        <v>-390.442</v>
      </c>
      <c r="F1707" s="4" t="str">
        <f>HYPERLINK("http://141.218.60.56/~jnz1568/getInfo.php?workbook=18_08.xlsx&amp;sheet=A0&amp;row=1707&amp;col=6&amp;number=10280000&amp;sourceID=14","10280000")</f>
        <v>10280000</v>
      </c>
      <c r="G1707" s="4" t="str">
        <f>HYPERLINK("http://141.218.60.56/~jnz1568/getInfo.php?workbook=18_08.xlsx&amp;sheet=A0&amp;row=1707&amp;col=7&amp;number=0&amp;sourceID=14","0")</f>
        <v>0</v>
      </c>
    </row>
    <row r="1708" spans="1:7">
      <c r="A1708" s="3">
        <v>18</v>
      </c>
      <c r="B1708" s="3">
        <v>8</v>
      </c>
      <c r="C1708" s="3">
        <v>84</v>
      </c>
      <c r="D1708" s="3">
        <v>28</v>
      </c>
      <c r="E1708" s="3">
        <v>-371.93</v>
      </c>
      <c r="F1708" s="4" t="str">
        <f>HYPERLINK("http://141.218.60.56/~jnz1568/getInfo.php?workbook=18_08.xlsx&amp;sheet=A0&amp;row=1708&amp;col=6&amp;number=232900&amp;sourceID=14","232900")</f>
        <v>232900</v>
      </c>
      <c r="G1708" s="4" t="str">
        <f>HYPERLINK("http://141.218.60.56/~jnz1568/getInfo.php?workbook=18_08.xlsx&amp;sheet=A0&amp;row=1708&amp;col=7&amp;number=0&amp;sourceID=14","0")</f>
        <v>0</v>
      </c>
    </row>
    <row r="1709" spans="1:7">
      <c r="A1709" s="3">
        <v>18</v>
      </c>
      <c r="B1709" s="3">
        <v>8</v>
      </c>
      <c r="C1709" s="3">
        <v>85</v>
      </c>
      <c r="D1709" s="3">
        <v>28</v>
      </c>
      <c r="E1709" s="3">
        <v>-366.945</v>
      </c>
      <c r="F1709" s="4" t="str">
        <f>HYPERLINK("http://141.218.60.56/~jnz1568/getInfo.php?workbook=18_08.xlsx&amp;sheet=A0&amp;row=1709&amp;col=6&amp;number=1061000&amp;sourceID=14","1061000")</f>
        <v>1061000</v>
      </c>
      <c r="G1709" s="4" t="str">
        <f>HYPERLINK("http://141.218.60.56/~jnz1568/getInfo.php?workbook=18_08.xlsx&amp;sheet=A0&amp;row=1709&amp;col=7&amp;number=0&amp;sourceID=14","0")</f>
        <v>0</v>
      </c>
    </row>
    <row r="1710" spans="1:7">
      <c r="A1710" s="3">
        <v>18</v>
      </c>
      <c r="B1710" s="3">
        <v>8</v>
      </c>
      <c r="C1710" s="3">
        <v>86</v>
      </c>
      <c r="D1710" s="3">
        <v>28</v>
      </c>
      <c r="E1710" s="3">
        <v>-329.486</v>
      </c>
      <c r="F1710" s="4" t="str">
        <f>HYPERLINK("http://141.218.60.56/~jnz1568/getInfo.php?workbook=18_08.xlsx&amp;sheet=A0&amp;row=1710&amp;col=6&amp;number=300300&amp;sourceID=14","300300")</f>
        <v>300300</v>
      </c>
      <c r="G1710" s="4" t="str">
        <f>HYPERLINK("http://141.218.60.56/~jnz1568/getInfo.php?workbook=18_08.xlsx&amp;sheet=A0&amp;row=1710&amp;col=7&amp;number=0&amp;sourceID=14","0")</f>
        <v>0</v>
      </c>
    </row>
    <row r="1711" spans="1:7">
      <c r="A1711" s="3">
        <v>18</v>
      </c>
      <c r="B1711" s="3">
        <v>8</v>
      </c>
      <c r="C1711" s="3">
        <v>31</v>
      </c>
      <c r="D1711" s="3">
        <v>29</v>
      </c>
      <c r="E1711" s="3">
        <v>-16230.391</v>
      </c>
      <c r="F1711" s="4" t="str">
        <f>HYPERLINK("http://141.218.60.56/~jnz1568/getInfo.php?workbook=18_08.xlsx&amp;sheet=A0&amp;row=1711&amp;col=6&amp;number=0.09647&amp;sourceID=14","0.09647")</f>
        <v>0.09647</v>
      </c>
      <c r="G1711" s="4" t="str">
        <f>HYPERLINK("http://141.218.60.56/~jnz1568/getInfo.php?workbook=18_08.xlsx&amp;sheet=A0&amp;row=1711&amp;col=7&amp;number=0&amp;sourceID=14","0")</f>
        <v>0</v>
      </c>
    </row>
    <row r="1712" spans="1:7">
      <c r="A1712" s="3">
        <v>18</v>
      </c>
      <c r="B1712" s="3">
        <v>8</v>
      </c>
      <c r="C1712" s="3">
        <v>32</v>
      </c>
      <c r="D1712" s="3">
        <v>29</v>
      </c>
      <c r="E1712" s="3">
        <v>-11027.606</v>
      </c>
      <c r="F1712" s="4" t="str">
        <f>HYPERLINK("http://141.218.60.56/~jnz1568/getInfo.php?workbook=18_08.xlsx&amp;sheet=A0&amp;row=1712&amp;col=6&amp;number=1.46&amp;sourceID=14","1.46")</f>
        <v>1.46</v>
      </c>
      <c r="G1712" s="4" t="str">
        <f>HYPERLINK("http://141.218.60.56/~jnz1568/getInfo.php?workbook=18_08.xlsx&amp;sheet=A0&amp;row=1712&amp;col=7&amp;number=0&amp;sourceID=14","0")</f>
        <v>0</v>
      </c>
    </row>
    <row r="1713" spans="1:7">
      <c r="A1713" s="3">
        <v>18</v>
      </c>
      <c r="B1713" s="3">
        <v>8</v>
      </c>
      <c r="C1713" s="3">
        <v>33</v>
      </c>
      <c r="D1713" s="3">
        <v>29</v>
      </c>
      <c r="E1713" s="3">
        <v>-8236.402</v>
      </c>
      <c r="F1713" s="4" t="str">
        <f>HYPERLINK("http://141.218.60.56/~jnz1568/getInfo.php?workbook=18_08.xlsx&amp;sheet=A0&amp;row=1713&amp;col=6&amp;number=4.188&amp;sourceID=14","4.188")</f>
        <v>4.188</v>
      </c>
      <c r="G1713" s="4" t="str">
        <f>HYPERLINK("http://141.218.60.56/~jnz1568/getInfo.php?workbook=18_08.xlsx&amp;sheet=A0&amp;row=1713&amp;col=7&amp;number=0&amp;sourceID=14","0")</f>
        <v>0</v>
      </c>
    </row>
    <row r="1714" spans="1:7">
      <c r="A1714" s="3">
        <v>18</v>
      </c>
      <c r="B1714" s="3">
        <v>8</v>
      </c>
      <c r="C1714" s="3">
        <v>34</v>
      </c>
      <c r="D1714" s="3">
        <v>29</v>
      </c>
      <c r="E1714" s="3">
        <v>-6517.965</v>
      </c>
      <c r="F1714" s="4" t="str">
        <f>HYPERLINK("http://141.218.60.56/~jnz1568/getInfo.php?workbook=18_08.xlsx&amp;sheet=A0&amp;row=1714&amp;col=6&amp;number=0.0007658&amp;sourceID=14","0.0007658")</f>
        <v>0.0007658</v>
      </c>
      <c r="G1714" s="4" t="str">
        <f>HYPERLINK("http://141.218.60.56/~jnz1568/getInfo.php?workbook=18_08.xlsx&amp;sheet=A0&amp;row=1714&amp;col=7&amp;number=0&amp;sourceID=14","0")</f>
        <v>0</v>
      </c>
    </row>
    <row r="1715" spans="1:7">
      <c r="A1715" s="3">
        <v>18</v>
      </c>
      <c r="B1715" s="3">
        <v>8</v>
      </c>
      <c r="C1715" s="3">
        <v>36</v>
      </c>
      <c r="D1715" s="3">
        <v>29</v>
      </c>
      <c r="E1715" s="3">
        <v>-1711.861</v>
      </c>
      <c r="F1715" s="4" t="str">
        <f>HYPERLINK("http://141.218.60.56/~jnz1568/getInfo.php?workbook=18_08.xlsx&amp;sheet=A0&amp;row=1715&amp;col=6&amp;number=0.2503&amp;sourceID=14","0.2503")</f>
        <v>0.2503</v>
      </c>
      <c r="G1715" s="4" t="str">
        <f>HYPERLINK("http://141.218.60.56/~jnz1568/getInfo.php?workbook=18_08.xlsx&amp;sheet=A0&amp;row=1715&amp;col=7&amp;number=0&amp;sourceID=14","0")</f>
        <v>0</v>
      </c>
    </row>
    <row r="1716" spans="1:7">
      <c r="A1716" s="3">
        <v>18</v>
      </c>
      <c r="B1716" s="3">
        <v>8</v>
      </c>
      <c r="C1716" s="3">
        <v>37</v>
      </c>
      <c r="D1716" s="3">
        <v>29</v>
      </c>
      <c r="E1716" s="3">
        <v>-1804.322</v>
      </c>
      <c r="F1716" s="4" t="str">
        <f>HYPERLINK("http://141.218.60.56/~jnz1568/getInfo.php?workbook=18_08.xlsx&amp;sheet=A0&amp;row=1716&amp;col=6&amp;number=18.3&amp;sourceID=14","18.3")</f>
        <v>18.3</v>
      </c>
      <c r="G1716" s="4" t="str">
        <f>HYPERLINK("http://141.218.60.56/~jnz1568/getInfo.php?workbook=18_08.xlsx&amp;sheet=A0&amp;row=1716&amp;col=7&amp;number=0&amp;sourceID=14","0")</f>
        <v>0</v>
      </c>
    </row>
    <row r="1717" spans="1:7">
      <c r="A1717" s="3">
        <v>18</v>
      </c>
      <c r="B1717" s="3">
        <v>8</v>
      </c>
      <c r="C1717" s="3">
        <v>39</v>
      </c>
      <c r="D1717" s="3">
        <v>29</v>
      </c>
      <c r="E1717" s="3">
        <v>-1409.094</v>
      </c>
      <c r="F1717" s="4" t="str">
        <f>HYPERLINK("http://141.218.60.56/~jnz1568/getInfo.php?workbook=18_08.xlsx&amp;sheet=A0&amp;row=1717&amp;col=6&amp;number=1.157e-08&amp;sourceID=14","1.157e-08")</f>
        <v>1.157e-08</v>
      </c>
      <c r="G1717" s="4" t="str">
        <f>HYPERLINK("http://141.218.60.56/~jnz1568/getInfo.php?workbook=18_08.xlsx&amp;sheet=A0&amp;row=1717&amp;col=7&amp;number=0&amp;sourceID=14","0")</f>
        <v>0</v>
      </c>
    </row>
    <row r="1718" spans="1:7">
      <c r="A1718" s="3">
        <v>18</v>
      </c>
      <c r="B1718" s="3">
        <v>8</v>
      </c>
      <c r="C1718" s="3">
        <v>40</v>
      </c>
      <c r="D1718" s="3">
        <v>29</v>
      </c>
      <c r="E1718" s="3">
        <v>-1405.847</v>
      </c>
      <c r="F1718" s="4" t="str">
        <f>HYPERLINK("http://141.218.60.56/~jnz1568/getInfo.php?workbook=18_08.xlsx&amp;sheet=A0&amp;row=1718&amp;col=6&amp;number=3308&amp;sourceID=14","3308")</f>
        <v>3308</v>
      </c>
      <c r="G1718" s="4" t="str">
        <f>HYPERLINK("http://141.218.60.56/~jnz1568/getInfo.php?workbook=18_08.xlsx&amp;sheet=A0&amp;row=1718&amp;col=7&amp;number=0&amp;sourceID=14","0")</f>
        <v>0</v>
      </c>
    </row>
    <row r="1719" spans="1:7">
      <c r="A1719" s="3">
        <v>18</v>
      </c>
      <c r="B1719" s="3">
        <v>8</v>
      </c>
      <c r="C1719" s="3">
        <v>41</v>
      </c>
      <c r="D1719" s="3">
        <v>29</v>
      </c>
      <c r="E1719" s="3">
        <v>-1401.2</v>
      </c>
      <c r="F1719" s="4" t="str">
        <f>HYPERLINK("http://141.218.60.56/~jnz1568/getInfo.php?workbook=18_08.xlsx&amp;sheet=A0&amp;row=1719&amp;col=6&amp;number=37520&amp;sourceID=14","37520")</f>
        <v>37520</v>
      </c>
      <c r="G1719" s="4" t="str">
        <f>HYPERLINK("http://141.218.60.56/~jnz1568/getInfo.php?workbook=18_08.xlsx&amp;sheet=A0&amp;row=1719&amp;col=7&amp;number=0&amp;sourceID=14","0")</f>
        <v>0</v>
      </c>
    </row>
    <row r="1720" spans="1:7">
      <c r="A1720" s="3">
        <v>18</v>
      </c>
      <c r="B1720" s="3">
        <v>8</v>
      </c>
      <c r="C1720" s="3">
        <v>42</v>
      </c>
      <c r="D1720" s="3">
        <v>29</v>
      </c>
      <c r="E1720" s="3">
        <v>-1393.55</v>
      </c>
      <c r="F1720" s="4" t="str">
        <f>HYPERLINK("http://141.218.60.56/~jnz1568/getInfo.php?workbook=18_08.xlsx&amp;sheet=A0&amp;row=1720&amp;col=6&amp;number=75.25&amp;sourceID=14","75.25")</f>
        <v>75.25</v>
      </c>
      <c r="G1720" s="4" t="str">
        <f>HYPERLINK("http://141.218.60.56/~jnz1568/getInfo.php?workbook=18_08.xlsx&amp;sheet=A0&amp;row=1720&amp;col=7&amp;number=0&amp;sourceID=14","0")</f>
        <v>0</v>
      </c>
    </row>
    <row r="1721" spans="1:7">
      <c r="A1721" s="3">
        <v>18</v>
      </c>
      <c r="B1721" s="3">
        <v>8</v>
      </c>
      <c r="C1721" s="3">
        <v>43</v>
      </c>
      <c r="D1721" s="3">
        <v>29</v>
      </c>
      <c r="E1721" s="3">
        <v>-1704.424</v>
      </c>
      <c r="F1721" s="4" t="str">
        <f>HYPERLINK("http://141.218.60.56/~jnz1568/getInfo.php?workbook=18_08.xlsx&amp;sheet=A0&amp;row=1721&amp;col=6&amp;number=23.63&amp;sourceID=14","23.63")</f>
        <v>23.63</v>
      </c>
      <c r="G1721" s="4" t="str">
        <f>HYPERLINK("http://141.218.60.56/~jnz1568/getInfo.php?workbook=18_08.xlsx&amp;sheet=A0&amp;row=1721&amp;col=7&amp;number=0&amp;sourceID=14","0")</f>
        <v>0</v>
      </c>
    </row>
    <row r="1722" spans="1:7">
      <c r="A1722" s="3">
        <v>18</v>
      </c>
      <c r="B1722" s="3">
        <v>8</v>
      </c>
      <c r="C1722" s="3">
        <v>44</v>
      </c>
      <c r="D1722" s="3">
        <v>29</v>
      </c>
      <c r="E1722" s="3">
        <v>-2405.981</v>
      </c>
      <c r="F1722" s="4" t="str">
        <f>HYPERLINK("http://141.218.60.56/~jnz1568/getInfo.php?workbook=18_08.xlsx&amp;sheet=A0&amp;row=1722&amp;col=6&amp;number=0.4527&amp;sourceID=14","0.4527")</f>
        <v>0.4527</v>
      </c>
      <c r="G1722" s="4" t="str">
        <f>HYPERLINK("http://141.218.60.56/~jnz1568/getInfo.php?workbook=18_08.xlsx&amp;sheet=A0&amp;row=1722&amp;col=7&amp;number=0&amp;sourceID=14","0")</f>
        <v>0</v>
      </c>
    </row>
    <row r="1723" spans="1:7">
      <c r="A1723" s="3">
        <v>18</v>
      </c>
      <c r="B1723" s="3">
        <v>8</v>
      </c>
      <c r="C1723" s="3">
        <v>45</v>
      </c>
      <c r="D1723" s="3">
        <v>29</v>
      </c>
      <c r="E1723" s="3">
        <v>-1762.762</v>
      </c>
      <c r="F1723" s="4" t="str">
        <f>HYPERLINK("http://141.218.60.56/~jnz1568/getInfo.php?workbook=18_08.xlsx&amp;sheet=A0&amp;row=1723&amp;col=6&amp;number=0.08125&amp;sourceID=14","0.08125")</f>
        <v>0.08125</v>
      </c>
      <c r="G1723" s="4" t="str">
        <f>HYPERLINK("http://141.218.60.56/~jnz1568/getInfo.php?workbook=18_08.xlsx&amp;sheet=A0&amp;row=1723&amp;col=7&amp;number=0&amp;sourceID=14","0")</f>
        <v>0</v>
      </c>
    </row>
    <row r="1724" spans="1:7">
      <c r="A1724" s="3">
        <v>18</v>
      </c>
      <c r="B1724" s="3">
        <v>8</v>
      </c>
      <c r="C1724" s="3">
        <v>46</v>
      </c>
      <c r="D1724" s="3">
        <v>29</v>
      </c>
      <c r="E1724" s="3">
        <v>-1479.867</v>
      </c>
      <c r="F1724" s="4" t="str">
        <f>HYPERLINK("http://141.218.60.56/~jnz1568/getInfo.php?workbook=18_08.xlsx&amp;sheet=A0&amp;row=1724&amp;col=6&amp;number=19.57&amp;sourceID=14","19.57")</f>
        <v>19.57</v>
      </c>
      <c r="G1724" s="4" t="str">
        <f>HYPERLINK("http://141.218.60.56/~jnz1568/getInfo.php?workbook=18_08.xlsx&amp;sheet=A0&amp;row=1724&amp;col=7&amp;number=0&amp;sourceID=14","0")</f>
        <v>0</v>
      </c>
    </row>
    <row r="1725" spans="1:7">
      <c r="A1725" s="3">
        <v>18</v>
      </c>
      <c r="B1725" s="3">
        <v>8</v>
      </c>
      <c r="C1725" s="3">
        <v>47</v>
      </c>
      <c r="D1725" s="3">
        <v>29</v>
      </c>
      <c r="E1725" s="3">
        <v>-1606.105</v>
      </c>
      <c r="F1725" s="4" t="str">
        <f>HYPERLINK("http://141.218.60.56/~jnz1568/getInfo.php?workbook=18_08.xlsx&amp;sheet=A0&amp;row=1725&amp;col=6&amp;number=31.47&amp;sourceID=14","31.47")</f>
        <v>31.47</v>
      </c>
      <c r="G1725" s="4" t="str">
        <f>HYPERLINK("http://141.218.60.56/~jnz1568/getInfo.php?workbook=18_08.xlsx&amp;sheet=A0&amp;row=1725&amp;col=7&amp;number=0&amp;sourceID=14","0")</f>
        <v>0</v>
      </c>
    </row>
    <row r="1726" spans="1:7">
      <c r="A1726" s="3">
        <v>18</v>
      </c>
      <c r="B1726" s="3">
        <v>8</v>
      </c>
      <c r="C1726" s="3">
        <v>48</v>
      </c>
      <c r="D1726" s="3">
        <v>29</v>
      </c>
      <c r="E1726" s="3">
        <v>-1392.537</v>
      </c>
      <c r="F1726" s="4" t="str">
        <f>HYPERLINK("http://141.218.60.56/~jnz1568/getInfo.php?workbook=18_08.xlsx&amp;sheet=A0&amp;row=1726&amp;col=6&amp;number=0.1899&amp;sourceID=14","0.1899")</f>
        <v>0.1899</v>
      </c>
      <c r="G1726" s="4" t="str">
        <f>HYPERLINK("http://141.218.60.56/~jnz1568/getInfo.php?workbook=18_08.xlsx&amp;sheet=A0&amp;row=1726&amp;col=7&amp;number=0&amp;sourceID=14","0")</f>
        <v>0</v>
      </c>
    </row>
    <row r="1727" spans="1:7">
      <c r="A1727" s="3">
        <v>18</v>
      </c>
      <c r="B1727" s="3">
        <v>8</v>
      </c>
      <c r="C1727" s="3">
        <v>49</v>
      </c>
      <c r="D1727" s="3">
        <v>29</v>
      </c>
      <c r="E1727" s="3">
        <v>-1214.827</v>
      </c>
      <c r="F1727" s="4" t="str">
        <f>HYPERLINK("http://141.218.60.56/~jnz1568/getInfo.php?workbook=18_08.xlsx&amp;sheet=A0&amp;row=1727&amp;col=6&amp;number=131.4&amp;sourceID=14","131.4")</f>
        <v>131.4</v>
      </c>
      <c r="G1727" s="4" t="str">
        <f>HYPERLINK("http://141.218.60.56/~jnz1568/getInfo.php?workbook=18_08.xlsx&amp;sheet=A0&amp;row=1727&amp;col=7&amp;number=0&amp;sourceID=14","0")</f>
        <v>0</v>
      </c>
    </row>
    <row r="1728" spans="1:7">
      <c r="A1728" s="3">
        <v>18</v>
      </c>
      <c r="B1728" s="3">
        <v>8</v>
      </c>
      <c r="C1728" s="3">
        <v>50</v>
      </c>
      <c r="D1728" s="3">
        <v>29</v>
      </c>
      <c r="E1728" s="3">
        <v>-1173.469</v>
      </c>
      <c r="F1728" s="4" t="str">
        <f>HYPERLINK("http://141.218.60.56/~jnz1568/getInfo.php?workbook=18_08.xlsx&amp;sheet=A0&amp;row=1728&amp;col=6&amp;number=2.691&amp;sourceID=14","2.691")</f>
        <v>2.691</v>
      </c>
      <c r="G1728" s="4" t="str">
        <f>HYPERLINK("http://141.218.60.56/~jnz1568/getInfo.php?workbook=18_08.xlsx&amp;sheet=A0&amp;row=1728&amp;col=7&amp;number=0&amp;sourceID=14","0")</f>
        <v>0</v>
      </c>
    </row>
    <row r="1729" spans="1:7">
      <c r="A1729" s="3">
        <v>18</v>
      </c>
      <c r="B1729" s="3">
        <v>8</v>
      </c>
      <c r="C1729" s="3">
        <v>51</v>
      </c>
      <c r="D1729" s="3">
        <v>29</v>
      </c>
      <c r="E1729" s="3">
        <v>-926.642</v>
      </c>
      <c r="F1729" s="4" t="str">
        <f>HYPERLINK("http://141.218.60.56/~jnz1568/getInfo.php?workbook=18_08.xlsx&amp;sheet=A0&amp;row=1729&amp;col=6&amp;number=7080000&amp;sourceID=14","7080000")</f>
        <v>7080000</v>
      </c>
      <c r="G1729" s="4" t="str">
        <f>HYPERLINK("http://141.218.60.56/~jnz1568/getInfo.php?workbook=18_08.xlsx&amp;sheet=A0&amp;row=1729&amp;col=7&amp;number=0&amp;sourceID=14","0")</f>
        <v>0</v>
      </c>
    </row>
    <row r="1730" spans="1:7">
      <c r="A1730" s="3">
        <v>18</v>
      </c>
      <c r="B1730" s="3">
        <v>8</v>
      </c>
      <c r="C1730" s="3">
        <v>52</v>
      </c>
      <c r="D1730" s="3">
        <v>29</v>
      </c>
      <c r="E1730" s="3">
        <v>-918.211</v>
      </c>
      <c r="F1730" s="4" t="str">
        <f>HYPERLINK("http://141.218.60.56/~jnz1568/getInfo.php?workbook=18_08.xlsx&amp;sheet=A0&amp;row=1730&amp;col=6&amp;number=0.001921&amp;sourceID=14","0.001921")</f>
        <v>0.001921</v>
      </c>
      <c r="G1730" s="4" t="str">
        <f>HYPERLINK("http://141.218.60.56/~jnz1568/getInfo.php?workbook=18_08.xlsx&amp;sheet=A0&amp;row=1730&amp;col=7&amp;number=0&amp;sourceID=14","0")</f>
        <v>0</v>
      </c>
    </row>
    <row r="1731" spans="1:7">
      <c r="A1731" s="3">
        <v>18</v>
      </c>
      <c r="B1731" s="3">
        <v>8</v>
      </c>
      <c r="C1731" s="3">
        <v>54</v>
      </c>
      <c r="D1731" s="3">
        <v>29</v>
      </c>
      <c r="E1731" s="3">
        <v>-910.775</v>
      </c>
      <c r="F1731" s="4" t="str">
        <f>HYPERLINK("http://141.218.60.56/~jnz1568/getInfo.php?workbook=18_08.xlsx&amp;sheet=A0&amp;row=1731&amp;col=6&amp;number=19950000&amp;sourceID=14","19950000")</f>
        <v>19950000</v>
      </c>
      <c r="G1731" s="4" t="str">
        <f>HYPERLINK("http://141.218.60.56/~jnz1568/getInfo.php?workbook=18_08.xlsx&amp;sheet=A0&amp;row=1731&amp;col=7&amp;number=0&amp;sourceID=14","0")</f>
        <v>0</v>
      </c>
    </row>
    <row r="1732" spans="1:7">
      <c r="A1732" s="3">
        <v>18</v>
      </c>
      <c r="B1732" s="3">
        <v>8</v>
      </c>
      <c r="C1732" s="3">
        <v>55</v>
      </c>
      <c r="D1732" s="3">
        <v>29</v>
      </c>
      <c r="E1732" s="3">
        <v>-860.403</v>
      </c>
      <c r="F1732" s="4" t="str">
        <f>HYPERLINK("http://141.218.60.56/~jnz1568/getInfo.php?workbook=18_08.xlsx&amp;sheet=A0&amp;row=1732&amp;col=6&amp;number=5.41&amp;sourceID=14","5.41")</f>
        <v>5.41</v>
      </c>
      <c r="G1732" s="4" t="str">
        <f>HYPERLINK("http://141.218.60.56/~jnz1568/getInfo.php?workbook=18_08.xlsx&amp;sheet=A0&amp;row=1732&amp;col=7&amp;number=0&amp;sourceID=14","0")</f>
        <v>0</v>
      </c>
    </row>
    <row r="1733" spans="1:7">
      <c r="A1733" s="3">
        <v>18</v>
      </c>
      <c r="B1733" s="3">
        <v>8</v>
      </c>
      <c r="C1733" s="3">
        <v>56</v>
      </c>
      <c r="D1733" s="3">
        <v>29</v>
      </c>
      <c r="E1733" s="3">
        <v>-609.049</v>
      </c>
      <c r="F1733" s="4" t="str">
        <f>HYPERLINK("http://141.218.60.56/~jnz1568/getInfo.php?workbook=18_08.xlsx&amp;sheet=A0&amp;row=1733&amp;col=6&amp;number=42430000&amp;sourceID=14","42430000")</f>
        <v>42430000</v>
      </c>
      <c r="G1733" s="4" t="str">
        <f>HYPERLINK("http://141.218.60.56/~jnz1568/getInfo.php?workbook=18_08.xlsx&amp;sheet=A0&amp;row=1733&amp;col=7&amp;number=0&amp;sourceID=14","0")</f>
        <v>0</v>
      </c>
    </row>
    <row r="1734" spans="1:7">
      <c r="A1734" s="3">
        <v>18</v>
      </c>
      <c r="B1734" s="3">
        <v>8</v>
      </c>
      <c r="C1734" s="3">
        <v>57</v>
      </c>
      <c r="D1734" s="3">
        <v>29</v>
      </c>
      <c r="E1734" s="3">
        <v>-596.244</v>
      </c>
      <c r="F1734" s="4" t="str">
        <f>HYPERLINK("http://141.218.60.56/~jnz1568/getInfo.php?workbook=18_08.xlsx&amp;sheet=A0&amp;row=1734&amp;col=6&amp;number=535700000&amp;sourceID=14","535700000")</f>
        <v>535700000</v>
      </c>
      <c r="G1734" s="4" t="str">
        <f>HYPERLINK("http://141.218.60.56/~jnz1568/getInfo.php?workbook=18_08.xlsx&amp;sheet=A0&amp;row=1734&amp;col=7&amp;number=0&amp;sourceID=14","0")</f>
        <v>0</v>
      </c>
    </row>
    <row r="1735" spans="1:7">
      <c r="A1735" s="3">
        <v>18</v>
      </c>
      <c r="B1735" s="3">
        <v>8</v>
      </c>
      <c r="C1735" s="3">
        <v>59</v>
      </c>
      <c r="D1735" s="3">
        <v>29</v>
      </c>
      <c r="E1735" s="3">
        <v>-581.908</v>
      </c>
      <c r="F1735" s="4" t="str">
        <f>HYPERLINK("http://141.218.60.56/~jnz1568/getInfo.php?workbook=18_08.xlsx&amp;sheet=A0&amp;row=1735&amp;col=6&amp;number=1825000000&amp;sourceID=14","1825000000")</f>
        <v>1825000000</v>
      </c>
      <c r="G1735" s="4" t="str">
        <f>HYPERLINK("http://141.218.60.56/~jnz1568/getInfo.php?workbook=18_08.xlsx&amp;sheet=A0&amp;row=1735&amp;col=7&amp;number=0&amp;sourceID=14","0")</f>
        <v>0</v>
      </c>
    </row>
    <row r="1736" spans="1:7">
      <c r="A1736" s="3">
        <v>18</v>
      </c>
      <c r="B1736" s="3">
        <v>8</v>
      </c>
      <c r="C1736" s="3">
        <v>60</v>
      </c>
      <c r="D1736" s="3">
        <v>29</v>
      </c>
      <c r="E1736" s="3">
        <v>-559.221</v>
      </c>
      <c r="F1736" s="4" t="str">
        <f>HYPERLINK("http://141.218.60.56/~jnz1568/getInfo.php?workbook=18_08.xlsx&amp;sheet=A0&amp;row=1736&amp;col=6&amp;number=1953000&amp;sourceID=14","1953000")</f>
        <v>1953000</v>
      </c>
      <c r="G1736" s="4" t="str">
        <f>HYPERLINK("http://141.218.60.56/~jnz1568/getInfo.php?workbook=18_08.xlsx&amp;sheet=A0&amp;row=1736&amp;col=7&amp;number=0&amp;sourceID=14","0")</f>
        <v>0</v>
      </c>
    </row>
    <row r="1737" spans="1:7">
      <c r="A1737" s="3">
        <v>18</v>
      </c>
      <c r="B1737" s="3">
        <v>8</v>
      </c>
      <c r="C1737" s="3">
        <v>61</v>
      </c>
      <c r="D1737" s="3">
        <v>29</v>
      </c>
      <c r="E1737" s="3">
        <v>-554.251</v>
      </c>
      <c r="F1737" s="4" t="str">
        <f>HYPERLINK("http://141.218.60.56/~jnz1568/getInfo.php?workbook=18_08.xlsx&amp;sheet=A0&amp;row=1737&amp;col=6&amp;number=13080000&amp;sourceID=14","13080000")</f>
        <v>13080000</v>
      </c>
      <c r="G1737" s="4" t="str">
        <f>HYPERLINK("http://141.218.60.56/~jnz1568/getInfo.php?workbook=18_08.xlsx&amp;sheet=A0&amp;row=1737&amp;col=7&amp;number=0&amp;sourceID=14","0")</f>
        <v>0</v>
      </c>
    </row>
    <row r="1738" spans="1:7">
      <c r="A1738" s="3">
        <v>18</v>
      </c>
      <c r="B1738" s="3">
        <v>8</v>
      </c>
      <c r="C1738" s="3">
        <v>62</v>
      </c>
      <c r="D1738" s="3">
        <v>29</v>
      </c>
      <c r="E1738" s="3">
        <v>-548.139</v>
      </c>
      <c r="F1738" s="4" t="str">
        <f>HYPERLINK("http://141.218.60.56/~jnz1568/getInfo.php?workbook=18_08.xlsx&amp;sheet=A0&amp;row=1738&amp;col=6&amp;number=0.3842&amp;sourceID=14","0.3842")</f>
        <v>0.3842</v>
      </c>
      <c r="G1738" s="4" t="str">
        <f>HYPERLINK("http://141.218.60.56/~jnz1568/getInfo.php?workbook=18_08.xlsx&amp;sheet=A0&amp;row=1738&amp;col=7&amp;number=0&amp;sourceID=14","0")</f>
        <v>0</v>
      </c>
    </row>
    <row r="1739" spans="1:7">
      <c r="A1739" s="3">
        <v>18</v>
      </c>
      <c r="B1739" s="3">
        <v>8</v>
      </c>
      <c r="C1739" s="3">
        <v>63</v>
      </c>
      <c r="D1739" s="3">
        <v>29</v>
      </c>
      <c r="E1739" s="3">
        <v>-538.807</v>
      </c>
      <c r="F1739" s="4" t="str">
        <f>HYPERLINK("http://141.218.60.56/~jnz1568/getInfo.php?workbook=18_08.xlsx&amp;sheet=A0&amp;row=1739&amp;col=6&amp;number=50100000&amp;sourceID=14","50100000")</f>
        <v>50100000</v>
      </c>
      <c r="G1739" s="4" t="str">
        <f>HYPERLINK("http://141.218.60.56/~jnz1568/getInfo.php?workbook=18_08.xlsx&amp;sheet=A0&amp;row=1739&amp;col=7&amp;number=0&amp;sourceID=14","0")</f>
        <v>0</v>
      </c>
    </row>
    <row r="1740" spans="1:7">
      <c r="A1740" s="3">
        <v>18</v>
      </c>
      <c r="B1740" s="3">
        <v>8</v>
      </c>
      <c r="C1740" s="3">
        <v>64</v>
      </c>
      <c r="D1740" s="3">
        <v>29</v>
      </c>
      <c r="E1740" s="3">
        <v>-507.797</v>
      </c>
      <c r="F1740" s="4" t="str">
        <f>HYPERLINK("http://141.218.60.56/~jnz1568/getInfo.php?workbook=18_08.xlsx&amp;sheet=A0&amp;row=1740&amp;col=6&amp;number=0.6109&amp;sourceID=14","0.6109")</f>
        <v>0.6109</v>
      </c>
      <c r="G1740" s="4" t="str">
        <f>HYPERLINK("http://141.218.60.56/~jnz1568/getInfo.php?workbook=18_08.xlsx&amp;sheet=A0&amp;row=1740&amp;col=7&amp;number=0&amp;sourceID=14","0")</f>
        <v>0</v>
      </c>
    </row>
    <row r="1741" spans="1:7">
      <c r="A1741" s="3">
        <v>18</v>
      </c>
      <c r="B1741" s="3">
        <v>8</v>
      </c>
      <c r="C1741" s="3">
        <v>66</v>
      </c>
      <c r="D1741" s="3">
        <v>29</v>
      </c>
      <c r="E1741" s="3">
        <v>-512.561</v>
      </c>
      <c r="F1741" s="4" t="str">
        <f>HYPERLINK("http://141.218.60.56/~jnz1568/getInfo.php?workbook=18_08.xlsx&amp;sheet=A0&amp;row=1741&amp;col=6&amp;number=286400000&amp;sourceID=14","286400000")</f>
        <v>286400000</v>
      </c>
      <c r="G1741" s="4" t="str">
        <f>HYPERLINK("http://141.218.60.56/~jnz1568/getInfo.php?workbook=18_08.xlsx&amp;sheet=A0&amp;row=1741&amp;col=7&amp;number=0&amp;sourceID=14","0")</f>
        <v>0</v>
      </c>
    </row>
    <row r="1742" spans="1:7">
      <c r="A1742" s="3">
        <v>18</v>
      </c>
      <c r="B1742" s="3">
        <v>8</v>
      </c>
      <c r="C1742" s="3">
        <v>67</v>
      </c>
      <c r="D1742" s="3">
        <v>29</v>
      </c>
      <c r="E1742" s="3">
        <v>-533.232</v>
      </c>
      <c r="F1742" s="4" t="str">
        <f>HYPERLINK("http://141.218.60.56/~jnz1568/getInfo.php?workbook=18_08.xlsx&amp;sheet=A0&amp;row=1742&amp;col=6&amp;number=0.0004687&amp;sourceID=14","0.0004687")</f>
        <v>0.0004687</v>
      </c>
      <c r="G1742" s="4" t="str">
        <f>HYPERLINK("http://141.218.60.56/~jnz1568/getInfo.php?workbook=18_08.xlsx&amp;sheet=A0&amp;row=1742&amp;col=7&amp;number=0&amp;sourceID=14","0")</f>
        <v>0</v>
      </c>
    </row>
    <row r="1743" spans="1:7">
      <c r="A1743" s="3">
        <v>18</v>
      </c>
      <c r="B1743" s="3">
        <v>8</v>
      </c>
      <c r="C1743" s="3">
        <v>68</v>
      </c>
      <c r="D1743" s="3">
        <v>29</v>
      </c>
      <c r="E1743" s="3">
        <v>-505.709</v>
      </c>
      <c r="F1743" s="4" t="str">
        <f>HYPERLINK("http://141.218.60.56/~jnz1568/getInfo.php?workbook=18_08.xlsx&amp;sheet=A0&amp;row=1743&amp;col=6&amp;number=1695000000&amp;sourceID=14","1695000000")</f>
        <v>1695000000</v>
      </c>
      <c r="G1743" s="4" t="str">
        <f>HYPERLINK("http://141.218.60.56/~jnz1568/getInfo.php?workbook=18_08.xlsx&amp;sheet=A0&amp;row=1743&amp;col=7&amp;number=0&amp;sourceID=14","0")</f>
        <v>0</v>
      </c>
    </row>
    <row r="1744" spans="1:7">
      <c r="A1744" s="3">
        <v>18</v>
      </c>
      <c r="B1744" s="3">
        <v>8</v>
      </c>
      <c r="C1744" s="3">
        <v>69</v>
      </c>
      <c r="D1744" s="3">
        <v>29</v>
      </c>
      <c r="E1744" s="3">
        <v>-486.934</v>
      </c>
      <c r="F1744" s="4" t="str">
        <f>HYPERLINK("http://141.218.60.56/~jnz1568/getInfo.php?workbook=18_08.xlsx&amp;sheet=A0&amp;row=1744&amp;col=6&amp;number=891800000&amp;sourceID=14","891800000")</f>
        <v>891800000</v>
      </c>
      <c r="G1744" s="4" t="str">
        <f>HYPERLINK("http://141.218.60.56/~jnz1568/getInfo.php?workbook=18_08.xlsx&amp;sheet=A0&amp;row=1744&amp;col=7&amp;number=0&amp;sourceID=14","0")</f>
        <v>0</v>
      </c>
    </row>
    <row r="1745" spans="1:7">
      <c r="A1745" s="3">
        <v>18</v>
      </c>
      <c r="B1745" s="3">
        <v>8</v>
      </c>
      <c r="C1745" s="3">
        <v>71</v>
      </c>
      <c r="D1745" s="3">
        <v>29</v>
      </c>
      <c r="E1745" s="3">
        <v>-476.038</v>
      </c>
      <c r="F1745" s="4" t="str">
        <f>HYPERLINK("http://141.218.60.56/~jnz1568/getInfo.php?workbook=18_08.xlsx&amp;sheet=A0&amp;row=1745&amp;col=6&amp;number=0.6818&amp;sourceID=14","0.6818")</f>
        <v>0.6818</v>
      </c>
      <c r="G1745" s="4" t="str">
        <f>HYPERLINK("http://141.218.60.56/~jnz1568/getInfo.php?workbook=18_08.xlsx&amp;sheet=A0&amp;row=1745&amp;col=7&amp;number=0&amp;sourceID=14","0")</f>
        <v>0</v>
      </c>
    </row>
    <row r="1746" spans="1:7">
      <c r="A1746" s="3">
        <v>18</v>
      </c>
      <c r="B1746" s="3">
        <v>8</v>
      </c>
      <c r="C1746" s="3">
        <v>72</v>
      </c>
      <c r="D1746" s="3">
        <v>29</v>
      </c>
      <c r="E1746" s="3">
        <v>-491.844</v>
      </c>
      <c r="F1746" s="4" t="str">
        <f>HYPERLINK("http://141.218.60.56/~jnz1568/getInfo.php?workbook=18_08.xlsx&amp;sheet=A0&amp;row=1746&amp;col=6&amp;number=41000000&amp;sourceID=14","41000000")</f>
        <v>41000000</v>
      </c>
      <c r="G1746" s="4" t="str">
        <f>HYPERLINK("http://141.218.60.56/~jnz1568/getInfo.php?workbook=18_08.xlsx&amp;sheet=A0&amp;row=1746&amp;col=7&amp;number=0&amp;sourceID=14","0")</f>
        <v>0</v>
      </c>
    </row>
    <row r="1747" spans="1:7">
      <c r="A1747" s="3">
        <v>18</v>
      </c>
      <c r="B1747" s="3">
        <v>8</v>
      </c>
      <c r="C1747" s="3">
        <v>73</v>
      </c>
      <c r="D1747" s="3">
        <v>29</v>
      </c>
      <c r="E1747" s="3">
        <v>-465.924</v>
      </c>
      <c r="F1747" s="4" t="str">
        <f>HYPERLINK("http://141.218.60.56/~jnz1568/getInfo.php?workbook=18_08.xlsx&amp;sheet=A0&amp;row=1747&amp;col=6&amp;number=0.2469&amp;sourceID=14","0.2469")</f>
        <v>0.2469</v>
      </c>
      <c r="G1747" s="4" t="str">
        <f>HYPERLINK("http://141.218.60.56/~jnz1568/getInfo.php?workbook=18_08.xlsx&amp;sheet=A0&amp;row=1747&amp;col=7&amp;number=0&amp;sourceID=14","0")</f>
        <v>0</v>
      </c>
    </row>
    <row r="1748" spans="1:7">
      <c r="A1748" s="3">
        <v>18</v>
      </c>
      <c r="B1748" s="3">
        <v>8</v>
      </c>
      <c r="C1748" s="3">
        <v>74</v>
      </c>
      <c r="D1748" s="3">
        <v>29</v>
      </c>
      <c r="E1748" s="3">
        <v>-436.599</v>
      </c>
      <c r="F1748" s="4" t="str">
        <f>HYPERLINK("http://141.218.60.56/~jnz1568/getInfo.php?workbook=18_08.xlsx&amp;sheet=A0&amp;row=1748&amp;col=6&amp;number=22690000&amp;sourceID=14","22690000")</f>
        <v>22690000</v>
      </c>
      <c r="G1748" s="4" t="str">
        <f>HYPERLINK("http://141.218.60.56/~jnz1568/getInfo.php?workbook=18_08.xlsx&amp;sheet=A0&amp;row=1748&amp;col=7&amp;number=0&amp;sourceID=14","0")</f>
        <v>0</v>
      </c>
    </row>
    <row r="1749" spans="1:7">
      <c r="A1749" s="3">
        <v>18</v>
      </c>
      <c r="B1749" s="3">
        <v>8</v>
      </c>
      <c r="C1749" s="3">
        <v>75</v>
      </c>
      <c r="D1749" s="3">
        <v>29</v>
      </c>
      <c r="E1749" s="3">
        <v>-430.119</v>
      </c>
      <c r="F1749" s="4" t="str">
        <f>HYPERLINK("http://141.218.60.56/~jnz1568/getInfo.php?workbook=18_08.xlsx&amp;sheet=A0&amp;row=1749&amp;col=6&amp;number=28740&amp;sourceID=14","28740")</f>
        <v>28740</v>
      </c>
      <c r="G1749" s="4" t="str">
        <f>HYPERLINK("http://141.218.60.56/~jnz1568/getInfo.php?workbook=18_08.xlsx&amp;sheet=A0&amp;row=1749&amp;col=7&amp;number=0&amp;sourceID=14","0")</f>
        <v>0</v>
      </c>
    </row>
    <row r="1750" spans="1:7">
      <c r="A1750" s="3">
        <v>18</v>
      </c>
      <c r="B1750" s="3">
        <v>8</v>
      </c>
      <c r="C1750" s="3">
        <v>76</v>
      </c>
      <c r="D1750" s="3">
        <v>29</v>
      </c>
      <c r="E1750" s="3">
        <v>-429.656</v>
      </c>
      <c r="F1750" s="4" t="str">
        <f>HYPERLINK("http://141.218.60.56/~jnz1568/getInfo.php?workbook=18_08.xlsx&amp;sheet=A0&amp;row=1750&amp;col=6&amp;number=1749000&amp;sourceID=14","1749000")</f>
        <v>1749000</v>
      </c>
      <c r="G1750" s="4" t="str">
        <f>HYPERLINK("http://141.218.60.56/~jnz1568/getInfo.php?workbook=18_08.xlsx&amp;sheet=A0&amp;row=1750&amp;col=7&amp;number=0&amp;sourceID=14","0")</f>
        <v>0</v>
      </c>
    </row>
    <row r="1751" spans="1:7">
      <c r="A1751" s="3">
        <v>18</v>
      </c>
      <c r="B1751" s="3">
        <v>8</v>
      </c>
      <c r="C1751" s="3">
        <v>77</v>
      </c>
      <c r="D1751" s="3">
        <v>29</v>
      </c>
      <c r="E1751" s="3">
        <v>-425.931</v>
      </c>
      <c r="F1751" s="4" t="str">
        <f>HYPERLINK("http://141.218.60.56/~jnz1568/getInfo.php?workbook=18_08.xlsx&amp;sheet=A0&amp;row=1751&amp;col=6&amp;number=37120000&amp;sourceID=14","37120000")</f>
        <v>37120000</v>
      </c>
      <c r="G1751" s="4" t="str">
        <f>HYPERLINK("http://141.218.60.56/~jnz1568/getInfo.php?workbook=18_08.xlsx&amp;sheet=A0&amp;row=1751&amp;col=7&amp;number=0&amp;sourceID=14","0")</f>
        <v>0</v>
      </c>
    </row>
    <row r="1752" spans="1:7">
      <c r="A1752" s="3">
        <v>18</v>
      </c>
      <c r="B1752" s="3">
        <v>8</v>
      </c>
      <c r="C1752" s="3">
        <v>79</v>
      </c>
      <c r="D1752" s="3">
        <v>29</v>
      </c>
      <c r="E1752" s="3">
        <v>-423.186</v>
      </c>
      <c r="F1752" s="4" t="str">
        <f>HYPERLINK("http://141.218.60.56/~jnz1568/getInfo.php?workbook=18_08.xlsx&amp;sheet=A0&amp;row=1752&amp;col=6&amp;number=0.226&amp;sourceID=14","0.226")</f>
        <v>0.226</v>
      </c>
      <c r="G1752" s="4" t="str">
        <f>HYPERLINK("http://141.218.60.56/~jnz1568/getInfo.php?workbook=18_08.xlsx&amp;sheet=A0&amp;row=1752&amp;col=7&amp;number=0&amp;sourceID=14","0")</f>
        <v>0</v>
      </c>
    </row>
    <row r="1753" spans="1:7">
      <c r="A1753" s="3">
        <v>18</v>
      </c>
      <c r="B1753" s="3">
        <v>8</v>
      </c>
      <c r="C1753" s="3">
        <v>80</v>
      </c>
      <c r="D1753" s="3">
        <v>29</v>
      </c>
      <c r="E1753" s="3">
        <v>-419.744</v>
      </c>
      <c r="F1753" s="4" t="str">
        <f>HYPERLINK("http://141.218.60.56/~jnz1568/getInfo.php?workbook=18_08.xlsx&amp;sheet=A0&amp;row=1753&amp;col=6&amp;number=198500000&amp;sourceID=14","198500000")</f>
        <v>198500000</v>
      </c>
      <c r="G1753" s="4" t="str">
        <f>HYPERLINK("http://141.218.60.56/~jnz1568/getInfo.php?workbook=18_08.xlsx&amp;sheet=A0&amp;row=1753&amp;col=7&amp;number=0&amp;sourceID=14","0")</f>
        <v>0</v>
      </c>
    </row>
    <row r="1754" spans="1:7">
      <c r="A1754" s="3">
        <v>18</v>
      </c>
      <c r="B1754" s="3">
        <v>8</v>
      </c>
      <c r="C1754" s="3">
        <v>81</v>
      </c>
      <c r="D1754" s="3">
        <v>29</v>
      </c>
      <c r="E1754" s="3">
        <v>-402.302</v>
      </c>
      <c r="F1754" s="4" t="str">
        <f>HYPERLINK("http://141.218.60.56/~jnz1568/getInfo.php?workbook=18_08.xlsx&amp;sheet=A0&amp;row=1754&amp;col=6&amp;number=38880000&amp;sourceID=14","38880000")</f>
        <v>38880000</v>
      </c>
      <c r="G1754" s="4" t="str">
        <f>HYPERLINK("http://141.218.60.56/~jnz1568/getInfo.php?workbook=18_08.xlsx&amp;sheet=A0&amp;row=1754&amp;col=7&amp;number=0&amp;sourceID=14","0")</f>
        <v>0</v>
      </c>
    </row>
    <row r="1755" spans="1:7">
      <c r="A1755" s="3">
        <v>18</v>
      </c>
      <c r="B1755" s="3">
        <v>8</v>
      </c>
      <c r="C1755" s="3">
        <v>82</v>
      </c>
      <c r="D1755" s="3">
        <v>29</v>
      </c>
      <c r="E1755" s="3">
        <v>-397.078</v>
      </c>
      <c r="F1755" s="4" t="str">
        <f>HYPERLINK("http://141.218.60.56/~jnz1568/getInfo.php?workbook=18_08.xlsx&amp;sheet=A0&amp;row=1755&amp;col=6&amp;number=22960000&amp;sourceID=14","22960000")</f>
        <v>22960000</v>
      </c>
      <c r="G1755" s="4" t="str">
        <f>HYPERLINK("http://141.218.60.56/~jnz1568/getInfo.php?workbook=18_08.xlsx&amp;sheet=A0&amp;row=1755&amp;col=7&amp;number=0&amp;sourceID=14","0")</f>
        <v>0</v>
      </c>
    </row>
    <row r="1756" spans="1:7">
      <c r="A1756" s="3">
        <v>18</v>
      </c>
      <c r="B1756" s="3">
        <v>8</v>
      </c>
      <c r="C1756" s="3">
        <v>83</v>
      </c>
      <c r="D1756" s="3">
        <v>29</v>
      </c>
      <c r="E1756" s="3">
        <v>-396.741</v>
      </c>
      <c r="F1756" s="4" t="str">
        <f>HYPERLINK("http://141.218.60.56/~jnz1568/getInfo.php?workbook=18_08.xlsx&amp;sheet=A0&amp;row=1756&amp;col=6&amp;number=0.003314&amp;sourceID=14","0.003314")</f>
        <v>0.003314</v>
      </c>
      <c r="G1756" s="4" t="str">
        <f>HYPERLINK("http://141.218.60.56/~jnz1568/getInfo.php?workbook=18_08.xlsx&amp;sheet=A0&amp;row=1756&amp;col=7&amp;number=0&amp;sourceID=14","0")</f>
        <v>0</v>
      </c>
    </row>
    <row r="1757" spans="1:7">
      <c r="A1757" s="3">
        <v>18</v>
      </c>
      <c r="B1757" s="3">
        <v>8</v>
      </c>
      <c r="C1757" s="3">
        <v>84</v>
      </c>
      <c r="D1757" s="3">
        <v>29</v>
      </c>
      <c r="E1757" s="3">
        <v>-377.641</v>
      </c>
      <c r="F1757" s="4" t="str">
        <f>HYPERLINK("http://141.218.60.56/~jnz1568/getInfo.php?workbook=18_08.xlsx&amp;sheet=A0&amp;row=1757&amp;col=6&amp;number=1497000&amp;sourceID=14","1497000")</f>
        <v>1497000</v>
      </c>
      <c r="G1757" s="4" t="str">
        <f>HYPERLINK("http://141.218.60.56/~jnz1568/getInfo.php?workbook=18_08.xlsx&amp;sheet=A0&amp;row=1757&amp;col=7&amp;number=0&amp;sourceID=14","0")</f>
        <v>0</v>
      </c>
    </row>
    <row r="1758" spans="1:7">
      <c r="A1758" s="3">
        <v>18</v>
      </c>
      <c r="B1758" s="3">
        <v>8</v>
      </c>
      <c r="C1758" s="3">
        <v>85</v>
      </c>
      <c r="D1758" s="3">
        <v>29</v>
      </c>
      <c r="E1758" s="3">
        <v>-372.503</v>
      </c>
      <c r="F1758" s="4" t="str">
        <f>HYPERLINK("http://141.218.60.56/~jnz1568/getInfo.php?workbook=18_08.xlsx&amp;sheet=A0&amp;row=1758&amp;col=6&amp;number=3669000&amp;sourceID=14","3669000")</f>
        <v>3669000</v>
      </c>
      <c r="G1758" s="4" t="str">
        <f>HYPERLINK("http://141.218.60.56/~jnz1568/getInfo.php?workbook=18_08.xlsx&amp;sheet=A0&amp;row=1758&amp;col=7&amp;number=0&amp;sourceID=14","0")</f>
        <v>0</v>
      </c>
    </row>
    <row r="1759" spans="1:7">
      <c r="A1759" s="3">
        <v>18</v>
      </c>
      <c r="B1759" s="3">
        <v>8</v>
      </c>
      <c r="C1759" s="3">
        <v>86</v>
      </c>
      <c r="D1759" s="3">
        <v>29</v>
      </c>
      <c r="E1759" s="3">
        <v>-333.96</v>
      </c>
      <c r="F1759" s="4" t="str">
        <f>HYPERLINK("http://141.218.60.56/~jnz1568/getInfo.php?workbook=18_08.xlsx&amp;sheet=A0&amp;row=1759&amp;col=6&amp;number=0.1587&amp;sourceID=14","0.1587")</f>
        <v>0.1587</v>
      </c>
      <c r="G1759" s="4" t="str">
        <f>HYPERLINK("http://141.218.60.56/~jnz1568/getInfo.php?workbook=18_08.xlsx&amp;sheet=A0&amp;row=1759&amp;col=7&amp;number=0&amp;sourceID=14","0")</f>
        <v>0</v>
      </c>
    </row>
    <row r="1760" spans="1:7">
      <c r="A1760" s="3">
        <v>18</v>
      </c>
      <c r="B1760" s="3">
        <v>8</v>
      </c>
      <c r="C1760" s="3">
        <v>31</v>
      </c>
      <c r="D1760" s="3">
        <v>30</v>
      </c>
      <c r="E1760" s="3">
        <v>-5324.315</v>
      </c>
      <c r="F1760" s="4" t="str">
        <f>HYPERLINK("http://141.218.60.56/~jnz1568/getInfo.php?workbook=18_08.xlsx&amp;sheet=A0&amp;row=1760&amp;col=6&amp;number=4.528&amp;sourceID=14","4.528")</f>
        <v>4.528</v>
      </c>
      <c r="G1760" s="4" t="str">
        <f>HYPERLINK("http://141.218.60.56/~jnz1568/getInfo.php?workbook=18_08.xlsx&amp;sheet=A0&amp;row=1760&amp;col=7&amp;number=0&amp;sourceID=14","0")</f>
        <v>0</v>
      </c>
    </row>
    <row r="1761" spans="1:7">
      <c r="A1761" s="3">
        <v>18</v>
      </c>
      <c r="B1761" s="3">
        <v>8</v>
      </c>
      <c r="C1761" s="3">
        <v>32</v>
      </c>
      <c r="D1761" s="3">
        <v>30</v>
      </c>
      <c r="E1761" s="3">
        <v>-4610.711</v>
      </c>
      <c r="F1761" s="4" t="str">
        <f>HYPERLINK("http://141.218.60.56/~jnz1568/getInfo.php?workbook=18_08.xlsx&amp;sheet=A0&amp;row=1761&amp;col=6&amp;number=0.01562&amp;sourceID=14","0.01562")</f>
        <v>0.01562</v>
      </c>
      <c r="G1761" s="4" t="str">
        <f>HYPERLINK("http://141.218.60.56/~jnz1568/getInfo.php?workbook=18_08.xlsx&amp;sheet=A0&amp;row=1761&amp;col=7&amp;number=0&amp;sourceID=14","0")</f>
        <v>0</v>
      </c>
    </row>
    <row r="1762" spans="1:7">
      <c r="A1762" s="3">
        <v>18</v>
      </c>
      <c r="B1762" s="3">
        <v>8</v>
      </c>
      <c r="C1762" s="3">
        <v>34</v>
      </c>
      <c r="D1762" s="3">
        <v>30</v>
      </c>
      <c r="E1762" s="3">
        <v>-3576.194</v>
      </c>
      <c r="F1762" s="4" t="str">
        <f>HYPERLINK("http://141.218.60.56/~jnz1568/getInfo.php?workbook=18_08.xlsx&amp;sheet=A0&amp;row=1762&amp;col=6&amp;number=0.114&amp;sourceID=14","0.114")</f>
        <v>0.114</v>
      </c>
      <c r="G1762" s="4" t="str">
        <f>HYPERLINK("http://141.218.60.56/~jnz1568/getInfo.php?workbook=18_08.xlsx&amp;sheet=A0&amp;row=1762&amp;col=7&amp;number=0&amp;sourceID=14","0")</f>
        <v>0</v>
      </c>
    </row>
    <row r="1763" spans="1:7">
      <c r="A1763" s="3">
        <v>18</v>
      </c>
      <c r="B1763" s="3">
        <v>8</v>
      </c>
      <c r="C1763" s="3">
        <v>35</v>
      </c>
      <c r="D1763" s="3">
        <v>30</v>
      </c>
      <c r="E1763" s="3">
        <v>-1632.503</v>
      </c>
      <c r="F1763" s="4" t="str">
        <f>HYPERLINK("http://141.218.60.56/~jnz1568/getInfo.php?workbook=18_08.xlsx&amp;sheet=A0&amp;row=1763&amp;col=6&amp;number=79.94&amp;sourceID=14","79.94")</f>
        <v>79.94</v>
      </c>
      <c r="G1763" s="4" t="str">
        <f>HYPERLINK("http://141.218.60.56/~jnz1568/getInfo.php?workbook=18_08.xlsx&amp;sheet=A0&amp;row=1763&amp;col=7&amp;number=0&amp;sourceID=14","0")</f>
        <v>0</v>
      </c>
    </row>
    <row r="1764" spans="1:7">
      <c r="A1764" s="3">
        <v>18</v>
      </c>
      <c r="B1764" s="3">
        <v>8</v>
      </c>
      <c r="C1764" s="3">
        <v>36</v>
      </c>
      <c r="D1764" s="3">
        <v>30</v>
      </c>
      <c r="E1764" s="3">
        <v>-1407.729</v>
      </c>
      <c r="F1764" s="4" t="str">
        <f>HYPERLINK("http://141.218.60.56/~jnz1568/getInfo.php?workbook=18_08.xlsx&amp;sheet=A0&amp;row=1764&amp;col=6&amp;number=5.679&amp;sourceID=14","5.679")</f>
        <v>5.679</v>
      </c>
      <c r="G1764" s="4" t="str">
        <f>HYPERLINK("http://141.218.60.56/~jnz1568/getInfo.php?workbook=18_08.xlsx&amp;sheet=A0&amp;row=1764&amp;col=7&amp;number=0&amp;sourceID=14","0")</f>
        <v>0</v>
      </c>
    </row>
    <row r="1765" spans="1:7">
      <c r="A1765" s="3">
        <v>18</v>
      </c>
      <c r="B1765" s="3">
        <v>8</v>
      </c>
      <c r="C1765" s="3">
        <v>37</v>
      </c>
      <c r="D1765" s="3">
        <v>30</v>
      </c>
      <c r="E1765" s="3">
        <v>-1469.66</v>
      </c>
      <c r="F1765" s="4" t="str">
        <f>HYPERLINK("http://141.218.60.56/~jnz1568/getInfo.php?workbook=18_08.xlsx&amp;sheet=A0&amp;row=1765&amp;col=6&amp;number=6.739&amp;sourceID=14","6.739")</f>
        <v>6.739</v>
      </c>
      <c r="G1765" s="4" t="str">
        <f>HYPERLINK("http://141.218.60.56/~jnz1568/getInfo.php?workbook=18_08.xlsx&amp;sheet=A0&amp;row=1765&amp;col=7&amp;number=0&amp;sourceID=14","0")</f>
        <v>0</v>
      </c>
    </row>
    <row r="1766" spans="1:7">
      <c r="A1766" s="3">
        <v>18</v>
      </c>
      <c r="B1766" s="3">
        <v>8</v>
      </c>
      <c r="C1766" s="3">
        <v>38</v>
      </c>
      <c r="D1766" s="3">
        <v>30</v>
      </c>
      <c r="E1766" s="3">
        <v>-1197.68</v>
      </c>
      <c r="F1766" s="4" t="str">
        <f>HYPERLINK("http://141.218.60.56/~jnz1568/getInfo.php?workbook=18_08.xlsx&amp;sheet=A0&amp;row=1766&amp;col=6&amp;number=83.11&amp;sourceID=14","83.11")</f>
        <v>83.11</v>
      </c>
      <c r="G1766" s="4" t="str">
        <f>HYPERLINK("http://141.218.60.56/~jnz1568/getInfo.php?workbook=18_08.xlsx&amp;sheet=A0&amp;row=1766&amp;col=7&amp;number=0&amp;sourceID=14","0")</f>
        <v>0</v>
      </c>
    </row>
    <row r="1767" spans="1:7">
      <c r="A1767" s="3">
        <v>18</v>
      </c>
      <c r="B1767" s="3">
        <v>8</v>
      </c>
      <c r="C1767" s="3">
        <v>39</v>
      </c>
      <c r="D1767" s="3">
        <v>30</v>
      </c>
      <c r="E1767" s="3">
        <v>-1196.343</v>
      </c>
      <c r="F1767" s="4" t="str">
        <f>HYPERLINK("http://141.218.60.56/~jnz1568/getInfo.php?workbook=18_08.xlsx&amp;sheet=A0&amp;row=1767&amp;col=6&amp;number=11030&amp;sourceID=14","11030")</f>
        <v>11030</v>
      </c>
      <c r="G1767" s="4" t="str">
        <f>HYPERLINK("http://141.218.60.56/~jnz1568/getInfo.php?workbook=18_08.xlsx&amp;sheet=A0&amp;row=1767&amp;col=7&amp;number=0&amp;sourceID=14","0")</f>
        <v>0</v>
      </c>
    </row>
    <row r="1768" spans="1:7">
      <c r="A1768" s="3">
        <v>18</v>
      </c>
      <c r="B1768" s="3">
        <v>8</v>
      </c>
      <c r="C1768" s="3">
        <v>40</v>
      </c>
      <c r="D1768" s="3">
        <v>30</v>
      </c>
      <c r="E1768" s="3">
        <v>-1194.002</v>
      </c>
      <c r="F1768" s="4" t="str">
        <f>HYPERLINK("http://141.218.60.56/~jnz1568/getInfo.php?workbook=18_08.xlsx&amp;sheet=A0&amp;row=1768&amp;col=6&amp;number=3349&amp;sourceID=14","3349")</f>
        <v>3349</v>
      </c>
      <c r="G1768" s="4" t="str">
        <f>HYPERLINK("http://141.218.60.56/~jnz1568/getInfo.php?workbook=18_08.xlsx&amp;sheet=A0&amp;row=1768&amp;col=7&amp;number=0&amp;sourceID=14","0")</f>
        <v>0</v>
      </c>
    </row>
    <row r="1769" spans="1:7">
      <c r="A1769" s="3">
        <v>18</v>
      </c>
      <c r="B1769" s="3">
        <v>8</v>
      </c>
      <c r="C1769" s="3">
        <v>41</v>
      </c>
      <c r="D1769" s="3">
        <v>30</v>
      </c>
      <c r="E1769" s="3">
        <v>-1190.648</v>
      </c>
      <c r="F1769" s="4" t="str">
        <f>HYPERLINK("http://141.218.60.56/~jnz1568/getInfo.php?workbook=18_08.xlsx&amp;sheet=A0&amp;row=1769&amp;col=6&amp;number=1.429e-05&amp;sourceID=14","1.429e-05")</f>
        <v>1.429e-05</v>
      </c>
      <c r="G1769" s="4" t="str">
        <f>HYPERLINK("http://141.218.60.56/~jnz1568/getInfo.php?workbook=18_08.xlsx&amp;sheet=A0&amp;row=1769&amp;col=7&amp;number=0&amp;sourceID=14","0")</f>
        <v>0</v>
      </c>
    </row>
    <row r="1770" spans="1:7">
      <c r="A1770" s="3">
        <v>18</v>
      </c>
      <c r="B1770" s="3">
        <v>8</v>
      </c>
      <c r="C1770" s="3">
        <v>43</v>
      </c>
      <c r="D1770" s="3">
        <v>30</v>
      </c>
      <c r="E1770" s="3">
        <v>-1402.695</v>
      </c>
      <c r="F1770" s="4" t="str">
        <f>HYPERLINK("http://141.218.60.56/~jnz1568/getInfo.php?workbook=18_08.xlsx&amp;sheet=A0&amp;row=1770&amp;col=6&amp;number=6.887&amp;sourceID=14","6.887")</f>
        <v>6.887</v>
      </c>
      <c r="G1770" s="4" t="str">
        <f>HYPERLINK("http://141.218.60.56/~jnz1568/getInfo.php?workbook=18_08.xlsx&amp;sheet=A0&amp;row=1770&amp;col=7&amp;number=0&amp;sourceID=14","0")</f>
        <v>0</v>
      </c>
    </row>
    <row r="1771" spans="1:7">
      <c r="A1771" s="3">
        <v>18</v>
      </c>
      <c r="B1771" s="3">
        <v>8</v>
      </c>
      <c r="C1771" s="3">
        <v>44</v>
      </c>
      <c r="D1771" s="3">
        <v>30</v>
      </c>
      <c r="E1771" s="3">
        <v>-1845.578</v>
      </c>
      <c r="F1771" s="4" t="str">
        <f>HYPERLINK("http://141.218.60.56/~jnz1568/getInfo.php?workbook=18_08.xlsx&amp;sheet=A0&amp;row=1771&amp;col=6&amp;number=102.2&amp;sourceID=14","102.2")</f>
        <v>102.2</v>
      </c>
      <c r="G1771" s="4" t="str">
        <f>HYPERLINK("http://141.218.60.56/~jnz1568/getInfo.php?workbook=18_08.xlsx&amp;sheet=A0&amp;row=1771&amp;col=7&amp;number=0&amp;sourceID=14","0")</f>
        <v>0</v>
      </c>
    </row>
    <row r="1772" spans="1:7">
      <c r="A1772" s="3">
        <v>18</v>
      </c>
      <c r="B1772" s="3">
        <v>8</v>
      </c>
      <c r="C1772" s="3">
        <v>45</v>
      </c>
      <c r="D1772" s="3">
        <v>30</v>
      </c>
      <c r="E1772" s="3">
        <v>-1441.969</v>
      </c>
      <c r="F1772" s="4" t="str">
        <f>HYPERLINK("http://141.218.60.56/~jnz1568/getInfo.php?workbook=18_08.xlsx&amp;sheet=A0&amp;row=1772&amp;col=6&amp;number=3.851&amp;sourceID=14","3.851")</f>
        <v>3.851</v>
      </c>
      <c r="G1772" s="4" t="str">
        <f>HYPERLINK("http://141.218.60.56/~jnz1568/getInfo.php?workbook=18_08.xlsx&amp;sheet=A0&amp;row=1772&amp;col=7&amp;number=0&amp;sourceID=14","0")</f>
        <v>0</v>
      </c>
    </row>
    <row r="1773" spans="1:7">
      <c r="A1773" s="3">
        <v>18</v>
      </c>
      <c r="B1773" s="3">
        <v>8</v>
      </c>
      <c r="C1773" s="3">
        <v>46</v>
      </c>
      <c r="D1773" s="3">
        <v>30</v>
      </c>
      <c r="E1773" s="3">
        <v>-1246.974</v>
      </c>
      <c r="F1773" s="4" t="str">
        <f>HYPERLINK("http://141.218.60.56/~jnz1568/getInfo.php?workbook=18_08.xlsx&amp;sheet=A0&amp;row=1773&amp;col=6&amp;number=2.217&amp;sourceID=14","2.217")</f>
        <v>2.217</v>
      </c>
      <c r="G1773" s="4" t="str">
        <f>HYPERLINK("http://141.218.60.56/~jnz1568/getInfo.php?workbook=18_08.xlsx&amp;sheet=A0&amp;row=1773&amp;col=7&amp;number=0&amp;sourceID=14","0")</f>
        <v>0</v>
      </c>
    </row>
    <row r="1774" spans="1:7">
      <c r="A1774" s="3">
        <v>18</v>
      </c>
      <c r="B1774" s="3">
        <v>8</v>
      </c>
      <c r="C1774" s="3">
        <v>47</v>
      </c>
      <c r="D1774" s="3">
        <v>30</v>
      </c>
      <c r="E1774" s="3">
        <v>-1335.418</v>
      </c>
      <c r="F1774" s="4" t="str">
        <f>HYPERLINK("http://141.218.60.56/~jnz1568/getInfo.php?workbook=18_08.xlsx&amp;sheet=A0&amp;row=1774&amp;col=6&amp;number=0.09424&amp;sourceID=14","0.09424")</f>
        <v>0.09424</v>
      </c>
      <c r="G1774" s="4" t="str">
        <f>HYPERLINK("http://141.218.60.56/~jnz1568/getInfo.php?workbook=18_08.xlsx&amp;sheet=A0&amp;row=1774&amp;col=7&amp;number=0&amp;sourceID=14","0")</f>
        <v>0</v>
      </c>
    </row>
    <row r="1775" spans="1:7">
      <c r="A1775" s="3">
        <v>18</v>
      </c>
      <c r="B1775" s="3">
        <v>8</v>
      </c>
      <c r="C1775" s="3">
        <v>48</v>
      </c>
      <c r="D1775" s="3">
        <v>30</v>
      </c>
      <c r="E1775" s="3">
        <v>-1184.387</v>
      </c>
      <c r="F1775" s="4" t="str">
        <f>HYPERLINK("http://141.218.60.56/~jnz1568/getInfo.php?workbook=18_08.xlsx&amp;sheet=A0&amp;row=1775&amp;col=6&amp;number=25.03&amp;sourceID=14","25.03")</f>
        <v>25.03</v>
      </c>
      <c r="G1775" s="4" t="str">
        <f>HYPERLINK("http://141.218.60.56/~jnz1568/getInfo.php?workbook=18_08.xlsx&amp;sheet=A0&amp;row=1775&amp;col=7&amp;number=0&amp;sourceID=14","0")</f>
        <v>0</v>
      </c>
    </row>
    <row r="1776" spans="1:7">
      <c r="A1776" s="3">
        <v>18</v>
      </c>
      <c r="B1776" s="3">
        <v>8</v>
      </c>
      <c r="C1776" s="3">
        <v>49</v>
      </c>
      <c r="D1776" s="3">
        <v>30</v>
      </c>
      <c r="E1776" s="3">
        <v>-1053.333</v>
      </c>
      <c r="F1776" s="4" t="str">
        <f>HYPERLINK("http://141.218.60.56/~jnz1568/getInfo.php?workbook=18_08.xlsx&amp;sheet=A0&amp;row=1776&amp;col=6&amp;number=5.137&amp;sourceID=14","5.137")</f>
        <v>5.137</v>
      </c>
      <c r="G1776" s="4" t="str">
        <f>HYPERLINK("http://141.218.60.56/~jnz1568/getInfo.php?workbook=18_08.xlsx&amp;sheet=A0&amp;row=1776&amp;col=7&amp;number=0&amp;sourceID=14","0")</f>
        <v>0</v>
      </c>
    </row>
    <row r="1777" spans="1:7">
      <c r="A1777" s="3">
        <v>18</v>
      </c>
      <c r="B1777" s="3">
        <v>8</v>
      </c>
      <c r="C1777" s="3">
        <v>50</v>
      </c>
      <c r="D1777" s="3">
        <v>30</v>
      </c>
      <c r="E1777" s="3">
        <v>-1022.099</v>
      </c>
      <c r="F1777" s="4" t="str">
        <f>HYPERLINK("http://141.218.60.56/~jnz1568/getInfo.php?workbook=18_08.xlsx&amp;sheet=A0&amp;row=1777&amp;col=6&amp;number=253.1&amp;sourceID=14","253.1")</f>
        <v>253.1</v>
      </c>
      <c r="G1777" s="4" t="str">
        <f>HYPERLINK("http://141.218.60.56/~jnz1568/getInfo.php?workbook=18_08.xlsx&amp;sheet=A0&amp;row=1777&amp;col=7&amp;number=0&amp;sourceID=14","0")</f>
        <v>0</v>
      </c>
    </row>
    <row r="1778" spans="1:7">
      <c r="A1778" s="3">
        <v>18</v>
      </c>
      <c r="B1778" s="3">
        <v>8</v>
      </c>
      <c r="C1778" s="3">
        <v>51</v>
      </c>
      <c r="D1778" s="3">
        <v>30</v>
      </c>
      <c r="E1778" s="3">
        <v>-829.62</v>
      </c>
      <c r="F1778" s="4" t="str">
        <f>HYPERLINK("http://141.218.60.56/~jnz1568/getInfo.php?workbook=18_08.xlsx&amp;sheet=A0&amp;row=1778&amp;col=6&amp;number=2083000&amp;sourceID=14","2083000")</f>
        <v>2083000</v>
      </c>
      <c r="G1778" s="4" t="str">
        <f>HYPERLINK("http://141.218.60.56/~jnz1568/getInfo.php?workbook=18_08.xlsx&amp;sheet=A0&amp;row=1778&amp;col=7&amp;number=0&amp;sourceID=14","0")</f>
        <v>0</v>
      </c>
    </row>
    <row r="1779" spans="1:7">
      <c r="A1779" s="3">
        <v>18</v>
      </c>
      <c r="B1779" s="3">
        <v>8</v>
      </c>
      <c r="C1779" s="3">
        <v>52</v>
      </c>
      <c r="D1779" s="3">
        <v>30</v>
      </c>
      <c r="E1779" s="3">
        <v>-822.856</v>
      </c>
      <c r="F1779" s="4" t="str">
        <f>HYPERLINK("http://141.218.60.56/~jnz1568/getInfo.php?workbook=18_08.xlsx&amp;sheet=A0&amp;row=1779&amp;col=6&amp;number=21130000&amp;sourceID=14","21130000")</f>
        <v>21130000</v>
      </c>
      <c r="G1779" s="4" t="str">
        <f>HYPERLINK("http://141.218.60.56/~jnz1568/getInfo.php?workbook=18_08.xlsx&amp;sheet=A0&amp;row=1779&amp;col=7&amp;number=0&amp;sourceID=14","0")</f>
        <v>0</v>
      </c>
    </row>
    <row r="1780" spans="1:7">
      <c r="A1780" s="3">
        <v>18</v>
      </c>
      <c r="B1780" s="3">
        <v>8</v>
      </c>
      <c r="C1780" s="3">
        <v>53</v>
      </c>
      <c r="D1780" s="3">
        <v>30</v>
      </c>
      <c r="E1780" s="3">
        <v>-1007.945</v>
      </c>
      <c r="F1780" s="4" t="str">
        <f>HYPERLINK("http://141.218.60.56/~jnz1568/getInfo.php?workbook=18_08.xlsx&amp;sheet=A0&amp;row=1780&amp;col=6&amp;number=255.6&amp;sourceID=14","255.6")</f>
        <v>255.6</v>
      </c>
      <c r="G1780" s="4" t="str">
        <f>HYPERLINK("http://141.218.60.56/~jnz1568/getInfo.php?workbook=18_08.xlsx&amp;sheet=A0&amp;row=1780&amp;col=7&amp;number=0&amp;sourceID=14","0")</f>
        <v>0</v>
      </c>
    </row>
    <row r="1781" spans="1:7">
      <c r="A1781" s="3">
        <v>18</v>
      </c>
      <c r="B1781" s="3">
        <v>8</v>
      </c>
      <c r="C1781" s="3">
        <v>54</v>
      </c>
      <c r="D1781" s="3">
        <v>30</v>
      </c>
      <c r="E1781" s="3">
        <v>-816.879</v>
      </c>
      <c r="F1781" s="4" t="str">
        <f>HYPERLINK("http://141.218.60.56/~jnz1568/getInfo.php?workbook=18_08.xlsx&amp;sheet=A0&amp;row=1781&amp;col=6&amp;number=0.005955&amp;sourceID=14","0.005955")</f>
        <v>0.005955</v>
      </c>
      <c r="G1781" s="4" t="str">
        <f>HYPERLINK("http://141.218.60.56/~jnz1568/getInfo.php?workbook=18_08.xlsx&amp;sheet=A0&amp;row=1781&amp;col=7&amp;number=0&amp;sourceID=14","0")</f>
        <v>0</v>
      </c>
    </row>
    <row r="1782" spans="1:7">
      <c r="A1782" s="3">
        <v>18</v>
      </c>
      <c r="B1782" s="3">
        <v>8</v>
      </c>
      <c r="C1782" s="3">
        <v>55</v>
      </c>
      <c r="D1782" s="3">
        <v>30</v>
      </c>
      <c r="E1782" s="3">
        <v>-776.126</v>
      </c>
      <c r="F1782" s="4" t="str">
        <f>HYPERLINK("http://141.218.60.56/~jnz1568/getInfo.php?workbook=18_08.xlsx&amp;sheet=A0&amp;row=1782&amp;col=6&amp;number=130&amp;sourceID=14","130")</f>
        <v>130</v>
      </c>
      <c r="G1782" s="4" t="str">
        <f>HYPERLINK("http://141.218.60.56/~jnz1568/getInfo.php?workbook=18_08.xlsx&amp;sheet=A0&amp;row=1782&amp;col=7&amp;number=0&amp;sourceID=14","0")</f>
        <v>0</v>
      </c>
    </row>
    <row r="1783" spans="1:7">
      <c r="A1783" s="3">
        <v>18</v>
      </c>
      <c r="B1783" s="3">
        <v>8</v>
      </c>
      <c r="C1783" s="3">
        <v>56</v>
      </c>
      <c r="D1783" s="3">
        <v>30</v>
      </c>
      <c r="E1783" s="3">
        <v>-565.576</v>
      </c>
      <c r="F1783" s="4" t="str">
        <f>HYPERLINK("http://141.218.60.56/~jnz1568/getInfo.php?workbook=18_08.xlsx&amp;sheet=A0&amp;row=1783&amp;col=6&amp;number=999900000&amp;sourceID=14","999900000")</f>
        <v>999900000</v>
      </c>
      <c r="G1783" s="4" t="str">
        <f>HYPERLINK("http://141.218.60.56/~jnz1568/getInfo.php?workbook=18_08.xlsx&amp;sheet=A0&amp;row=1783&amp;col=7&amp;number=0&amp;sourceID=14","0")</f>
        <v>0</v>
      </c>
    </row>
    <row r="1784" spans="1:7">
      <c r="A1784" s="3">
        <v>18</v>
      </c>
      <c r="B1784" s="3">
        <v>8</v>
      </c>
      <c r="C1784" s="3">
        <v>57</v>
      </c>
      <c r="D1784" s="3">
        <v>30</v>
      </c>
      <c r="E1784" s="3">
        <v>-554.517</v>
      </c>
      <c r="F1784" s="4" t="str">
        <f>HYPERLINK("http://141.218.60.56/~jnz1568/getInfo.php?workbook=18_08.xlsx&amp;sheet=A0&amp;row=1784&amp;col=6&amp;number=0.2144&amp;sourceID=14","0.2144")</f>
        <v>0.2144</v>
      </c>
      <c r="G1784" s="4" t="str">
        <f>HYPERLINK("http://141.218.60.56/~jnz1568/getInfo.php?workbook=18_08.xlsx&amp;sheet=A0&amp;row=1784&amp;col=7&amp;number=0&amp;sourceID=14","0")</f>
        <v>0</v>
      </c>
    </row>
    <row r="1785" spans="1:7">
      <c r="A1785" s="3">
        <v>18</v>
      </c>
      <c r="B1785" s="3">
        <v>8</v>
      </c>
      <c r="C1785" s="3">
        <v>58</v>
      </c>
      <c r="D1785" s="3">
        <v>30</v>
      </c>
      <c r="E1785" s="3">
        <v>-546.261</v>
      </c>
      <c r="F1785" s="4" t="str">
        <f>HYPERLINK("http://141.218.60.56/~jnz1568/getInfo.php?workbook=18_08.xlsx&amp;sheet=A0&amp;row=1785&amp;col=6&amp;number=1740000000&amp;sourceID=14","1740000000")</f>
        <v>1740000000</v>
      </c>
      <c r="G1785" s="4" t="str">
        <f>HYPERLINK("http://141.218.60.56/~jnz1568/getInfo.php?workbook=18_08.xlsx&amp;sheet=A0&amp;row=1785&amp;col=7&amp;number=0&amp;sourceID=14","0")</f>
        <v>0</v>
      </c>
    </row>
    <row r="1786" spans="1:7">
      <c r="A1786" s="3">
        <v>18</v>
      </c>
      <c r="B1786" s="3">
        <v>8</v>
      </c>
      <c r="C1786" s="3">
        <v>60</v>
      </c>
      <c r="D1786" s="3">
        <v>30</v>
      </c>
      <c r="E1786" s="3">
        <v>-522.355</v>
      </c>
      <c r="F1786" s="4" t="str">
        <f>HYPERLINK("http://141.218.60.56/~jnz1568/getInfo.php?workbook=18_08.xlsx&amp;sheet=A0&amp;row=1786&amp;col=6&amp;number=0.02216&amp;sourceID=14","0.02216")</f>
        <v>0.02216</v>
      </c>
      <c r="G1786" s="4" t="str">
        <f>HYPERLINK("http://141.218.60.56/~jnz1568/getInfo.php?workbook=18_08.xlsx&amp;sheet=A0&amp;row=1786&amp;col=7&amp;number=0&amp;sourceID=14","0")</f>
        <v>0</v>
      </c>
    </row>
    <row r="1787" spans="1:7">
      <c r="A1787" s="3">
        <v>18</v>
      </c>
      <c r="B1787" s="3">
        <v>8</v>
      </c>
      <c r="C1787" s="3">
        <v>64</v>
      </c>
      <c r="D1787" s="3">
        <v>30</v>
      </c>
      <c r="E1787" s="3">
        <v>-477.214</v>
      </c>
      <c r="F1787" s="4" t="str">
        <f>HYPERLINK("http://141.218.60.56/~jnz1568/getInfo.php?workbook=18_08.xlsx&amp;sheet=A0&amp;row=1787&amp;col=6&amp;number=41010000&amp;sourceID=14","41010000")</f>
        <v>41010000</v>
      </c>
      <c r="G1787" s="4" t="str">
        <f>HYPERLINK("http://141.218.60.56/~jnz1568/getInfo.php?workbook=18_08.xlsx&amp;sheet=A0&amp;row=1787&amp;col=7&amp;number=0&amp;sourceID=14","0")</f>
        <v>0</v>
      </c>
    </row>
    <row r="1788" spans="1:7">
      <c r="A1788" s="3">
        <v>18</v>
      </c>
      <c r="B1788" s="3">
        <v>8</v>
      </c>
      <c r="C1788" s="3">
        <v>65</v>
      </c>
      <c r="D1788" s="3">
        <v>30</v>
      </c>
      <c r="E1788" s="3">
        <v>-555.923</v>
      </c>
      <c r="F1788" s="4" t="str">
        <f>HYPERLINK("http://141.218.60.56/~jnz1568/getInfo.php?workbook=18_08.xlsx&amp;sheet=A0&amp;row=1788&amp;col=6&amp;number=2.004&amp;sourceID=14","2.004")</f>
        <v>2.004</v>
      </c>
      <c r="G1788" s="4" t="str">
        <f>HYPERLINK("http://141.218.60.56/~jnz1568/getInfo.php?workbook=18_08.xlsx&amp;sheet=A0&amp;row=1788&amp;col=7&amp;number=0&amp;sourceID=14","0")</f>
        <v>0</v>
      </c>
    </row>
    <row r="1789" spans="1:7">
      <c r="A1789" s="3">
        <v>18</v>
      </c>
      <c r="B1789" s="3">
        <v>8</v>
      </c>
      <c r="C1789" s="3">
        <v>66</v>
      </c>
      <c r="D1789" s="3">
        <v>30</v>
      </c>
      <c r="E1789" s="3">
        <v>-481.419</v>
      </c>
      <c r="F1789" s="4" t="str">
        <f>HYPERLINK("http://141.218.60.56/~jnz1568/getInfo.php?workbook=18_08.xlsx&amp;sheet=A0&amp;row=1789&amp;col=6&amp;number=209300000&amp;sourceID=14","209300000")</f>
        <v>209300000</v>
      </c>
      <c r="G1789" s="4" t="str">
        <f>HYPERLINK("http://141.218.60.56/~jnz1568/getInfo.php?workbook=18_08.xlsx&amp;sheet=A0&amp;row=1789&amp;col=7&amp;number=0&amp;sourceID=14","0")</f>
        <v>0</v>
      </c>
    </row>
    <row r="1790" spans="1:7">
      <c r="A1790" s="3">
        <v>18</v>
      </c>
      <c r="B1790" s="3">
        <v>8</v>
      </c>
      <c r="C1790" s="3">
        <v>67</v>
      </c>
      <c r="D1790" s="3">
        <v>30</v>
      </c>
      <c r="E1790" s="3">
        <v>-499.61</v>
      </c>
      <c r="F1790" s="4" t="str">
        <f>HYPERLINK("http://141.218.60.56/~jnz1568/getInfo.php?workbook=18_08.xlsx&amp;sheet=A0&amp;row=1790&amp;col=6&amp;number=2450000000&amp;sourceID=14","2450000000")</f>
        <v>2450000000</v>
      </c>
      <c r="G1790" s="4" t="str">
        <f>HYPERLINK("http://141.218.60.56/~jnz1568/getInfo.php?workbook=18_08.xlsx&amp;sheet=A0&amp;row=1790&amp;col=7&amp;number=0&amp;sourceID=14","0")</f>
        <v>0</v>
      </c>
    </row>
    <row r="1791" spans="1:7">
      <c r="A1791" s="3">
        <v>18</v>
      </c>
      <c r="B1791" s="3">
        <v>8</v>
      </c>
      <c r="C1791" s="3">
        <v>68</v>
      </c>
      <c r="D1791" s="3">
        <v>30</v>
      </c>
      <c r="E1791" s="3">
        <v>-475.369</v>
      </c>
      <c r="F1791" s="4" t="str">
        <f>HYPERLINK("http://141.218.60.56/~jnz1568/getInfo.php?workbook=18_08.xlsx&amp;sheet=A0&amp;row=1791&amp;col=6&amp;number=0.3303&amp;sourceID=14","0.3303")</f>
        <v>0.3303</v>
      </c>
      <c r="G1791" s="4" t="str">
        <f>HYPERLINK("http://141.218.60.56/~jnz1568/getInfo.php?workbook=18_08.xlsx&amp;sheet=A0&amp;row=1791&amp;col=7&amp;number=0&amp;sourceID=14","0")</f>
        <v>0</v>
      </c>
    </row>
    <row r="1792" spans="1:7">
      <c r="A1792" s="3">
        <v>18</v>
      </c>
      <c r="B1792" s="3">
        <v>8</v>
      </c>
      <c r="C1792" s="3">
        <v>69</v>
      </c>
      <c r="D1792" s="3">
        <v>30</v>
      </c>
      <c r="E1792" s="3">
        <v>-458.742</v>
      </c>
      <c r="F1792" s="4" t="str">
        <f>HYPERLINK("http://141.218.60.56/~jnz1568/getInfo.php?workbook=18_08.xlsx&amp;sheet=A0&amp;row=1792&amp;col=6&amp;number=18830000&amp;sourceID=14","18830000")</f>
        <v>18830000</v>
      </c>
      <c r="G1792" s="4" t="str">
        <f>HYPERLINK("http://141.218.60.56/~jnz1568/getInfo.php?workbook=18_08.xlsx&amp;sheet=A0&amp;row=1792&amp;col=7&amp;number=0&amp;sourceID=14","0")</f>
        <v>0</v>
      </c>
    </row>
    <row r="1793" spans="1:7">
      <c r="A1793" s="3">
        <v>18</v>
      </c>
      <c r="B1793" s="3">
        <v>8</v>
      </c>
      <c r="C1793" s="3">
        <v>70</v>
      </c>
      <c r="D1793" s="3">
        <v>30</v>
      </c>
      <c r="E1793" s="3">
        <v>-450.39</v>
      </c>
      <c r="F1793" s="4" t="str">
        <f>HYPERLINK("http://141.218.60.56/~jnz1568/getInfo.php?workbook=18_08.xlsx&amp;sheet=A0&amp;row=1793&amp;col=6&amp;number=768600000&amp;sourceID=14","768600000")</f>
        <v>768600000</v>
      </c>
      <c r="G1793" s="4" t="str">
        <f>HYPERLINK("http://141.218.60.56/~jnz1568/getInfo.php?workbook=18_08.xlsx&amp;sheet=A0&amp;row=1793&amp;col=7&amp;number=0&amp;sourceID=14","0")</f>
        <v>0</v>
      </c>
    </row>
    <row r="1794" spans="1:7">
      <c r="A1794" s="3">
        <v>18</v>
      </c>
      <c r="B1794" s="3">
        <v>8</v>
      </c>
      <c r="C1794" s="3">
        <v>71</v>
      </c>
      <c r="D1794" s="3">
        <v>30</v>
      </c>
      <c r="E1794" s="3">
        <v>-449.059</v>
      </c>
      <c r="F1794" s="4" t="str">
        <f>HYPERLINK("http://141.218.60.56/~jnz1568/getInfo.php?workbook=18_08.xlsx&amp;sheet=A0&amp;row=1794&amp;col=6&amp;number=5315000&amp;sourceID=14","5315000")</f>
        <v>5315000</v>
      </c>
      <c r="G1794" s="4" t="str">
        <f>HYPERLINK("http://141.218.60.56/~jnz1568/getInfo.php?workbook=18_08.xlsx&amp;sheet=A0&amp;row=1794&amp;col=7&amp;number=0&amp;sourceID=14","0")</f>
        <v>0</v>
      </c>
    </row>
    <row r="1795" spans="1:7">
      <c r="A1795" s="3">
        <v>18</v>
      </c>
      <c r="B1795" s="3">
        <v>8</v>
      </c>
      <c r="C1795" s="3">
        <v>72</v>
      </c>
      <c r="D1795" s="3">
        <v>30</v>
      </c>
      <c r="E1795" s="3">
        <v>-463.098</v>
      </c>
      <c r="F1795" s="4" t="str">
        <f>HYPERLINK("http://141.218.60.56/~jnz1568/getInfo.php?workbook=18_08.xlsx&amp;sheet=A0&amp;row=1795&amp;col=6&amp;number=865100000&amp;sourceID=14","865100000")</f>
        <v>865100000</v>
      </c>
      <c r="G1795" s="4" t="str">
        <f>HYPERLINK("http://141.218.60.56/~jnz1568/getInfo.php?workbook=18_08.xlsx&amp;sheet=A0&amp;row=1795&amp;col=7&amp;number=0&amp;sourceID=14","0")</f>
        <v>0</v>
      </c>
    </row>
    <row r="1796" spans="1:7">
      <c r="A1796" s="3">
        <v>18</v>
      </c>
      <c r="B1796" s="3">
        <v>8</v>
      </c>
      <c r="C1796" s="3">
        <v>73</v>
      </c>
      <c r="D1796" s="3">
        <v>30</v>
      </c>
      <c r="E1796" s="3">
        <v>-440.048</v>
      </c>
      <c r="F1796" s="4" t="str">
        <f>HYPERLINK("http://141.218.60.56/~jnz1568/getInfo.php?workbook=18_08.xlsx&amp;sheet=A0&amp;row=1796&amp;col=6&amp;number=108.7&amp;sourceID=14","108.7")</f>
        <v>108.7</v>
      </c>
      <c r="G1796" s="4" t="str">
        <f>HYPERLINK("http://141.218.60.56/~jnz1568/getInfo.php?workbook=18_08.xlsx&amp;sheet=A0&amp;row=1796&amp;col=7&amp;number=0&amp;sourceID=14","0")</f>
        <v>0</v>
      </c>
    </row>
    <row r="1797" spans="1:7">
      <c r="A1797" s="3">
        <v>18</v>
      </c>
      <c r="B1797" s="3">
        <v>8</v>
      </c>
      <c r="C1797" s="3">
        <v>74</v>
      </c>
      <c r="D1797" s="3">
        <v>30</v>
      </c>
      <c r="E1797" s="3">
        <v>-413.798</v>
      </c>
      <c r="F1797" s="4" t="str">
        <f>HYPERLINK("http://141.218.60.56/~jnz1568/getInfo.php?workbook=18_08.xlsx&amp;sheet=A0&amp;row=1797&amp;col=6&amp;number=0.5294&amp;sourceID=14","0.5294")</f>
        <v>0.5294</v>
      </c>
      <c r="G1797" s="4" t="str">
        <f>HYPERLINK("http://141.218.60.56/~jnz1568/getInfo.php?workbook=18_08.xlsx&amp;sheet=A0&amp;row=1797&amp;col=7&amp;number=0&amp;sourceID=14","0")</f>
        <v>0</v>
      </c>
    </row>
    <row r="1798" spans="1:7">
      <c r="A1798" s="3">
        <v>18</v>
      </c>
      <c r="B1798" s="3">
        <v>8</v>
      </c>
      <c r="C1798" s="3">
        <v>75</v>
      </c>
      <c r="D1798" s="3">
        <v>30</v>
      </c>
      <c r="E1798" s="3">
        <v>-407.973</v>
      </c>
      <c r="F1798" s="4" t="str">
        <f>HYPERLINK("http://141.218.60.56/~jnz1568/getInfo.php?workbook=18_08.xlsx&amp;sheet=A0&amp;row=1798&amp;col=6&amp;number=1398000&amp;sourceID=14","1398000")</f>
        <v>1398000</v>
      </c>
      <c r="G1798" s="4" t="str">
        <f>HYPERLINK("http://141.218.60.56/~jnz1568/getInfo.php?workbook=18_08.xlsx&amp;sheet=A0&amp;row=1798&amp;col=7&amp;number=0&amp;sourceID=14","0")</f>
        <v>0</v>
      </c>
    </row>
    <row r="1799" spans="1:7">
      <c r="A1799" s="3">
        <v>18</v>
      </c>
      <c r="B1799" s="3">
        <v>8</v>
      </c>
      <c r="C1799" s="3">
        <v>77</v>
      </c>
      <c r="D1799" s="3">
        <v>30</v>
      </c>
      <c r="E1799" s="3">
        <v>-404.203</v>
      </c>
      <c r="F1799" s="4" t="str">
        <f>HYPERLINK("http://141.218.60.56/~jnz1568/getInfo.php?workbook=18_08.xlsx&amp;sheet=A0&amp;row=1799&amp;col=6&amp;number=0.723&amp;sourceID=14","0.723")</f>
        <v>0.723</v>
      </c>
      <c r="G1799" s="4" t="str">
        <f>HYPERLINK("http://141.218.60.56/~jnz1568/getInfo.php?workbook=18_08.xlsx&amp;sheet=A0&amp;row=1799&amp;col=7&amp;number=0&amp;sourceID=14","0")</f>
        <v>0</v>
      </c>
    </row>
    <row r="1800" spans="1:7">
      <c r="A1800" s="3">
        <v>18</v>
      </c>
      <c r="B1800" s="3">
        <v>8</v>
      </c>
      <c r="C1800" s="3">
        <v>78</v>
      </c>
      <c r="D1800" s="3">
        <v>30</v>
      </c>
      <c r="E1800" s="3">
        <v>-406.609</v>
      </c>
      <c r="F1800" s="4" t="str">
        <f>HYPERLINK("http://141.218.60.56/~jnz1568/getInfo.php?workbook=18_08.xlsx&amp;sheet=A0&amp;row=1800&amp;col=6&amp;number=343900&amp;sourceID=14","343900")</f>
        <v>343900</v>
      </c>
      <c r="G1800" s="4" t="str">
        <f>HYPERLINK("http://141.218.60.56/~jnz1568/getInfo.php?workbook=18_08.xlsx&amp;sheet=A0&amp;row=1800&amp;col=7&amp;number=0&amp;sourceID=14","0")</f>
        <v>0</v>
      </c>
    </row>
    <row r="1801" spans="1:7">
      <c r="A1801" s="3">
        <v>18</v>
      </c>
      <c r="B1801" s="3">
        <v>8</v>
      </c>
      <c r="C1801" s="3">
        <v>79</v>
      </c>
      <c r="D1801" s="3">
        <v>30</v>
      </c>
      <c r="E1801" s="3">
        <v>-401.73</v>
      </c>
      <c r="F1801" s="4" t="str">
        <f>HYPERLINK("http://141.218.60.56/~jnz1568/getInfo.php?workbook=18_08.xlsx&amp;sheet=A0&amp;row=1801&amp;col=6&amp;number=51200000&amp;sourceID=14","51200000")</f>
        <v>51200000</v>
      </c>
      <c r="G1801" s="4" t="str">
        <f>HYPERLINK("http://141.218.60.56/~jnz1568/getInfo.php?workbook=18_08.xlsx&amp;sheet=A0&amp;row=1801&amp;col=7&amp;number=0&amp;sourceID=14","0")</f>
        <v>0</v>
      </c>
    </row>
    <row r="1802" spans="1:7">
      <c r="A1802" s="3">
        <v>18</v>
      </c>
      <c r="B1802" s="3">
        <v>8</v>
      </c>
      <c r="C1802" s="3">
        <v>80</v>
      </c>
      <c r="D1802" s="3">
        <v>30</v>
      </c>
      <c r="E1802" s="3">
        <v>-398.628</v>
      </c>
      <c r="F1802" s="4" t="str">
        <f>HYPERLINK("http://141.218.60.56/~jnz1568/getInfo.php?workbook=18_08.xlsx&amp;sheet=A0&amp;row=1802&amp;col=6&amp;number=71390&amp;sourceID=14","71390")</f>
        <v>71390</v>
      </c>
      <c r="G1802" s="4" t="str">
        <f>HYPERLINK("http://141.218.60.56/~jnz1568/getInfo.php?workbook=18_08.xlsx&amp;sheet=A0&amp;row=1802&amp;col=7&amp;number=0&amp;sourceID=14","0")</f>
        <v>0</v>
      </c>
    </row>
    <row r="1803" spans="1:7">
      <c r="A1803" s="3">
        <v>18</v>
      </c>
      <c r="B1803" s="3">
        <v>8</v>
      </c>
      <c r="C1803" s="3">
        <v>81</v>
      </c>
      <c r="D1803" s="3">
        <v>30</v>
      </c>
      <c r="E1803" s="3">
        <v>-382.863</v>
      </c>
      <c r="F1803" s="4" t="str">
        <f>HYPERLINK("http://141.218.60.56/~jnz1568/getInfo.php?workbook=18_08.xlsx&amp;sheet=A0&amp;row=1803&amp;col=6&amp;number=10010000&amp;sourceID=14","10010000")</f>
        <v>10010000</v>
      </c>
      <c r="G1803" s="4" t="str">
        <f>HYPERLINK("http://141.218.60.56/~jnz1568/getInfo.php?workbook=18_08.xlsx&amp;sheet=A0&amp;row=1803&amp;col=7&amp;number=0&amp;sourceID=14","0")</f>
        <v>0</v>
      </c>
    </row>
    <row r="1804" spans="1:7">
      <c r="A1804" s="3">
        <v>18</v>
      </c>
      <c r="B1804" s="3">
        <v>8</v>
      </c>
      <c r="C1804" s="3">
        <v>82</v>
      </c>
      <c r="D1804" s="3">
        <v>30</v>
      </c>
      <c r="E1804" s="3">
        <v>-378.128</v>
      </c>
      <c r="F1804" s="4" t="str">
        <f>HYPERLINK("http://141.218.60.56/~jnz1568/getInfo.php?workbook=18_08.xlsx&amp;sheet=A0&amp;row=1804&amp;col=6&amp;number=0.001977&amp;sourceID=14","0.001977")</f>
        <v>0.001977</v>
      </c>
      <c r="G1804" s="4" t="str">
        <f>HYPERLINK("http://141.218.60.56/~jnz1568/getInfo.php?workbook=18_08.xlsx&amp;sheet=A0&amp;row=1804&amp;col=7&amp;number=0&amp;sourceID=14","0")</f>
        <v>0</v>
      </c>
    </row>
    <row r="1805" spans="1:7">
      <c r="A1805" s="3">
        <v>18</v>
      </c>
      <c r="B1805" s="3">
        <v>8</v>
      </c>
      <c r="C1805" s="3">
        <v>83</v>
      </c>
      <c r="D1805" s="3">
        <v>30</v>
      </c>
      <c r="E1805" s="3">
        <v>-377.823</v>
      </c>
      <c r="F1805" s="4" t="str">
        <f>HYPERLINK("http://141.218.60.56/~jnz1568/getInfo.php?workbook=18_08.xlsx&amp;sheet=A0&amp;row=1805&amp;col=6&amp;number=2814000&amp;sourceID=14","2814000")</f>
        <v>2814000</v>
      </c>
      <c r="G1805" s="4" t="str">
        <f>HYPERLINK("http://141.218.60.56/~jnz1568/getInfo.php?workbook=18_08.xlsx&amp;sheet=A0&amp;row=1805&amp;col=7&amp;number=0&amp;sourceID=14","0")</f>
        <v>0</v>
      </c>
    </row>
    <row r="1806" spans="1:7">
      <c r="A1806" s="3">
        <v>18</v>
      </c>
      <c r="B1806" s="3">
        <v>8</v>
      </c>
      <c r="C1806" s="3">
        <v>84</v>
      </c>
      <c r="D1806" s="3">
        <v>30</v>
      </c>
      <c r="E1806" s="3">
        <v>-360.462</v>
      </c>
      <c r="F1806" s="4" t="str">
        <f>HYPERLINK("http://141.218.60.56/~jnz1568/getInfo.php?workbook=18_08.xlsx&amp;sheet=A0&amp;row=1806&amp;col=6&amp;number=114500000&amp;sourceID=14","114500000")</f>
        <v>114500000</v>
      </c>
      <c r="G1806" s="4" t="str">
        <f>HYPERLINK("http://141.218.60.56/~jnz1568/getInfo.php?workbook=18_08.xlsx&amp;sheet=A0&amp;row=1806&amp;col=7&amp;number=0&amp;sourceID=14","0")</f>
        <v>0</v>
      </c>
    </row>
    <row r="1807" spans="1:7">
      <c r="A1807" s="3">
        <v>18</v>
      </c>
      <c r="B1807" s="3">
        <v>8</v>
      </c>
      <c r="C1807" s="3">
        <v>85</v>
      </c>
      <c r="D1807" s="3">
        <v>30</v>
      </c>
      <c r="E1807" s="3">
        <v>-355.777</v>
      </c>
      <c r="F1807" s="4" t="str">
        <f>HYPERLINK("http://141.218.60.56/~jnz1568/getInfo.php?workbook=18_08.xlsx&amp;sheet=A0&amp;row=1807&amp;col=6&amp;number=0.2643&amp;sourceID=14","0.2643")</f>
        <v>0.2643</v>
      </c>
      <c r="G1807" s="4" t="str">
        <f>HYPERLINK("http://141.218.60.56/~jnz1568/getInfo.php?workbook=18_08.xlsx&amp;sheet=A0&amp;row=1807&amp;col=7&amp;number=0&amp;sourceID=14","0")</f>
        <v>0</v>
      </c>
    </row>
    <row r="1808" spans="1:7">
      <c r="A1808" s="3">
        <v>18</v>
      </c>
      <c r="B1808" s="3">
        <v>8</v>
      </c>
      <c r="C1808" s="3">
        <v>86</v>
      </c>
      <c r="D1808" s="3">
        <v>30</v>
      </c>
      <c r="E1808" s="3">
        <v>-320.453</v>
      </c>
      <c r="F1808" s="4" t="str">
        <f>HYPERLINK("http://141.218.60.56/~jnz1568/getInfo.php?workbook=18_08.xlsx&amp;sheet=A0&amp;row=1808&amp;col=6&amp;number=21990000&amp;sourceID=14","21990000")</f>
        <v>21990000</v>
      </c>
      <c r="G1808" s="4" t="str">
        <f>HYPERLINK("http://141.218.60.56/~jnz1568/getInfo.php?workbook=18_08.xlsx&amp;sheet=A0&amp;row=1808&amp;col=7&amp;number=0&amp;sourceID=14","0")</f>
        <v>0</v>
      </c>
    </row>
    <row r="1809" spans="1:7">
      <c r="A1809" s="3">
        <v>18</v>
      </c>
      <c r="B1809" s="3">
        <v>8</v>
      </c>
      <c r="C1809" s="3">
        <v>32</v>
      </c>
      <c r="D1809" s="3">
        <v>31</v>
      </c>
      <c r="E1809" s="3">
        <v>-34401.262</v>
      </c>
      <c r="F1809" s="4" t="str">
        <f>HYPERLINK("http://141.218.60.56/~jnz1568/getInfo.php?workbook=18_08.xlsx&amp;sheet=A0&amp;row=1809&amp;col=6&amp;number=0.5778&amp;sourceID=14","0.5778")</f>
        <v>0.5778</v>
      </c>
      <c r="G1809" s="4" t="str">
        <f>HYPERLINK("http://141.218.60.56/~jnz1568/getInfo.php?workbook=18_08.xlsx&amp;sheet=A0&amp;row=1809&amp;col=7&amp;number=0&amp;sourceID=14","0")</f>
        <v>0</v>
      </c>
    </row>
    <row r="1810" spans="1:7">
      <c r="A1810" s="3">
        <v>18</v>
      </c>
      <c r="B1810" s="3">
        <v>8</v>
      </c>
      <c r="C1810" s="3">
        <v>33</v>
      </c>
      <c r="D1810" s="3">
        <v>31</v>
      </c>
      <c r="E1810" s="3">
        <v>-16722.568</v>
      </c>
      <c r="F1810" s="4" t="str">
        <f>HYPERLINK("http://141.218.60.56/~jnz1568/getInfo.php?workbook=18_08.xlsx&amp;sheet=A0&amp;row=1810&amp;col=6&amp;number=5.122e-07&amp;sourceID=14","5.122e-07")</f>
        <v>5.122e-07</v>
      </c>
      <c r="G1810" s="4" t="str">
        <f>HYPERLINK("http://141.218.60.56/~jnz1568/getInfo.php?workbook=18_08.xlsx&amp;sheet=A0&amp;row=1810&amp;col=7&amp;number=0&amp;sourceID=14","0")</f>
        <v>0</v>
      </c>
    </row>
    <row r="1811" spans="1:7">
      <c r="A1811" s="3">
        <v>18</v>
      </c>
      <c r="B1811" s="3">
        <v>8</v>
      </c>
      <c r="C1811" s="3">
        <v>34</v>
      </c>
      <c r="D1811" s="3">
        <v>31</v>
      </c>
      <c r="E1811" s="3">
        <v>-10892.143</v>
      </c>
      <c r="F1811" s="4" t="str">
        <f>HYPERLINK("http://141.218.60.56/~jnz1568/getInfo.php?workbook=18_08.xlsx&amp;sheet=A0&amp;row=1811&amp;col=6&amp;number=0.087&amp;sourceID=14","0.087")</f>
        <v>0.087</v>
      </c>
      <c r="G1811" s="4" t="str">
        <f>HYPERLINK("http://141.218.60.56/~jnz1568/getInfo.php?workbook=18_08.xlsx&amp;sheet=A0&amp;row=1811&amp;col=7&amp;number=0&amp;sourceID=14","0")</f>
        <v>0</v>
      </c>
    </row>
    <row r="1812" spans="1:7">
      <c r="A1812" s="3">
        <v>18</v>
      </c>
      <c r="B1812" s="3">
        <v>8</v>
      </c>
      <c r="C1812" s="3">
        <v>35</v>
      </c>
      <c r="D1812" s="3">
        <v>31</v>
      </c>
      <c r="E1812" s="3">
        <v>-2354.388</v>
      </c>
      <c r="F1812" s="4" t="str">
        <f>HYPERLINK("http://141.218.60.56/~jnz1568/getInfo.php?workbook=18_08.xlsx&amp;sheet=A0&amp;row=1812&amp;col=6&amp;number=7.14&amp;sourceID=14","7.14")</f>
        <v>7.14</v>
      </c>
      <c r="G1812" s="4" t="str">
        <f>HYPERLINK("http://141.218.60.56/~jnz1568/getInfo.php?workbook=18_08.xlsx&amp;sheet=A0&amp;row=1812&amp;col=7&amp;number=0&amp;sourceID=14","0")</f>
        <v>0</v>
      </c>
    </row>
    <row r="1813" spans="1:7">
      <c r="A1813" s="3">
        <v>18</v>
      </c>
      <c r="B1813" s="3">
        <v>8</v>
      </c>
      <c r="C1813" s="3">
        <v>36</v>
      </c>
      <c r="D1813" s="3">
        <v>31</v>
      </c>
      <c r="E1813" s="3">
        <v>-1913.705</v>
      </c>
      <c r="F1813" s="4" t="str">
        <f>HYPERLINK("http://141.218.60.56/~jnz1568/getInfo.php?workbook=18_08.xlsx&amp;sheet=A0&amp;row=1813&amp;col=6&amp;number=5.481&amp;sourceID=14","5.481")</f>
        <v>5.481</v>
      </c>
      <c r="G1813" s="4" t="str">
        <f>HYPERLINK("http://141.218.60.56/~jnz1568/getInfo.php?workbook=18_08.xlsx&amp;sheet=A0&amp;row=1813&amp;col=7&amp;number=0&amp;sourceID=14","0")</f>
        <v>0</v>
      </c>
    </row>
    <row r="1814" spans="1:7">
      <c r="A1814" s="3">
        <v>18</v>
      </c>
      <c r="B1814" s="3">
        <v>8</v>
      </c>
      <c r="C1814" s="3">
        <v>37</v>
      </c>
      <c r="D1814" s="3">
        <v>31</v>
      </c>
      <c r="E1814" s="3">
        <v>-2029.995</v>
      </c>
      <c r="F1814" s="4" t="str">
        <f>HYPERLINK("http://141.218.60.56/~jnz1568/getInfo.php?workbook=18_08.xlsx&amp;sheet=A0&amp;row=1814&amp;col=6&amp;number=45.53&amp;sourceID=14","45.53")</f>
        <v>45.53</v>
      </c>
      <c r="G1814" s="4" t="str">
        <f>HYPERLINK("http://141.218.60.56/~jnz1568/getInfo.php?workbook=18_08.xlsx&amp;sheet=A0&amp;row=1814&amp;col=7&amp;number=0&amp;sourceID=14","0")</f>
        <v>0</v>
      </c>
    </row>
    <row r="1815" spans="1:7">
      <c r="A1815" s="3">
        <v>18</v>
      </c>
      <c r="B1815" s="3">
        <v>8</v>
      </c>
      <c r="C1815" s="3">
        <v>38</v>
      </c>
      <c r="D1815" s="3">
        <v>31</v>
      </c>
      <c r="E1815" s="3">
        <v>-1545.285</v>
      </c>
      <c r="F1815" s="4" t="str">
        <f>HYPERLINK("http://141.218.60.56/~jnz1568/getInfo.php?workbook=18_08.xlsx&amp;sheet=A0&amp;row=1815&amp;col=6&amp;number=1.192e-05&amp;sourceID=14","1.192e-05")</f>
        <v>1.192e-05</v>
      </c>
      <c r="G1815" s="4" t="str">
        <f>HYPERLINK("http://141.218.60.56/~jnz1568/getInfo.php?workbook=18_08.xlsx&amp;sheet=A0&amp;row=1815&amp;col=7&amp;number=0&amp;sourceID=14","0")</f>
        <v>0</v>
      </c>
    </row>
    <row r="1816" spans="1:7">
      <c r="A1816" s="3">
        <v>18</v>
      </c>
      <c r="B1816" s="3">
        <v>8</v>
      </c>
      <c r="C1816" s="3">
        <v>39</v>
      </c>
      <c r="D1816" s="3">
        <v>31</v>
      </c>
      <c r="E1816" s="3">
        <v>-1543.06</v>
      </c>
      <c r="F1816" s="4" t="str">
        <f>HYPERLINK("http://141.218.60.56/~jnz1568/getInfo.php?workbook=18_08.xlsx&amp;sheet=A0&amp;row=1816&amp;col=6&amp;number=3344&amp;sourceID=14","3344")</f>
        <v>3344</v>
      </c>
      <c r="G1816" s="4" t="str">
        <f>HYPERLINK("http://141.218.60.56/~jnz1568/getInfo.php?workbook=18_08.xlsx&amp;sheet=A0&amp;row=1816&amp;col=7&amp;number=0&amp;sourceID=14","0")</f>
        <v>0</v>
      </c>
    </row>
    <row r="1817" spans="1:7">
      <c r="A1817" s="3">
        <v>18</v>
      </c>
      <c r="B1817" s="3">
        <v>8</v>
      </c>
      <c r="C1817" s="3">
        <v>40</v>
      </c>
      <c r="D1817" s="3">
        <v>31</v>
      </c>
      <c r="E1817" s="3">
        <v>-1539.167</v>
      </c>
      <c r="F1817" s="4" t="str">
        <f>HYPERLINK("http://141.218.60.56/~jnz1568/getInfo.php?workbook=18_08.xlsx&amp;sheet=A0&amp;row=1817&amp;col=6&amp;number=3029&amp;sourceID=14","3029")</f>
        <v>3029</v>
      </c>
      <c r="G1817" s="4" t="str">
        <f>HYPERLINK("http://141.218.60.56/~jnz1568/getInfo.php?workbook=18_08.xlsx&amp;sheet=A0&amp;row=1817&amp;col=7&amp;number=0&amp;sourceID=14","0")</f>
        <v>0</v>
      </c>
    </row>
    <row r="1818" spans="1:7">
      <c r="A1818" s="3">
        <v>18</v>
      </c>
      <c r="B1818" s="3">
        <v>8</v>
      </c>
      <c r="C1818" s="3">
        <v>41</v>
      </c>
      <c r="D1818" s="3">
        <v>31</v>
      </c>
      <c r="E1818" s="3">
        <v>-1533.599</v>
      </c>
      <c r="F1818" s="4" t="str">
        <f>HYPERLINK("http://141.218.60.56/~jnz1568/getInfo.php?workbook=18_08.xlsx&amp;sheet=A0&amp;row=1818&amp;col=6&amp;number=665&amp;sourceID=14","665")</f>
        <v>665</v>
      </c>
      <c r="G1818" s="4" t="str">
        <f>HYPERLINK("http://141.218.60.56/~jnz1568/getInfo.php?workbook=18_08.xlsx&amp;sheet=A0&amp;row=1818&amp;col=7&amp;number=0&amp;sourceID=14","0")</f>
        <v>0</v>
      </c>
    </row>
    <row r="1819" spans="1:7">
      <c r="A1819" s="3">
        <v>18</v>
      </c>
      <c r="B1819" s="3">
        <v>8</v>
      </c>
      <c r="C1819" s="3">
        <v>42</v>
      </c>
      <c r="D1819" s="3">
        <v>31</v>
      </c>
      <c r="E1819" s="3">
        <v>-1524.439</v>
      </c>
      <c r="F1819" s="4" t="str">
        <f>HYPERLINK("http://141.218.60.56/~jnz1568/getInfo.php?workbook=18_08.xlsx&amp;sheet=A0&amp;row=1819&amp;col=6&amp;number=4.72e-09&amp;sourceID=14","4.72e-09")</f>
        <v>4.72e-09</v>
      </c>
      <c r="G1819" s="4" t="str">
        <f>HYPERLINK("http://141.218.60.56/~jnz1568/getInfo.php?workbook=18_08.xlsx&amp;sheet=A0&amp;row=1819&amp;col=7&amp;number=0&amp;sourceID=14","0")</f>
        <v>0</v>
      </c>
    </row>
    <row r="1820" spans="1:7">
      <c r="A1820" s="3">
        <v>18</v>
      </c>
      <c r="B1820" s="3">
        <v>8</v>
      </c>
      <c r="C1820" s="3">
        <v>43</v>
      </c>
      <c r="D1820" s="3">
        <v>31</v>
      </c>
      <c r="E1820" s="3">
        <v>-1904.415</v>
      </c>
      <c r="F1820" s="4" t="str">
        <f>HYPERLINK("http://141.218.60.56/~jnz1568/getInfo.php?workbook=18_08.xlsx&amp;sheet=A0&amp;row=1820&amp;col=6&amp;number=148.9&amp;sourceID=14","148.9")</f>
        <v>148.9</v>
      </c>
      <c r="G1820" s="4" t="str">
        <f>HYPERLINK("http://141.218.60.56/~jnz1568/getInfo.php?workbook=18_08.xlsx&amp;sheet=A0&amp;row=1820&amp;col=7&amp;number=0&amp;sourceID=14","0")</f>
        <v>0</v>
      </c>
    </row>
    <row r="1821" spans="1:7">
      <c r="A1821" s="3">
        <v>18</v>
      </c>
      <c r="B1821" s="3">
        <v>8</v>
      </c>
      <c r="C1821" s="3">
        <v>44</v>
      </c>
      <c r="D1821" s="3">
        <v>31</v>
      </c>
      <c r="E1821" s="3">
        <v>-2824.715</v>
      </c>
      <c r="F1821" s="4" t="str">
        <f>HYPERLINK("http://141.218.60.56/~jnz1568/getInfo.php?workbook=18_08.xlsx&amp;sheet=A0&amp;row=1821&amp;col=6&amp;number=0.2595&amp;sourceID=14","0.2595")</f>
        <v>0.2595</v>
      </c>
      <c r="G1821" s="4" t="str">
        <f>HYPERLINK("http://141.218.60.56/~jnz1568/getInfo.php?workbook=18_08.xlsx&amp;sheet=A0&amp;row=1821&amp;col=7&amp;number=0&amp;sourceID=14","0")</f>
        <v>0</v>
      </c>
    </row>
    <row r="1822" spans="1:7">
      <c r="A1822" s="3">
        <v>18</v>
      </c>
      <c r="B1822" s="3">
        <v>8</v>
      </c>
      <c r="C1822" s="3">
        <v>45</v>
      </c>
      <c r="D1822" s="3">
        <v>31</v>
      </c>
      <c r="E1822" s="3">
        <v>-1977.54</v>
      </c>
      <c r="F1822" s="4" t="str">
        <f>HYPERLINK("http://141.218.60.56/~jnz1568/getInfo.php?workbook=18_08.xlsx&amp;sheet=A0&amp;row=1822&amp;col=6&amp;number=142.5&amp;sourceID=14","142.5")</f>
        <v>142.5</v>
      </c>
      <c r="G1822" s="4" t="str">
        <f>HYPERLINK("http://141.218.60.56/~jnz1568/getInfo.php?workbook=18_08.xlsx&amp;sheet=A0&amp;row=1822&amp;col=7&amp;number=0&amp;sourceID=14","0")</f>
        <v>0</v>
      </c>
    </row>
    <row r="1823" spans="1:7">
      <c r="A1823" s="3">
        <v>18</v>
      </c>
      <c r="B1823" s="3">
        <v>8</v>
      </c>
      <c r="C1823" s="3">
        <v>46</v>
      </c>
      <c r="D1823" s="3">
        <v>31</v>
      </c>
      <c r="E1823" s="3">
        <v>-1628.337</v>
      </c>
      <c r="F1823" s="4" t="str">
        <f>HYPERLINK("http://141.218.60.56/~jnz1568/getInfo.php?workbook=18_08.xlsx&amp;sheet=A0&amp;row=1823&amp;col=6&amp;number=7.246&amp;sourceID=14","7.246")</f>
        <v>7.246</v>
      </c>
      <c r="G1823" s="4" t="str">
        <f>HYPERLINK("http://141.218.60.56/~jnz1568/getInfo.php?workbook=18_08.xlsx&amp;sheet=A0&amp;row=1823&amp;col=7&amp;number=0&amp;sourceID=14","0")</f>
        <v>0</v>
      </c>
    </row>
    <row r="1824" spans="1:7">
      <c r="A1824" s="3">
        <v>18</v>
      </c>
      <c r="B1824" s="3">
        <v>8</v>
      </c>
      <c r="C1824" s="3">
        <v>47</v>
      </c>
      <c r="D1824" s="3">
        <v>31</v>
      </c>
      <c r="E1824" s="3">
        <v>-1782.495</v>
      </c>
      <c r="F1824" s="4" t="str">
        <f>HYPERLINK("http://141.218.60.56/~jnz1568/getInfo.php?workbook=18_08.xlsx&amp;sheet=A0&amp;row=1824&amp;col=6&amp;number=26.92&amp;sourceID=14","26.92")</f>
        <v>26.92</v>
      </c>
      <c r="G1824" s="4" t="str">
        <f>HYPERLINK("http://141.218.60.56/~jnz1568/getInfo.php?workbook=18_08.xlsx&amp;sheet=A0&amp;row=1824&amp;col=7&amp;number=0&amp;sourceID=14","0")</f>
        <v>0</v>
      </c>
    </row>
    <row r="1825" spans="1:7">
      <c r="A1825" s="3">
        <v>18</v>
      </c>
      <c r="B1825" s="3">
        <v>8</v>
      </c>
      <c r="C1825" s="3">
        <v>48</v>
      </c>
      <c r="D1825" s="3">
        <v>31</v>
      </c>
      <c r="E1825" s="3">
        <v>-1523.227</v>
      </c>
      <c r="F1825" s="4" t="str">
        <f>HYPERLINK("http://141.218.60.56/~jnz1568/getInfo.php?workbook=18_08.xlsx&amp;sheet=A0&amp;row=1825&amp;col=6&amp;number=78.9&amp;sourceID=14","78.9")</f>
        <v>78.9</v>
      </c>
      <c r="G1825" s="4" t="str">
        <f>HYPERLINK("http://141.218.60.56/~jnz1568/getInfo.php?workbook=18_08.xlsx&amp;sheet=A0&amp;row=1825&amp;col=7&amp;number=0&amp;sourceID=14","0")</f>
        <v>0</v>
      </c>
    </row>
    <row r="1826" spans="1:7">
      <c r="A1826" s="3">
        <v>18</v>
      </c>
      <c r="B1826" s="3">
        <v>8</v>
      </c>
      <c r="C1826" s="3">
        <v>49</v>
      </c>
      <c r="D1826" s="3">
        <v>31</v>
      </c>
      <c r="E1826" s="3">
        <v>-1313.112</v>
      </c>
      <c r="F1826" s="4" t="str">
        <f>HYPERLINK("http://141.218.60.56/~jnz1568/getInfo.php?workbook=18_08.xlsx&amp;sheet=A0&amp;row=1826&amp;col=6&amp;number=35&amp;sourceID=14","35")</f>
        <v>35</v>
      </c>
      <c r="G1826" s="4" t="str">
        <f>HYPERLINK("http://141.218.60.56/~jnz1568/getInfo.php?workbook=18_08.xlsx&amp;sheet=A0&amp;row=1826&amp;col=7&amp;number=0&amp;sourceID=14","0")</f>
        <v>0</v>
      </c>
    </row>
    <row r="1827" spans="1:7">
      <c r="A1827" s="3">
        <v>18</v>
      </c>
      <c r="B1827" s="3">
        <v>8</v>
      </c>
      <c r="C1827" s="3">
        <v>50</v>
      </c>
      <c r="D1827" s="3">
        <v>31</v>
      </c>
      <c r="E1827" s="3">
        <v>-1264.925</v>
      </c>
      <c r="F1827" s="4" t="str">
        <f>HYPERLINK("http://141.218.60.56/~jnz1568/getInfo.php?workbook=18_08.xlsx&amp;sheet=A0&amp;row=1827&amp;col=6&amp;number=7.332&amp;sourceID=14","7.332")</f>
        <v>7.332</v>
      </c>
      <c r="G1827" s="4" t="str">
        <f>HYPERLINK("http://141.218.60.56/~jnz1568/getInfo.php?workbook=18_08.xlsx&amp;sheet=A0&amp;row=1827&amp;col=7&amp;number=0&amp;sourceID=14","0")</f>
        <v>0</v>
      </c>
    </row>
    <row r="1828" spans="1:7">
      <c r="A1828" s="3">
        <v>18</v>
      </c>
      <c r="B1828" s="3">
        <v>8</v>
      </c>
      <c r="C1828" s="3">
        <v>51</v>
      </c>
      <c r="D1828" s="3">
        <v>31</v>
      </c>
      <c r="E1828" s="3">
        <v>-982.75</v>
      </c>
      <c r="F1828" s="4" t="str">
        <f>HYPERLINK("http://141.218.60.56/~jnz1568/getInfo.php?workbook=18_08.xlsx&amp;sheet=A0&amp;row=1828&amp;col=6&amp;number=7348000&amp;sourceID=14","7348000")</f>
        <v>7348000</v>
      </c>
      <c r="G1828" s="4" t="str">
        <f>HYPERLINK("http://141.218.60.56/~jnz1568/getInfo.php?workbook=18_08.xlsx&amp;sheet=A0&amp;row=1828&amp;col=7&amp;number=0&amp;sourceID=14","0")</f>
        <v>0</v>
      </c>
    </row>
    <row r="1829" spans="1:7">
      <c r="A1829" s="3">
        <v>18</v>
      </c>
      <c r="B1829" s="3">
        <v>8</v>
      </c>
      <c r="C1829" s="3">
        <v>52</v>
      </c>
      <c r="D1829" s="3">
        <v>31</v>
      </c>
      <c r="E1829" s="3">
        <v>-973.273</v>
      </c>
      <c r="F1829" s="4" t="str">
        <f>HYPERLINK("http://141.218.60.56/~jnz1568/getInfo.php?workbook=18_08.xlsx&amp;sheet=A0&amp;row=1829&amp;col=6&amp;number=949400&amp;sourceID=14","949400")</f>
        <v>949400</v>
      </c>
      <c r="G1829" s="4" t="str">
        <f>HYPERLINK("http://141.218.60.56/~jnz1568/getInfo.php?workbook=18_08.xlsx&amp;sheet=A0&amp;row=1829&amp;col=7&amp;number=0&amp;sourceID=14","0")</f>
        <v>0</v>
      </c>
    </row>
    <row r="1830" spans="1:7">
      <c r="A1830" s="3">
        <v>18</v>
      </c>
      <c r="B1830" s="3">
        <v>8</v>
      </c>
      <c r="C1830" s="3">
        <v>53</v>
      </c>
      <c r="D1830" s="3">
        <v>31</v>
      </c>
      <c r="E1830" s="3">
        <v>-1243.317</v>
      </c>
      <c r="F1830" s="4" t="str">
        <f>HYPERLINK("http://141.218.60.56/~jnz1568/getInfo.php?workbook=18_08.xlsx&amp;sheet=A0&amp;row=1830&amp;col=6&amp;number=3.825&amp;sourceID=14","3.825")</f>
        <v>3.825</v>
      </c>
      <c r="G1830" s="4" t="str">
        <f>HYPERLINK("http://141.218.60.56/~jnz1568/getInfo.php?workbook=18_08.xlsx&amp;sheet=A0&amp;row=1830&amp;col=7&amp;number=0&amp;sourceID=14","0")</f>
        <v>0</v>
      </c>
    </row>
    <row r="1831" spans="1:7">
      <c r="A1831" s="3">
        <v>18</v>
      </c>
      <c r="B1831" s="3">
        <v>8</v>
      </c>
      <c r="C1831" s="3">
        <v>54</v>
      </c>
      <c r="D1831" s="3">
        <v>31</v>
      </c>
      <c r="E1831" s="3">
        <v>-964.922</v>
      </c>
      <c r="F1831" s="4" t="str">
        <f>HYPERLINK("http://141.218.60.56/~jnz1568/getInfo.php?workbook=18_08.xlsx&amp;sheet=A0&amp;row=1831&amp;col=6&amp;number=551800&amp;sourceID=14","551800")</f>
        <v>551800</v>
      </c>
      <c r="G1831" s="4" t="str">
        <f>HYPERLINK("http://141.218.60.56/~jnz1568/getInfo.php?workbook=18_08.xlsx&amp;sheet=A0&amp;row=1831&amp;col=7&amp;number=0&amp;sourceID=14","0")</f>
        <v>0</v>
      </c>
    </row>
    <row r="1832" spans="1:7">
      <c r="A1832" s="3">
        <v>18</v>
      </c>
      <c r="B1832" s="3">
        <v>8</v>
      </c>
      <c r="C1832" s="3">
        <v>55</v>
      </c>
      <c r="D1832" s="3">
        <v>31</v>
      </c>
      <c r="E1832" s="3">
        <v>-908.568</v>
      </c>
      <c r="F1832" s="4" t="str">
        <f>HYPERLINK("http://141.218.60.56/~jnz1568/getInfo.php?workbook=18_08.xlsx&amp;sheet=A0&amp;row=1832&amp;col=6&amp;number=66.91&amp;sourceID=14","66.91")</f>
        <v>66.91</v>
      </c>
      <c r="G1832" s="4" t="str">
        <f>HYPERLINK("http://141.218.60.56/~jnz1568/getInfo.php?workbook=18_08.xlsx&amp;sheet=A0&amp;row=1832&amp;col=7&amp;number=0&amp;sourceID=14","0")</f>
        <v>0</v>
      </c>
    </row>
    <row r="1833" spans="1:7">
      <c r="A1833" s="3">
        <v>18</v>
      </c>
      <c r="B1833" s="3">
        <v>8</v>
      </c>
      <c r="C1833" s="3">
        <v>56</v>
      </c>
      <c r="D1833" s="3">
        <v>31</v>
      </c>
      <c r="E1833" s="3">
        <v>-632.795</v>
      </c>
      <c r="F1833" s="4" t="str">
        <f>HYPERLINK("http://141.218.60.56/~jnz1568/getInfo.php?workbook=18_08.xlsx&amp;sheet=A0&amp;row=1833&amp;col=6&amp;number=326300000&amp;sourceID=14","326300000")</f>
        <v>326300000</v>
      </c>
      <c r="G1833" s="4" t="str">
        <f>HYPERLINK("http://141.218.60.56/~jnz1568/getInfo.php?workbook=18_08.xlsx&amp;sheet=A0&amp;row=1833&amp;col=7&amp;number=0&amp;sourceID=14","0")</f>
        <v>0</v>
      </c>
    </row>
    <row r="1834" spans="1:7">
      <c r="A1834" s="3">
        <v>18</v>
      </c>
      <c r="B1834" s="3">
        <v>8</v>
      </c>
      <c r="C1834" s="3">
        <v>57</v>
      </c>
      <c r="D1834" s="3">
        <v>31</v>
      </c>
      <c r="E1834" s="3">
        <v>-618.983</v>
      </c>
      <c r="F1834" s="4" t="str">
        <f>HYPERLINK("http://141.218.60.56/~jnz1568/getInfo.php?workbook=18_08.xlsx&amp;sheet=A0&amp;row=1834&amp;col=6&amp;number=43360000&amp;sourceID=14","43360000")</f>
        <v>43360000</v>
      </c>
      <c r="G1834" s="4" t="str">
        <f>HYPERLINK("http://141.218.60.56/~jnz1568/getInfo.php?workbook=18_08.xlsx&amp;sheet=A0&amp;row=1834&amp;col=7&amp;number=0&amp;sourceID=14","0")</f>
        <v>0</v>
      </c>
    </row>
    <row r="1835" spans="1:7">
      <c r="A1835" s="3">
        <v>18</v>
      </c>
      <c r="B1835" s="3">
        <v>8</v>
      </c>
      <c r="C1835" s="3">
        <v>58</v>
      </c>
      <c r="D1835" s="3">
        <v>31</v>
      </c>
      <c r="E1835" s="3">
        <v>-608.714</v>
      </c>
      <c r="F1835" s="4" t="str">
        <f>HYPERLINK("http://141.218.60.56/~jnz1568/getInfo.php?workbook=18_08.xlsx&amp;sheet=A0&amp;row=1835&amp;col=6&amp;number=0.0002074&amp;sourceID=14","0.0002074")</f>
        <v>0.0002074</v>
      </c>
      <c r="G1835" s="4" t="str">
        <f>HYPERLINK("http://141.218.60.56/~jnz1568/getInfo.php?workbook=18_08.xlsx&amp;sheet=A0&amp;row=1835&amp;col=7&amp;number=0&amp;sourceID=14","0")</f>
        <v>0</v>
      </c>
    </row>
    <row r="1836" spans="1:7">
      <c r="A1836" s="3">
        <v>18</v>
      </c>
      <c r="B1836" s="3">
        <v>8</v>
      </c>
      <c r="C1836" s="3">
        <v>59</v>
      </c>
      <c r="D1836" s="3">
        <v>31</v>
      </c>
      <c r="E1836" s="3">
        <v>-603.547</v>
      </c>
      <c r="F1836" s="4" t="str">
        <f>HYPERLINK("http://141.218.60.56/~jnz1568/getInfo.php?workbook=18_08.xlsx&amp;sheet=A0&amp;row=1836&amp;col=6&amp;number=0.003413&amp;sourceID=14","0.003413")</f>
        <v>0.003413</v>
      </c>
      <c r="G1836" s="4" t="str">
        <f>HYPERLINK("http://141.218.60.56/~jnz1568/getInfo.php?workbook=18_08.xlsx&amp;sheet=A0&amp;row=1836&amp;col=7&amp;number=0&amp;sourceID=14","0")</f>
        <v>0</v>
      </c>
    </row>
    <row r="1837" spans="1:7">
      <c r="A1837" s="3">
        <v>18</v>
      </c>
      <c r="B1837" s="3">
        <v>8</v>
      </c>
      <c r="C1837" s="3">
        <v>60</v>
      </c>
      <c r="D1837" s="3">
        <v>31</v>
      </c>
      <c r="E1837" s="3">
        <v>-579.176</v>
      </c>
      <c r="F1837" s="4" t="str">
        <f>HYPERLINK("http://141.218.60.56/~jnz1568/getInfo.php?workbook=18_08.xlsx&amp;sheet=A0&amp;row=1837&amp;col=6&amp;number=2962000000&amp;sourceID=14","2962000000")</f>
        <v>2962000000</v>
      </c>
      <c r="G1837" s="4" t="str">
        <f>HYPERLINK("http://141.218.60.56/~jnz1568/getInfo.php?workbook=18_08.xlsx&amp;sheet=A0&amp;row=1837&amp;col=7&amp;number=0&amp;sourceID=14","0")</f>
        <v>0</v>
      </c>
    </row>
    <row r="1838" spans="1:7">
      <c r="A1838" s="3">
        <v>18</v>
      </c>
      <c r="B1838" s="3">
        <v>8</v>
      </c>
      <c r="C1838" s="3">
        <v>61</v>
      </c>
      <c r="D1838" s="3">
        <v>31</v>
      </c>
      <c r="E1838" s="3">
        <v>-573.847</v>
      </c>
      <c r="F1838" s="4" t="str">
        <f>HYPERLINK("http://141.218.60.56/~jnz1568/getInfo.php?workbook=18_08.xlsx&amp;sheet=A0&amp;row=1838&amp;col=6&amp;number=0.6046&amp;sourceID=14","0.6046")</f>
        <v>0.6046</v>
      </c>
      <c r="G1838" s="4" t="str">
        <f>HYPERLINK("http://141.218.60.56/~jnz1568/getInfo.php?workbook=18_08.xlsx&amp;sheet=A0&amp;row=1838&amp;col=7&amp;number=0&amp;sourceID=14","0")</f>
        <v>0</v>
      </c>
    </row>
    <row r="1839" spans="1:7">
      <c r="A1839" s="3">
        <v>18</v>
      </c>
      <c r="B1839" s="3">
        <v>8</v>
      </c>
      <c r="C1839" s="3">
        <v>63</v>
      </c>
      <c r="D1839" s="3">
        <v>31</v>
      </c>
      <c r="E1839" s="3">
        <v>-557.308</v>
      </c>
      <c r="F1839" s="4" t="str">
        <f>HYPERLINK("http://141.218.60.56/~jnz1568/getInfo.php?workbook=18_08.xlsx&amp;sheet=A0&amp;row=1839&amp;col=6&amp;number=0.2194&amp;sourceID=14","0.2194")</f>
        <v>0.2194</v>
      </c>
      <c r="G1839" s="4" t="str">
        <f>HYPERLINK("http://141.218.60.56/~jnz1568/getInfo.php?workbook=18_08.xlsx&amp;sheet=A0&amp;row=1839&amp;col=7&amp;number=0&amp;sourceID=14","0")</f>
        <v>0</v>
      </c>
    </row>
    <row r="1840" spans="1:7">
      <c r="A1840" s="3">
        <v>18</v>
      </c>
      <c r="B1840" s="3">
        <v>8</v>
      </c>
      <c r="C1840" s="3">
        <v>64</v>
      </c>
      <c r="D1840" s="3">
        <v>31</v>
      </c>
      <c r="E1840" s="3">
        <v>-524.198</v>
      </c>
      <c r="F1840" s="4" t="str">
        <f>HYPERLINK("http://141.218.60.56/~jnz1568/getInfo.php?workbook=18_08.xlsx&amp;sheet=A0&amp;row=1840&amp;col=6&amp;number=10430000&amp;sourceID=14","10430000")</f>
        <v>10430000</v>
      </c>
      <c r="G1840" s="4" t="str">
        <f>HYPERLINK("http://141.218.60.56/~jnz1568/getInfo.php?workbook=18_08.xlsx&amp;sheet=A0&amp;row=1840&amp;col=7&amp;number=0&amp;sourceID=14","0")</f>
        <v>0</v>
      </c>
    </row>
    <row r="1841" spans="1:7">
      <c r="A1841" s="3">
        <v>18</v>
      </c>
      <c r="B1841" s="3">
        <v>8</v>
      </c>
      <c r="C1841" s="3">
        <v>65</v>
      </c>
      <c r="D1841" s="3">
        <v>31</v>
      </c>
      <c r="E1841" s="3">
        <v>-620.736</v>
      </c>
      <c r="F1841" s="4" t="str">
        <f>HYPERLINK("http://141.218.60.56/~jnz1568/getInfo.php?workbook=18_08.xlsx&amp;sheet=A0&amp;row=1841&amp;col=6&amp;number=13.35&amp;sourceID=14","13.35")</f>
        <v>13.35</v>
      </c>
      <c r="G1841" s="4" t="str">
        <f>HYPERLINK("http://141.218.60.56/~jnz1568/getInfo.php?workbook=18_08.xlsx&amp;sheet=A0&amp;row=1841&amp;col=7&amp;number=0&amp;sourceID=14","0")</f>
        <v>0</v>
      </c>
    </row>
    <row r="1842" spans="1:7">
      <c r="A1842" s="3">
        <v>18</v>
      </c>
      <c r="B1842" s="3">
        <v>8</v>
      </c>
      <c r="C1842" s="3">
        <v>66</v>
      </c>
      <c r="D1842" s="3">
        <v>31</v>
      </c>
      <c r="E1842" s="3">
        <v>-529.276</v>
      </c>
      <c r="F1842" s="4" t="str">
        <f>HYPERLINK("http://141.218.60.56/~jnz1568/getInfo.php?workbook=18_08.xlsx&amp;sheet=A0&amp;row=1842&amp;col=6&amp;number=272700000&amp;sourceID=14","272700000")</f>
        <v>272700000</v>
      </c>
      <c r="G1842" s="4" t="str">
        <f>HYPERLINK("http://141.218.60.56/~jnz1568/getInfo.php?workbook=18_08.xlsx&amp;sheet=A0&amp;row=1842&amp;col=7&amp;number=0&amp;sourceID=14","0")</f>
        <v>0</v>
      </c>
    </row>
    <row r="1843" spans="1:7">
      <c r="A1843" s="3">
        <v>18</v>
      </c>
      <c r="B1843" s="3">
        <v>8</v>
      </c>
      <c r="C1843" s="3">
        <v>67</v>
      </c>
      <c r="D1843" s="3">
        <v>31</v>
      </c>
      <c r="E1843" s="3">
        <v>-551.346</v>
      </c>
      <c r="F1843" s="4" t="str">
        <f>HYPERLINK("http://141.218.60.56/~jnz1568/getInfo.php?workbook=18_08.xlsx&amp;sheet=A0&amp;row=1843&amp;col=6&amp;number=72790000&amp;sourceID=14","72790000")</f>
        <v>72790000</v>
      </c>
      <c r="G1843" s="4" t="str">
        <f>HYPERLINK("http://141.218.60.56/~jnz1568/getInfo.php?workbook=18_08.xlsx&amp;sheet=A0&amp;row=1843&amp;col=7&amp;number=0&amp;sourceID=14","0")</f>
        <v>0</v>
      </c>
    </row>
    <row r="1844" spans="1:7">
      <c r="A1844" s="3">
        <v>18</v>
      </c>
      <c r="B1844" s="3">
        <v>8</v>
      </c>
      <c r="C1844" s="3">
        <v>68</v>
      </c>
      <c r="D1844" s="3">
        <v>31</v>
      </c>
      <c r="E1844" s="3">
        <v>-521.973</v>
      </c>
      <c r="F1844" s="4" t="str">
        <f>HYPERLINK("http://141.218.60.56/~jnz1568/getInfo.php?workbook=18_08.xlsx&amp;sheet=A0&amp;row=1844&amp;col=6&amp;number=7474000&amp;sourceID=14","7474000")</f>
        <v>7474000</v>
      </c>
      <c r="G1844" s="4" t="str">
        <f>HYPERLINK("http://141.218.60.56/~jnz1568/getInfo.php?workbook=18_08.xlsx&amp;sheet=A0&amp;row=1844&amp;col=7&amp;number=0&amp;sourceID=14","0")</f>
        <v>0</v>
      </c>
    </row>
    <row r="1845" spans="1:7">
      <c r="A1845" s="3">
        <v>18</v>
      </c>
      <c r="B1845" s="3">
        <v>8</v>
      </c>
      <c r="C1845" s="3">
        <v>69</v>
      </c>
      <c r="D1845" s="3">
        <v>31</v>
      </c>
      <c r="E1845" s="3">
        <v>-501.994</v>
      </c>
      <c r="F1845" s="4" t="str">
        <f>HYPERLINK("http://141.218.60.56/~jnz1568/getInfo.php?workbook=18_08.xlsx&amp;sheet=A0&amp;row=1845&amp;col=6&amp;number=25820&amp;sourceID=14","25820")</f>
        <v>25820</v>
      </c>
      <c r="G1845" s="4" t="str">
        <f>HYPERLINK("http://141.218.60.56/~jnz1568/getInfo.php?workbook=18_08.xlsx&amp;sheet=A0&amp;row=1845&amp;col=7&amp;number=0&amp;sourceID=14","0")</f>
        <v>0</v>
      </c>
    </row>
    <row r="1846" spans="1:7">
      <c r="A1846" s="3">
        <v>18</v>
      </c>
      <c r="B1846" s="3">
        <v>8</v>
      </c>
      <c r="C1846" s="3">
        <v>70</v>
      </c>
      <c r="D1846" s="3">
        <v>31</v>
      </c>
      <c r="E1846" s="3">
        <v>-492.009</v>
      </c>
      <c r="F1846" s="4" t="str">
        <f>HYPERLINK("http://141.218.60.56/~jnz1568/getInfo.php?workbook=18_08.xlsx&amp;sheet=A0&amp;row=1846&amp;col=6&amp;number=0.0009013&amp;sourceID=14","0.0009013")</f>
        <v>0.0009013</v>
      </c>
      <c r="G1846" s="4" t="str">
        <f>HYPERLINK("http://141.218.60.56/~jnz1568/getInfo.php?workbook=18_08.xlsx&amp;sheet=A0&amp;row=1846&amp;col=7&amp;number=0&amp;sourceID=14","0")</f>
        <v>0</v>
      </c>
    </row>
    <row r="1847" spans="1:7">
      <c r="A1847" s="3">
        <v>18</v>
      </c>
      <c r="B1847" s="3">
        <v>8</v>
      </c>
      <c r="C1847" s="3">
        <v>71</v>
      </c>
      <c r="D1847" s="3">
        <v>31</v>
      </c>
      <c r="E1847" s="3">
        <v>-490.422</v>
      </c>
      <c r="F1847" s="4" t="str">
        <f>HYPERLINK("http://141.218.60.56/~jnz1568/getInfo.php?workbook=18_08.xlsx&amp;sheet=A0&amp;row=1847&amp;col=6&amp;number=74680000&amp;sourceID=14","74680000")</f>
        <v>74680000</v>
      </c>
      <c r="G1847" s="4" t="str">
        <f>HYPERLINK("http://141.218.60.56/~jnz1568/getInfo.php?workbook=18_08.xlsx&amp;sheet=A0&amp;row=1847&amp;col=7&amp;number=0&amp;sourceID=14","0")</f>
        <v>0</v>
      </c>
    </row>
    <row r="1848" spans="1:7">
      <c r="A1848" s="3">
        <v>18</v>
      </c>
      <c r="B1848" s="3">
        <v>8</v>
      </c>
      <c r="C1848" s="3">
        <v>72</v>
      </c>
      <c r="D1848" s="3">
        <v>31</v>
      </c>
      <c r="E1848" s="3">
        <v>-507.214</v>
      </c>
      <c r="F1848" s="4" t="str">
        <f>HYPERLINK("http://141.218.60.56/~jnz1568/getInfo.php?workbook=18_08.xlsx&amp;sheet=A0&amp;row=1848&amp;col=6&amp;number=289200&amp;sourceID=14","289200")</f>
        <v>289200</v>
      </c>
      <c r="G1848" s="4" t="str">
        <f>HYPERLINK("http://141.218.60.56/~jnz1568/getInfo.php?workbook=18_08.xlsx&amp;sheet=A0&amp;row=1848&amp;col=7&amp;number=0&amp;sourceID=14","0")</f>
        <v>0</v>
      </c>
    </row>
    <row r="1849" spans="1:7">
      <c r="A1849" s="3">
        <v>18</v>
      </c>
      <c r="B1849" s="3">
        <v>8</v>
      </c>
      <c r="C1849" s="3">
        <v>73</v>
      </c>
      <c r="D1849" s="3">
        <v>31</v>
      </c>
      <c r="E1849" s="3">
        <v>-479.694</v>
      </c>
      <c r="F1849" s="4" t="str">
        <f>HYPERLINK("http://141.218.60.56/~jnz1568/getInfo.php?workbook=18_08.xlsx&amp;sheet=A0&amp;row=1849&amp;col=6&amp;number=2355000&amp;sourceID=14","2355000")</f>
        <v>2355000</v>
      </c>
      <c r="G1849" s="4" t="str">
        <f>HYPERLINK("http://141.218.60.56/~jnz1568/getInfo.php?workbook=18_08.xlsx&amp;sheet=A0&amp;row=1849&amp;col=7&amp;number=0&amp;sourceID=14","0")</f>
        <v>0</v>
      </c>
    </row>
    <row r="1850" spans="1:7">
      <c r="A1850" s="3">
        <v>18</v>
      </c>
      <c r="B1850" s="3">
        <v>8</v>
      </c>
      <c r="C1850" s="3">
        <v>74</v>
      </c>
      <c r="D1850" s="3">
        <v>31</v>
      </c>
      <c r="E1850" s="3">
        <v>-448.668</v>
      </c>
      <c r="F1850" s="4" t="str">
        <f>HYPERLINK("http://141.218.60.56/~jnz1568/getInfo.php?workbook=18_08.xlsx&amp;sheet=A0&amp;row=1850&amp;col=6&amp;number=20500000&amp;sourceID=14","20500000")</f>
        <v>20500000</v>
      </c>
      <c r="G1850" s="4" t="str">
        <f>HYPERLINK("http://141.218.60.56/~jnz1568/getInfo.php?workbook=18_08.xlsx&amp;sheet=A0&amp;row=1850&amp;col=7&amp;number=0&amp;sourceID=14","0")</f>
        <v>0</v>
      </c>
    </row>
    <row r="1851" spans="1:7">
      <c r="A1851" s="3">
        <v>18</v>
      </c>
      <c r="B1851" s="3">
        <v>8</v>
      </c>
      <c r="C1851" s="3">
        <v>75</v>
      </c>
      <c r="D1851" s="3">
        <v>31</v>
      </c>
      <c r="E1851" s="3">
        <v>-441.828</v>
      </c>
      <c r="F1851" s="4" t="str">
        <f>HYPERLINK("http://141.218.60.56/~jnz1568/getInfo.php?workbook=18_08.xlsx&amp;sheet=A0&amp;row=1851&amp;col=6&amp;number=102600000&amp;sourceID=14","102600000")</f>
        <v>102600000</v>
      </c>
      <c r="G1851" s="4" t="str">
        <f>HYPERLINK("http://141.218.60.56/~jnz1568/getInfo.php?workbook=18_08.xlsx&amp;sheet=A0&amp;row=1851&amp;col=7&amp;number=0&amp;sourceID=14","0")</f>
        <v>0</v>
      </c>
    </row>
    <row r="1852" spans="1:7">
      <c r="A1852" s="3">
        <v>18</v>
      </c>
      <c r="B1852" s="3">
        <v>8</v>
      </c>
      <c r="C1852" s="3">
        <v>76</v>
      </c>
      <c r="D1852" s="3">
        <v>31</v>
      </c>
      <c r="E1852" s="3">
        <v>-441.339</v>
      </c>
      <c r="F1852" s="4" t="str">
        <f>HYPERLINK("http://141.218.60.56/~jnz1568/getInfo.php?workbook=18_08.xlsx&amp;sheet=A0&amp;row=1852&amp;col=6&amp;number=0.0009127&amp;sourceID=14","0.0009127")</f>
        <v>0.0009127</v>
      </c>
      <c r="G1852" s="4" t="str">
        <f>HYPERLINK("http://141.218.60.56/~jnz1568/getInfo.php?workbook=18_08.xlsx&amp;sheet=A0&amp;row=1852&amp;col=7&amp;number=0&amp;sourceID=14","0")</f>
        <v>0</v>
      </c>
    </row>
    <row r="1853" spans="1:7">
      <c r="A1853" s="3">
        <v>18</v>
      </c>
      <c r="B1853" s="3">
        <v>8</v>
      </c>
      <c r="C1853" s="3">
        <v>77</v>
      </c>
      <c r="D1853" s="3">
        <v>31</v>
      </c>
      <c r="E1853" s="3">
        <v>-437.409</v>
      </c>
      <c r="F1853" s="4" t="str">
        <f>HYPERLINK("http://141.218.60.56/~jnz1568/getInfo.php?workbook=18_08.xlsx&amp;sheet=A0&amp;row=1853&amp;col=6&amp;number=1412000&amp;sourceID=14","1412000")</f>
        <v>1412000</v>
      </c>
      <c r="G1853" s="4" t="str">
        <f>HYPERLINK("http://141.218.60.56/~jnz1568/getInfo.php?workbook=18_08.xlsx&amp;sheet=A0&amp;row=1853&amp;col=7&amp;number=0&amp;sourceID=14","0")</f>
        <v>0</v>
      </c>
    </row>
    <row r="1854" spans="1:7">
      <c r="A1854" s="3">
        <v>18</v>
      </c>
      <c r="B1854" s="3">
        <v>8</v>
      </c>
      <c r="C1854" s="3">
        <v>78</v>
      </c>
      <c r="D1854" s="3">
        <v>31</v>
      </c>
      <c r="E1854" s="3">
        <v>-440.228</v>
      </c>
      <c r="F1854" s="4" t="str">
        <f>HYPERLINK("http://141.218.60.56/~jnz1568/getInfo.php?workbook=18_08.xlsx&amp;sheet=A0&amp;row=1854&amp;col=6&amp;number=0.0003637&amp;sourceID=14","0.0003637")</f>
        <v>0.0003637</v>
      </c>
      <c r="G1854" s="4" t="str">
        <f>HYPERLINK("http://141.218.60.56/~jnz1568/getInfo.php?workbook=18_08.xlsx&amp;sheet=A0&amp;row=1854&amp;col=7&amp;number=0&amp;sourceID=14","0")</f>
        <v>0</v>
      </c>
    </row>
    <row r="1855" spans="1:7">
      <c r="A1855" s="3">
        <v>18</v>
      </c>
      <c r="B1855" s="3">
        <v>8</v>
      </c>
      <c r="C1855" s="3">
        <v>79</v>
      </c>
      <c r="D1855" s="3">
        <v>31</v>
      </c>
      <c r="E1855" s="3">
        <v>-434.515</v>
      </c>
      <c r="F1855" s="4" t="str">
        <f>HYPERLINK("http://141.218.60.56/~jnz1568/getInfo.php?workbook=18_08.xlsx&amp;sheet=A0&amp;row=1855&amp;col=6&amp;number=4559000&amp;sourceID=14","4559000")</f>
        <v>4559000</v>
      </c>
      <c r="G1855" s="4" t="str">
        <f>HYPERLINK("http://141.218.60.56/~jnz1568/getInfo.php?workbook=18_08.xlsx&amp;sheet=A0&amp;row=1855&amp;col=7&amp;number=0&amp;sourceID=14","0")</f>
        <v>0</v>
      </c>
    </row>
    <row r="1856" spans="1:7">
      <c r="A1856" s="3">
        <v>18</v>
      </c>
      <c r="B1856" s="3">
        <v>8</v>
      </c>
      <c r="C1856" s="3">
        <v>80</v>
      </c>
      <c r="D1856" s="3">
        <v>31</v>
      </c>
      <c r="E1856" s="3">
        <v>-430.888</v>
      </c>
      <c r="F1856" s="4" t="str">
        <f>HYPERLINK("http://141.218.60.56/~jnz1568/getInfo.php?workbook=18_08.xlsx&amp;sheet=A0&amp;row=1856&amp;col=6&amp;number=19190000&amp;sourceID=14","19190000")</f>
        <v>19190000</v>
      </c>
      <c r="G1856" s="4" t="str">
        <f>HYPERLINK("http://141.218.60.56/~jnz1568/getInfo.php?workbook=18_08.xlsx&amp;sheet=A0&amp;row=1856&amp;col=7&amp;number=0&amp;sourceID=14","0")</f>
        <v>0</v>
      </c>
    </row>
    <row r="1857" spans="1:7">
      <c r="A1857" s="3">
        <v>18</v>
      </c>
      <c r="B1857" s="3">
        <v>8</v>
      </c>
      <c r="C1857" s="3">
        <v>81</v>
      </c>
      <c r="D1857" s="3">
        <v>31</v>
      </c>
      <c r="E1857" s="3">
        <v>-412.527</v>
      </c>
      <c r="F1857" s="4" t="str">
        <f>HYPERLINK("http://141.218.60.56/~jnz1568/getInfo.php?workbook=18_08.xlsx&amp;sheet=A0&amp;row=1857&amp;col=6&amp;number=496900&amp;sourceID=14","496900")</f>
        <v>496900</v>
      </c>
      <c r="G1857" s="4" t="str">
        <f>HYPERLINK("http://141.218.60.56/~jnz1568/getInfo.php?workbook=18_08.xlsx&amp;sheet=A0&amp;row=1857&amp;col=7&amp;number=0&amp;sourceID=14","0")</f>
        <v>0</v>
      </c>
    </row>
    <row r="1858" spans="1:7">
      <c r="A1858" s="3">
        <v>18</v>
      </c>
      <c r="B1858" s="3">
        <v>8</v>
      </c>
      <c r="C1858" s="3">
        <v>82</v>
      </c>
      <c r="D1858" s="3">
        <v>31</v>
      </c>
      <c r="E1858" s="3">
        <v>-407.036</v>
      </c>
      <c r="F1858" s="4" t="str">
        <f>HYPERLINK("http://141.218.60.56/~jnz1568/getInfo.php?workbook=18_08.xlsx&amp;sheet=A0&amp;row=1858&amp;col=6&amp;number=213100&amp;sourceID=14","213100")</f>
        <v>213100</v>
      </c>
      <c r="G1858" s="4" t="str">
        <f>HYPERLINK("http://141.218.60.56/~jnz1568/getInfo.php?workbook=18_08.xlsx&amp;sheet=A0&amp;row=1858&amp;col=7&amp;number=0&amp;sourceID=14","0")</f>
        <v>0</v>
      </c>
    </row>
    <row r="1859" spans="1:7">
      <c r="A1859" s="3">
        <v>18</v>
      </c>
      <c r="B1859" s="3">
        <v>8</v>
      </c>
      <c r="C1859" s="3">
        <v>83</v>
      </c>
      <c r="D1859" s="3">
        <v>31</v>
      </c>
      <c r="E1859" s="3">
        <v>-406.682</v>
      </c>
      <c r="F1859" s="4" t="str">
        <f>HYPERLINK("http://141.218.60.56/~jnz1568/getInfo.php?workbook=18_08.xlsx&amp;sheet=A0&amp;row=1859&amp;col=6&amp;number=39960000&amp;sourceID=14","39960000")</f>
        <v>39960000</v>
      </c>
      <c r="G1859" s="4" t="str">
        <f>HYPERLINK("http://141.218.60.56/~jnz1568/getInfo.php?workbook=18_08.xlsx&amp;sheet=A0&amp;row=1859&amp;col=7&amp;number=0&amp;sourceID=14","0")</f>
        <v>0</v>
      </c>
    </row>
    <row r="1860" spans="1:7">
      <c r="A1860" s="3">
        <v>18</v>
      </c>
      <c r="B1860" s="3">
        <v>8</v>
      </c>
      <c r="C1860" s="3">
        <v>84</v>
      </c>
      <c r="D1860" s="3">
        <v>31</v>
      </c>
      <c r="E1860" s="3">
        <v>-386.637</v>
      </c>
      <c r="F1860" s="4" t="str">
        <f>HYPERLINK("http://141.218.60.56/~jnz1568/getInfo.php?workbook=18_08.xlsx&amp;sheet=A0&amp;row=1860&amp;col=6&amp;number=3543000&amp;sourceID=14","3543000")</f>
        <v>3543000</v>
      </c>
      <c r="G1860" s="4" t="str">
        <f>HYPERLINK("http://141.218.60.56/~jnz1568/getInfo.php?workbook=18_08.xlsx&amp;sheet=A0&amp;row=1860&amp;col=7&amp;number=0&amp;sourceID=14","0")</f>
        <v>0</v>
      </c>
    </row>
    <row r="1861" spans="1:7">
      <c r="A1861" s="3">
        <v>18</v>
      </c>
      <c r="B1861" s="3">
        <v>8</v>
      </c>
      <c r="C1861" s="3">
        <v>85</v>
      </c>
      <c r="D1861" s="3">
        <v>31</v>
      </c>
      <c r="E1861" s="3">
        <v>-381.253</v>
      </c>
      <c r="F1861" s="4" t="str">
        <f>HYPERLINK("http://141.218.60.56/~jnz1568/getInfo.php?workbook=18_08.xlsx&amp;sheet=A0&amp;row=1861&amp;col=6&amp;number=511000&amp;sourceID=14","511000")</f>
        <v>511000</v>
      </c>
      <c r="G1861" s="4" t="str">
        <f>HYPERLINK("http://141.218.60.56/~jnz1568/getInfo.php?workbook=18_08.xlsx&amp;sheet=A0&amp;row=1861&amp;col=7&amp;number=0&amp;sourceID=14","0")</f>
        <v>0</v>
      </c>
    </row>
    <row r="1862" spans="1:7">
      <c r="A1862" s="3">
        <v>18</v>
      </c>
      <c r="B1862" s="3">
        <v>8</v>
      </c>
      <c r="C1862" s="3">
        <v>86</v>
      </c>
      <c r="D1862" s="3">
        <v>31</v>
      </c>
      <c r="E1862" s="3">
        <v>-340.976</v>
      </c>
      <c r="F1862" s="4" t="str">
        <f>HYPERLINK("http://141.218.60.56/~jnz1568/getInfo.php?workbook=18_08.xlsx&amp;sheet=A0&amp;row=1862&amp;col=6&amp;number=1638000&amp;sourceID=14","1638000")</f>
        <v>1638000</v>
      </c>
      <c r="G1862" s="4" t="str">
        <f>HYPERLINK("http://141.218.60.56/~jnz1568/getInfo.php?workbook=18_08.xlsx&amp;sheet=A0&amp;row=1862&amp;col=7&amp;number=0&amp;sourceID=14","0")</f>
        <v>0</v>
      </c>
    </row>
    <row r="1863" spans="1:7">
      <c r="A1863" s="3">
        <v>18</v>
      </c>
      <c r="B1863" s="3">
        <v>8</v>
      </c>
      <c r="C1863" s="3">
        <v>33</v>
      </c>
      <c r="D1863" s="3">
        <v>32</v>
      </c>
      <c r="E1863" s="3">
        <v>-32540.717</v>
      </c>
      <c r="F1863" s="4" t="str">
        <f>HYPERLINK("http://141.218.60.56/~jnz1568/getInfo.php?workbook=18_08.xlsx&amp;sheet=A0&amp;row=1863&amp;col=6&amp;number=0.4895&amp;sourceID=14","0.4895")</f>
        <v>0.4895</v>
      </c>
      <c r="G1863" s="4" t="str">
        <f>HYPERLINK("http://141.218.60.56/~jnz1568/getInfo.php?workbook=18_08.xlsx&amp;sheet=A0&amp;row=1863&amp;col=7&amp;number=0&amp;sourceID=14","0")</f>
        <v>0</v>
      </c>
    </row>
    <row r="1864" spans="1:7">
      <c r="A1864" s="3">
        <v>18</v>
      </c>
      <c r="B1864" s="3">
        <v>8</v>
      </c>
      <c r="C1864" s="3">
        <v>34</v>
      </c>
      <c r="D1864" s="3">
        <v>32</v>
      </c>
      <c r="E1864" s="3">
        <v>-15938.643</v>
      </c>
      <c r="F1864" s="4" t="str">
        <f>HYPERLINK("http://141.218.60.56/~jnz1568/getInfo.php?workbook=18_08.xlsx&amp;sheet=A0&amp;row=1864&amp;col=6&amp;number=0.003679&amp;sourceID=14","0.003679")</f>
        <v>0.003679</v>
      </c>
      <c r="G1864" s="4" t="str">
        <f>HYPERLINK("http://141.218.60.56/~jnz1568/getInfo.php?workbook=18_08.xlsx&amp;sheet=A0&amp;row=1864&amp;col=7&amp;number=0&amp;sourceID=14","0")</f>
        <v>0</v>
      </c>
    </row>
    <row r="1865" spans="1:7">
      <c r="A1865" s="3">
        <v>18</v>
      </c>
      <c r="B1865" s="3">
        <v>8</v>
      </c>
      <c r="C1865" s="3">
        <v>36</v>
      </c>
      <c r="D1865" s="3">
        <v>32</v>
      </c>
      <c r="E1865" s="3">
        <v>-2026.433</v>
      </c>
      <c r="F1865" s="4" t="str">
        <f>HYPERLINK("http://141.218.60.56/~jnz1568/getInfo.php?workbook=18_08.xlsx&amp;sheet=A0&amp;row=1865&amp;col=6&amp;number=6.24&amp;sourceID=14","6.24")</f>
        <v>6.24</v>
      </c>
      <c r="G1865" s="4" t="str">
        <f>HYPERLINK("http://141.218.60.56/~jnz1568/getInfo.php?workbook=18_08.xlsx&amp;sheet=A0&amp;row=1865&amp;col=7&amp;number=0&amp;sourceID=14","0")</f>
        <v>0</v>
      </c>
    </row>
    <row r="1866" spans="1:7">
      <c r="A1866" s="3">
        <v>18</v>
      </c>
      <c r="B1866" s="3">
        <v>8</v>
      </c>
      <c r="C1866" s="3">
        <v>37</v>
      </c>
      <c r="D1866" s="3">
        <v>32</v>
      </c>
      <c r="E1866" s="3">
        <v>-2157.295</v>
      </c>
      <c r="F1866" s="4" t="str">
        <f>HYPERLINK("http://141.218.60.56/~jnz1568/getInfo.php?workbook=18_08.xlsx&amp;sheet=A0&amp;row=1866&amp;col=6&amp;number=7.924&amp;sourceID=14","7.924")</f>
        <v>7.924</v>
      </c>
      <c r="G1866" s="4" t="str">
        <f>HYPERLINK("http://141.218.60.56/~jnz1568/getInfo.php?workbook=18_08.xlsx&amp;sheet=A0&amp;row=1866&amp;col=7&amp;number=0&amp;sourceID=14","0")</f>
        <v>0</v>
      </c>
    </row>
    <row r="1867" spans="1:7">
      <c r="A1867" s="3">
        <v>18</v>
      </c>
      <c r="B1867" s="3">
        <v>8</v>
      </c>
      <c r="C1867" s="3">
        <v>39</v>
      </c>
      <c r="D1867" s="3">
        <v>32</v>
      </c>
      <c r="E1867" s="3">
        <v>-1615.523</v>
      </c>
      <c r="F1867" s="4" t="str">
        <f>HYPERLINK("http://141.218.60.56/~jnz1568/getInfo.php?workbook=18_08.xlsx&amp;sheet=A0&amp;row=1867&amp;col=6&amp;number=2.173e-06&amp;sourceID=14","2.173e-06")</f>
        <v>2.173e-06</v>
      </c>
      <c r="G1867" s="4" t="str">
        <f>HYPERLINK("http://141.218.60.56/~jnz1568/getInfo.php?workbook=18_08.xlsx&amp;sheet=A0&amp;row=1867&amp;col=7&amp;number=0&amp;sourceID=14","0")</f>
        <v>0</v>
      </c>
    </row>
    <row r="1868" spans="1:7">
      <c r="A1868" s="3">
        <v>18</v>
      </c>
      <c r="B1868" s="3">
        <v>8</v>
      </c>
      <c r="C1868" s="3">
        <v>40</v>
      </c>
      <c r="D1868" s="3">
        <v>32</v>
      </c>
      <c r="E1868" s="3">
        <v>-1611.258</v>
      </c>
      <c r="F1868" s="4" t="str">
        <f>HYPERLINK("http://141.218.60.56/~jnz1568/getInfo.php?workbook=18_08.xlsx&amp;sheet=A0&amp;row=1868&amp;col=6&amp;number=6396&amp;sourceID=14","6396")</f>
        <v>6396</v>
      </c>
      <c r="G1868" s="4" t="str">
        <f>HYPERLINK("http://141.218.60.56/~jnz1568/getInfo.php?workbook=18_08.xlsx&amp;sheet=A0&amp;row=1868&amp;col=7&amp;number=0&amp;sourceID=14","0")</f>
        <v>0</v>
      </c>
    </row>
    <row r="1869" spans="1:7">
      <c r="A1869" s="3">
        <v>18</v>
      </c>
      <c r="B1869" s="3">
        <v>8</v>
      </c>
      <c r="C1869" s="3">
        <v>41</v>
      </c>
      <c r="D1869" s="3">
        <v>32</v>
      </c>
      <c r="E1869" s="3">
        <v>-1605.156</v>
      </c>
      <c r="F1869" s="4" t="str">
        <f>HYPERLINK("http://141.218.60.56/~jnz1568/getInfo.php?workbook=18_08.xlsx&amp;sheet=A0&amp;row=1869&amp;col=6&amp;number=9609&amp;sourceID=14","9609")</f>
        <v>9609</v>
      </c>
      <c r="G1869" s="4" t="str">
        <f>HYPERLINK("http://141.218.60.56/~jnz1568/getInfo.php?workbook=18_08.xlsx&amp;sheet=A0&amp;row=1869&amp;col=7&amp;number=0&amp;sourceID=14","0")</f>
        <v>0</v>
      </c>
    </row>
    <row r="1870" spans="1:7">
      <c r="A1870" s="3">
        <v>18</v>
      </c>
      <c r="B1870" s="3">
        <v>8</v>
      </c>
      <c r="C1870" s="3">
        <v>42</v>
      </c>
      <c r="D1870" s="3">
        <v>32</v>
      </c>
      <c r="E1870" s="3">
        <v>-1595.125</v>
      </c>
      <c r="F1870" s="4" t="str">
        <f>HYPERLINK("http://141.218.60.56/~jnz1568/getInfo.php?workbook=18_08.xlsx&amp;sheet=A0&amp;row=1870&amp;col=6&amp;number=3.796&amp;sourceID=14","3.796")</f>
        <v>3.796</v>
      </c>
      <c r="G1870" s="4" t="str">
        <f>HYPERLINK("http://141.218.60.56/~jnz1568/getInfo.php?workbook=18_08.xlsx&amp;sheet=A0&amp;row=1870&amp;col=7&amp;number=0&amp;sourceID=14","0")</f>
        <v>0</v>
      </c>
    </row>
    <row r="1871" spans="1:7">
      <c r="A1871" s="3">
        <v>18</v>
      </c>
      <c r="B1871" s="3">
        <v>8</v>
      </c>
      <c r="C1871" s="3">
        <v>43</v>
      </c>
      <c r="D1871" s="3">
        <v>32</v>
      </c>
      <c r="E1871" s="3">
        <v>-2016.019</v>
      </c>
      <c r="F1871" s="4" t="str">
        <f>HYPERLINK("http://141.218.60.56/~jnz1568/getInfo.php?workbook=18_08.xlsx&amp;sheet=A0&amp;row=1871&amp;col=6&amp;number=0.491&amp;sourceID=14","0.491")</f>
        <v>0.491</v>
      </c>
      <c r="G1871" s="4" t="str">
        <f>HYPERLINK("http://141.218.60.56/~jnz1568/getInfo.php?workbook=18_08.xlsx&amp;sheet=A0&amp;row=1871&amp;col=7&amp;number=0&amp;sourceID=14","0")</f>
        <v>0</v>
      </c>
    </row>
    <row r="1872" spans="1:7">
      <c r="A1872" s="3">
        <v>18</v>
      </c>
      <c r="B1872" s="3">
        <v>8</v>
      </c>
      <c r="C1872" s="3">
        <v>44</v>
      </c>
      <c r="D1872" s="3">
        <v>32</v>
      </c>
      <c r="E1872" s="3">
        <v>-3077.403</v>
      </c>
      <c r="F1872" s="4" t="str">
        <f>HYPERLINK("http://141.218.60.56/~jnz1568/getInfo.php?workbook=18_08.xlsx&amp;sheet=A0&amp;row=1872&amp;col=6&amp;number=0.3775&amp;sourceID=14","0.3775")</f>
        <v>0.3775</v>
      </c>
      <c r="G1872" s="4" t="str">
        <f>HYPERLINK("http://141.218.60.56/~jnz1568/getInfo.php?workbook=18_08.xlsx&amp;sheet=A0&amp;row=1872&amp;col=7&amp;number=0&amp;sourceID=14","0")</f>
        <v>0</v>
      </c>
    </row>
    <row r="1873" spans="1:7">
      <c r="A1873" s="3">
        <v>18</v>
      </c>
      <c r="B1873" s="3">
        <v>8</v>
      </c>
      <c r="C1873" s="3">
        <v>45</v>
      </c>
      <c r="D1873" s="3">
        <v>32</v>
      </c>
      <c r="E1873" s="3">
        <v>-2098.151</v>
      </c>
      <c r="F1873" s="4" t="str">
        <f>HYPERLINK("http://141.218.60.56/~jnz1568/getInfo.php?workbook=18_08.xlsx&amp;sheet=A0&amp;row=1873&amp;col=6&amp;number=0.1519&amp;sourceID=14","0.1519")</f>
        <v>0.1519</v>
      </c>
      <c r="G1873" s="4" t="str">
        <f>HYPERLINK("http://141.218.60.56/~jnz1568/getInfo.php?workbook=18_08.xlsx&amp;sheet=A0&amp;row=1873&amp;col=7&amp;number=0&amp;sourceID=14","0")</f>
        <v>0</v>
      </c>
    </row>
    <row r="1874" spans="1:7">
      <c r="A1874" s="3">
        <v>18</v>
      </c>
      <c r="B1874" s="3">
        <v>8</v>
      </c>
      <c r="C1874" s="3">
        <v>46</v>
      </c>
      <c r="D1874" s="3">
        <v>32</v>
      </c>
      <c r="E1874" s="3">
        <v>-1709.241</v>
      </c>
      <c r="F1874" s="4" t="str">
        <f>HYPERLINK("http://141.218.60.56/~jnz1568/getInfo.php?workbook=18_08.xlsx&amp;sheet=A0&amp;row=1874&amp;col=6&amp;number=107.6&amp;sourceID=14","107.6")</f>
        <v>107.6</v>
      </c>
      <c r="G1874" s="4" t="str">
        <f>HYPERLINK("http://141.218.60.56/~jnz1568/getInfo.php?workbook=18_08.xlsx&amp;sheet=A0&amp;row=1874&amp;col=7&amp;number=0&amp;sourceID=14","0")</f>
        <v>0</v>
      </c>
    </row>
    <row r="1875" spans="1:7">
      <c r="A1875" s="3">
        <v>18</v>
      </c>
      <c r="B1875" s="3">
        <v>8</v>
      </c>
      <c r="C1875" s="3">
        <v>47</v>
      </c>
      <c r="D1875" s="3">
        <v>32</v>
      </c>
      <c r="E1875" s="3">
        <v>-1879.902</v>
      </c>
      <c r="F1875" s="4" t="str">
        <f>HYPERLINK("http://141.218.60.56/~jnz1568/getInfo.php?workbook=18_08.xlsx&amp;sheet=A0&amp;row=1875&amp;col=6&amp;number=123.1&amp;sourceID=14","123.1")</f>
        <v>123.1</v>
      </c>
      <c r="G1875" s="4" t="str">
        <f>HYPERLINK("http://141.218.60.56/~jnz1568/getInfo.php?workbook=18_08.xlsx&amp;sheet=A0&amp;row=1875&amp;col=7&amp;number=0&amp;sourceID=14","0")</f>
        <v>0</v>
      </c>
    </row>
    <row r="1876" spans="1:7">
      <c r="A1876" s="3">
        <v>18</v>
      </c>
      <c r="B1876" s="3">
        <v>8</v>
      </c>
      <c r="C1876" s="3">
        <v>48</v>
      </c>
      <c r="D1876" s="3">
        <v>32</v>
      </c>
      <c r="E1876" s="3">
        <v>-1593.798</v>
      </c>
      <c r="F1876" s="4" t="str">
        <f>HYPERLINK("http://141.218.60.56/~jnz1568/getInfo.php?workbook=18_08.xlsx&amp;sheet=A0&amp;row=1876&amp;col=6&amp;number=0.3486&amp;sourceID=14","0.3486")</f>
        <v>0.3486</v>
      </c>
      <c r="G1876" s="4" t="str">
        <f>HYPERLINK("http://141.218.60.56/~jnz1568/getInfo.php?workbook=18_08.xlsx&amp;sheet=A0&amp;row=1876&amp;col=7&amp;number=0&amp;sourceID=14","0")</f>
        <v>0</v>
      </c>
    </row>
    <row r="1877" spans="1:7">
      <c r="A1877" s="3">
        <v>18</v>
      </c>
      <c r="B1877" s="3">
        <v>8</v>
      </c>
      <c r="C1877" s="3">
        <v>49</v>
      </c>
      <c r="D1877" s="3">
        <v>32</v>
      </c>
      <c r="E1877" s="3">
        <v>-1365.224</v>
      </c>
      <c r="F1877" s="4" t="str">
        <f>HYPERLINK("http://141.218.60.56/~jnz1568/getInfo.php?workbook=18_08.xlsx&amp;sheet=A0&amp;row=1877&amp;col=6&amp;number=178.9&amp;sourceID=14","178.9")</f>
        <v>178.9</v>
      </c>
      <c r="G1877" s="4" t="str">
        <f>HYPERLINK("http://141.218.60.56/~jnz1568/getInfo.php?workbook=18_08.xlsx&amp;sheet=A0&amp;row=1877&amp;col=7&amp;number=0&amp;sourceID=14","0")</f>
        <v>0</v>
      </c>
    </row>
    <row r="1878" spans="1:7">
      <c r="A1878" s="3">
        <v>18</v>
      </c>
      <c r="B1878" s="3">
        <v>8</v>
      </c>
      <c r="C1878" s="3">
        <v>50</v>
      </c>
      <c r="D1878" s="3">
        <v>32</v>
      </c>
      <c r="E1878" s="3">
        <v>-1313.211</v>
      </c>
      <c r="F1878" s="4" t="str">
        <f>HYPERLINK("http://141.218.60.56/~jnz1568/getInfo.php?workbook=18_08.xlsx&amp;sheet=A0&amp;row=1878&amp;col=6&amp;number=0.8317&amp;sourceID=14","0.8317")</f>
        <v>0.8317</v>
      </c>
      <c r="G1878" s="4" t="str">
        <f>HYPERLINK("http://141.218.60.56/~jnz1568/getInfo.php?workbook=18_08.xlsx&amp;sheet=A0&amp;row=1878&amp;col=7&amp;number=0&amp;sourceID=14","0")</f>
        <v>0</v>
      </c>
    </row>
    <row r="1879" spans="1:7">
      <c r="A1879" s="3">
        <v>18</v>
      </c>
      <c r="B1879" s="3">
        <v>8</v>
      </c>
      <c r="C1879" s="3">
        <v>51</v>
      </c>
      <c r="D1879" s="3">
        <v>32</v>
      </c>
      <c r="E1879" s="3">
        <v>-1011.65</v>
      </c>
      <c r="F1879" s="4" t="str">
        <f>HYPERLINK("http://141.218.60.56/~jnz1568/getInfo.php?workbook=18_08.xlsx&amp;sheet=A0&amp;row=1879&amp;col=6&amp;number=475200&amp;sourceID=14","475200")</f>
        <v>475200</v>
      </c>
      <c r="G1879" s="4" t="str">
        <f>HYPERLINK("http://141.218.60.56/~jnz1568/getInfo.php?workbook=18_08.xlsx&amp;sheet=A0&amp;row=1879&amp;col=7&amp;number=0&amp;sourceID=14","0")</f>
        <v>0</v>
      </c>
    </row>
    <row r="1880" spans="1:7">
      <c r="A1880" s="3">
        <v>18</v>
      </c>
      <c r="B1880" s="3">
        <v>8</v>
      </c>
      <c r="C1880" s="3">
        <v>52</v>
      </c>
      <c r="D1880" s="3">
        <v>32</v>
      </c>
      <c r="E1880" s="3">
        <v>-1001.61</v>
      </c>
      <c r="F1880" s="4" t="str">
        <f>HYPERLINK("http://141.218.60.56/~jnz1568/getInfo.php?workbook=18_08.xlsx&amp;sheet=A0&amp;row=1880&amp;col=6&amp;number=0.0004856&amp;sourceID=14","0.0004856")</f>
        <v>0.0004856</v>
      </c>
      <c r="G1880" s="4" t="str">
        <f>HYPERLINK("http://141.218.60.56/~jnz1568/getInfo.php?workbook=18_08.xlsx&amp;sheet=A0&amp;row=1880&amp;col=7&amp;number=0&amp;sourceID=14","0")</f>
        <v>0</v>
      </c>
    </row>
    <row r="1881" spans="1:7">
      <c r="A1881" s="3">
        <v>18</v>
      </c>
      <c r="B1881" s="3">
        <v>8</v>
      </c>
      <c r="C1881" s="3">
        <v>54</v>
      </c>
      <c r="D1881" s="3">
        <v>32</v>
      </c>
      <c r="E1881" s="3">
        <v>-992.768</v>
      </c>
      <c r="F1881" s="4" t="str">
        <f>HYPERLINK("http://141.218.60.56/~jnz1568/getInfo.php?workbook=18_08.xlsx&amp;sheet=A0&amp;row=1881&amp;col=6&amp;number=10060000&amp;sourceID=14","10060000")</f>
        <v>10060000</v>
      </c>
      <c r="G1881" s="4" t="str">
        <f>HYPERLINK("http://141.218.60.56/~jnz1568/getInfo.php?workbook=18_08.xlsx&amp;sheet=A0&amp;row=1881&amp;col=7&amp;number=0&amp;sourceID=14","0")</f>
        <v>0</v>
      </c>
    </row>
    <row r="1882" spans="1:7">
      <c r="A1882" s="3">
        <v>18</v>
      </c>
      <c r="B1882" s="3">
        <v>8</v>
      </c>
      <c r="C1882" s="3">
        <v>55</v>
      </c>
      <c r="D1882" s="3">
        <v>32</v>
      </c>
      <c r="E1882" s="3">
        <v>-933.215</v>
      </c>
      <c r="F1882" s="4" t="str">
        <f>HYPERLINK("http://141.218.60.56/~jnz1568/getInfo.php?workbook=18_08.xlsx&amp;sheet=A0&amp;row=1882&amp;col=6&amp;number=122.9&amp;sourceID=14","122.9")</f>
        <v>122.9</v>
      </c>
      <c r="G1882" s="4" t="str">
        <f>HYPERLINK("http://141.218.60.56/~jnz1568/getInfo.php?workbook=18_08.xlsx&amp;sheet=A0&amp;row=1882&amp;col=7&amp;number=0&amp;sourceID=14","0")</f>
        <v>0</v>
      </c>
    </row>
    <row r="1883" spans="1:7">
      <c r="A1883" s="3">
        <v>18</v>
      </c>
      <c r="B1883" s="3">
        <v>8</v>
      </c>
      <c r="C1883" s="3">
        <v>56</v>
      </c>
      <c r="D1883" s="3">
        <v>32</v>
      </c>
      <c r="E1883" s="3">
        <v>-644.653</v>
      </c>
      <c r="F1883" s="4" t="str">
        <f>HYPERLINK("http://141.218.60.56/~jnz1568/getInfo.php?workbook=18_08.xlsx&amp;sheet=A0&amp;row=1883&amp;col=6&amp;number=52300000&amp;sourceID=14","52300000")</f>
        <v>52300000</v>
      </c>
      <c r="G1883" s="4" t="str">
        <f>HYPERLINK("http://141.218.60.56/~jnz1568/getInfo.php?workbook=18_08.xlsx&amp;sheet=A0&amp;row=1883&amp;col=7&amp;number=0&amp;sourceID=14","0")</f>
        <v>0</v>
      </c>
    </row>
    <row r="1884" spans="1:7">
      <c r="A1884" s="3">
        <v>18</v>
      </c>
      <c r="B1884" s="3">
        <v>8</v>
      </c>
      <c r="C1884" s="3">
        <v>57</v>
      </c>
      <c r="D1884" s="3">
        <v>32</v>
      </c>
      <c r="E1884" s="3">
        <v>-630.325</v>
      </c>
      <c r="F1884" s="4" t="str">
        <f>HYPERLINK("http://141.218.60.56/~jnz1568/getInfo.php?workbook=18_08.xlsx&amp;sheet=A0&amp;row=1884&amp;col=6&amp;number=378700000&amp;sourceID=14","378700000")</f>
        <v>378700000</v>
      </c>
      <c r="G1884" s="4" t="str">
        <f>HYPERLINK("http://141.218.60.56/~jnz1568/getInfo.php?workbook=18_08.xlsx&amp;sheet=A0&amp;row=1884&amp;col=7&amp;number=0&amp;sourceID=14","0")</f>
        <v>0</v>
      </c>
    </row>
    <row r="1885" spans="1:7">
      <c r="A1885" s="3">
        <v>18</v>
      </c>
      <c r="B1885" s="3">
        <v>8</v>
      </c>
      <c r="C1885" s="3">
        <v>59</v>
      </c>
      <c r="D1885" s="3">
        <v>32</v>
      </c>
      <c r="E1885" s="3">
        <v>-614.325</v>
      </c>
      <c r="F1885" s="4" t="str">
        <f>HYPERLINK("http://141.218.60.56/~jnz1568/getInfo.php?workbook=18_08.xlsx&amp;sheet=A0&amp;row=1885&amp;col=6&amp;number=8316000&amp;sourceID=14","8316000")</f>
        <v>8316000</v>
      </c>
      <c r="G1885" s="4" t="str">
        <f>HYPERLINK("http://141.218.60.56/~jnz1568/getInfo.php?workbook=18_08.xlsx&amp;sheet=A0&amp;row=1885&amp;col=7&amp;number=0&amp;sourceID=14","0")</f>
        <v>0</v>
      </c>
    </row>
    <row r="1886" spans="1:7">
      <c r="A1886" s="3">
        <v>18</v>
      </c>
      <c r="B1886" s="3">
        <v>8</v>
      </c>
      <c r="C1886" s="3">
        <v>60</v>
      </c>
      <c r="D1886" s="3">
        <v>32</v>
      </c>
      <c r="E1886" s="3">
        <v>-589.094</v>
      </c>
      <c r="F1886" s="4" t="str">
        <f>HYPERLINK("http://141.218.60.56/~jnz1568/getInfo.php?workbook=18_08.xlsx&amp;sheet=A0&amp;row=1886&amp;col=6&amp;number=60190000&amp;sourceID=14","60190000")</f>
        <v>60190000</v>
      </c>
      <c r="G1886" s="4" t="str">
        <f>HYPERLINK("http://141.218.60.56/~jnz1568/getInfo.php?workbook=18_08.xlsx&amp;sheet=A0&amp;row=1886&amp;col=7&amp;number=0&amp;sourceID=14","0")</f>
        <v>0</v>
      </c>
    </row>
    <row r="1887" spans="1:7">
      <c r="A1887" s="3">
        <v>18</v>
      </c>
      <c r="B1887" s="3">
        <v>8</v>
      </c>
      <c r="C1887" s="3">
        <v>61</v>
      </c>
      <c r="D1887" s="3">
        <v>32</v>
      </c>
      <c r="E1887" s="3">
        <v>-583.582</v>
      </c>
      <c r="F1887" s="4" t="str">
        <f>HYPERLINK("http://141.218.60.56/~jnz1568/getInfo.php?workbook=18_08.xlsx&amp;sheet=A0&amp;row=1887&amp;col=6&amp;number=2949000000&amp;sourceID=14","2949000000")</f>
        <v>2949000000</v>
      </c>
      <c r="G1887" s="4" t="str">
        <f>HYPERLINK("http://141.218.60.56/~jnz1568/getInfo.php?workbook=18_08.xlsx&amp;sheet=A0&amp;row=1887&amp;col=7&amp;number=0&amp;sourceID=14","0")</f>
        <v>0</v>
      </c>
    </row>
    <row r="1888" spans="1:7">
      <c r="A1888" s="3">
        <v>18</v>
      </c>
      <c r="B1888" s="3">
        <v>8</v>
      </c>
      <c r="C1888" s="3">
        <v>62</v>
      </c>
      <c r="D1888" s="3">
        <v>32</v>
      </c>
      <c r="E1888" s="3">
        <v>-576.81</v>
      </c>
      <c r="F1888" s="4" t="str">
        <f>HYPERLINK("http://141.218.60.56/~jnz1568/getInfo.php?workbook=18_08.xlsx&amp;sheet=A0&amp;row=1888&amp;col=6&amp;number=0.2213&amp;sourceID=14","0.2213")</f>
        <v>0.2213</v>
      </c>
      <c r="G1888" s="4" t="str">
        <f>HYPERLINK("http://141.218.60.56/~jnz1568/getInfo.php?workbook=18_08.xlsx&amp;sheet=A0&amp;row=1888&amp;col=7&amp;number=0&amp;sourceID=14","0")</f>
        <v>0</v>
      </c>
    </row>
    <row r="1889" spans="1:7">
      <c r="A1889" s="3">
        <v>18</v>
      </c>
      <c r="B1889" s="3">
        <v>8</v>
      </c>
      <c r="C1889" s="3">
        <v>63</v>
      </c>
      <c r="D1889" s="3">
        <v>32</v>
      </c>
      <c r="E1889" s="3">
        <v>-566.485</v>
      </c>
      <c r="F1889" s="4" t="str">
        <f>HYPERLINK("http://141.218.60.56/~jnz1568/getInfo.php?workbook=18_08.xlsx&amp;sheet=A0&amp;row=1889&amp;col=6&amp;number=25320000&amp;sourceID=14","25320000")</f>
        <v>25320000</v>
      </c>
      <c r="G1889" s="4" t="str">
        <f>HYPERLINK("http://141.218.60.56/~jnz1568/getInfo.php?workbook=18_08.xlsx&amp;sheet=A0&amp;row=1889&amp;col=7&amp;number=0&amp;sourceID=14","0")</f>
        <v>0</v>
      </c>
    </row>
    <row r="1890" spans="1:7">
      <c r="A1890" s="3">
        <v>18</v>
      </c>
      <c r="B1890" s="3">
        <v>8</v>
      </c>
      <c r="C1890" s="3">
        <v>64</v>
      </c>
      <c r="D1890" s="3">
        <v>32</v>
      </c>
      <c r="E1890" s="3">
        <v>-532.309</v>
      </c>
      <c r="F1890" s="4" t="str">
        <f>HYPERLINK("http://141.218.60.56/~jnz1568/getInfo.php?workbook=18_08.xlsx&amp;sheet=A0&amp;row=1890&amp;col=6&amp;number=0.0004797&amp;sourceID=14","0.0004797")</f>
        <v>0.0004797</v>
      </c>
      <c r="G1890" s="4" t="str">
        <f>HYPERLINK("http://141.218.60.56/~jnz1568/getInfo.php?workbook=18_08.xlsx&amp;sheet=A0&amp;row=1890&amp;col=7&amp;number=0&amp;sourceID=14","0")</f>
        <v>0</v>
      </c>
    </row>
    <row r="1891" spans="1:7">
      <c r="A1891" s="3">
        <v>18</v>
      </c>
      <c r="B1891" s="3">
        <v>8</v>
      </c>
      <c r="C1891" s="3">
        <v>66</v>
      </c>
      <c r="D1891" s="3">
        <v>32</v>
      </c>
      <c r="E1891" s="3">
        <v>-537.546</v>
      </c>
      <c r="F1891" s="4" t="str">
        <f>HYPERLINK("http://141.218.60.56/~jnz1568/getInfo.php?workbook=18_08.xlsx&amp;sheet=A0&amp;row=1891&amp;col=6&amp;number=75460000&amp;sourceID=14","75460000")</f>
        <v>75460000</v>
      </c>
      <c r="G1891" s="4" t="str">
        <f>HYPERLINK("http://141.218.60.56/~jnz1568/getInfo.php?workbook=18_08.xlsx&amp;sheet=A0&amp;row=1891&amp;col=7&amp;number=0&amp;sourceID=14","0")</f>
        <v>0</v>
      </c>
    </row>
    <row r="1892" spans="1:7">
      <c r="A1892" s="3">
        <v>18</v>
      </c>
      <c r="B1892" s="3">
        <v>8</v>
      </c>
      <c r="C1892" s="3">
        <v>67</v>
      </c>
      <c r="D1892" s="3">
        <v>32</v>
      </c>
      <c r="E1892" s="3">
        <v>-560.326</v>
      </c>
      <c r="F1892" s="4" t="str">
        <f>HYPERLINK("http://141.218.60.56/~jnz1568/getInfo.php?workbook=18_08.xlsx&amp;sheet=A0&amp;row=1892&amp;col=6&amp;number=0.08975&amp;sourceID=14","0.08975")</f>
        <v>0.08975</v>
      </c>
      <c r="G1892" s="4" t="str">
        <f>HYPERLINK("http://141.218.60.56/~jnz1568/getInfo.php?workbook=18_08.xlsx&amp;sheet=A0&amp;row=1892&amp;col=7&amp;number=0&amp;sourceID=14","0")</f>
        <v>0</v>
      </c>
    </row>
    <row r="1893" spans="1:7">
      <c r="A1893" s="3">
        <v>18</v>
      </c>
      <c r="B1893" s="3">
        <v>8</v>
      </c>
      <c r="C1893" s="3">
        <v>68</v>
      </c>
      <c r="D1893" s="3">
        <v>32</v>
      </c>
      <c r="E1893" s="3">
        <v>-530.014</v>
      </c>
      <c r="F1893" s="4" t="str">
        <f>HYPERLINK("http://141.218.60.56/~jnz1568/getInfo.php?workbook=18_08.xlsx&amp;sheet=A0&amp;row=1893&amp;col=6&amp;number=397300000&amp;sourceID=14","397300000")</f>
        <v>397300000</v>
      </c>
      <c r="G1893" s="4" t="str">
        <f>HYPERLINK("http://141.218.60.56/~jnz1568/getInfo.php?workbook=18_08.xlsx&amp;sheet=A0&amp;row=1893&amp;col=7&amp;number=0&amp;sourceID=14","0")</f>
        <v>0</v>
      </c>
    </row>
    <row r="1894" spans="1:7">
      <c r="A1894" s="3">
        <v>18</v>
      </c>
      <c r="B1894" s="3">
        <v>8</v>
      </c>
      <c r="C1894" s="3">
        <v>69</v>
      </c>
      <c r="D1894" s="3">
        <v>32</v>
      </c>
      <c r="E1894" s="3">
        <v>-509.428</v>
      </c>
      <c r="F1894" s="4" t="str">
        <f>HYPERLINK("http://141.218.60.56/~jnz1568/getInfo.php?workbook=18_08.xlsx&amp;sheet=A0&amp;row=1894&amp;col=6&amp;number=86720000&amp;sourceID=14","86720000")</f>
        <v>86720000</v>
      </c>
      <c r="G1894" s="4" t="str">
        <f>HYPERLINK("http://141.218.60.56/~jnz1568/getInfo.php?workbook=18_08.xlsx&amp;sheet=A0&amp;row=1894&amp;col=7&amp;number=0&amp;sourceID=14","0")</f>
        <v>0</v>
      </c>
    </row>
    <row r="1895" spans="1:7">
      <c r="A1895" s="3">
        <v>18</v>
      </c>
      <c r="B1895" s="3">
        <v>8</v>
      </c>
      <c r="C1895" s="3">
        <v>71</v>
      </c>
      <c r="D1895" s="3">
        <v>32</v>
      </c>
      <c r="E1895" s="3">
        <v>-497.514</v>
      </c>
      <c r="F1895" s="4" t="str">
        <f>HYPERLINK("http://141.218.60.56/~jnz1568/getInfo.php?workbook=18_08.xlsx&amp;sheet=A0&amp;row=1895&amp;col=6&amp;number=0.001014&amp;sourceID=14","0.001014")</f>
        <v>0.001014</v>
      </c>
      <c r="G1895" s="4" t="str">
        <f>HYPERLINK("http://141.218.60.56/~jnz1568/getInfo.php?workbook=18_08.xlsx&amp;sheet=A0&amp;row=1895&amp;col=7&amp;number=0&amp;sourceID=14","0")</f>
        <v>0</v>
      </c>
    </row>
    <row r="1896" spans="1:7">
      <c r="A1896" s="3">
        <v>18</v>
      </c>
      <c r="B1896" s="3">
        <v>8</v>
      </c>
      <c r="C1896" s="3">
        <v>72</v>
      </c>
      <c r="D1896" s="3">
        <v>32</v>
      </c>
      <c r="E1896" s="3">
        <v>-514.804</v>
      </c>
      <c r="F1896" s="4" t="str">
        <f>HYPERLINK("http://141.218.60.56/~jnz1568/getInfo.php?workbook=18_08.xlsx&amp;sheet=A0&amp;row=1896&amp;col=6&amp;number=12230000&amp;sourceID=14","12230000")</f>
        <v>12230000</v>
      </c>
      <c r="G1896" s="4" t="str">
        <f>HYPERLINK("http://141.218.60.56/~jnz1568/getInfo.php?workbook=18_08.xlsx&amp;sheet=A0&amp;row=1896&amp;col=7&amp;number=0&amp;sourceID=14","0")</f>
        <v>0</v>
      </c>
    </row>
    <row r="1897" spans="1:7">
      <c r="A1897" s="3">
        <v>18</v>
      </c>
      <c r="B1897" s="3">
        <v>8</v>
      </c>
      <c r="C1897" s="3">
        <v>73</v>
      </c>
      <c r="D1897" s="3">
        <v>32</v>
      </c>
      <c r="E1897" s="3">
        <v>-486.478</v>
      </c>
      <c r="F1897" s="4" t="str">
        <f>HYPERLINK("http://141.218.60.56/~jnz1568/getInfo.php?workbook=18_08.xlsx&amp;sheet=A0&amp;row=1897&amp;col=6&amp;number=0.0335&amp;sourceID=14","0.0335")</f>
        <v>0.0335</v>
      </c>
      <c r="G1897" s="4" t="str">
        <f>HYPERLINK("http://141.218.60.56/~jnz1568/getInfo.php?workbook=18_08.xlsx&amp;sheet=A0&amp;row=1897&amp;col=7&amp;number=0&amp;sourceID=14","0")</f>
        <v>0</v>
      </c>
    </row>
    <row r="1898" spans="1:7">
      <c r="A1898" s="3">
        <v>18</v>
      </c>
      <c r="B1898" s="3">
        <v>8</v>
      </c>
      <c r="C1898" s="3">
        <v>74</v>
      </c>
      <c r="D1898" s="3">
        <v>32</v>
      </c>
      <c r="E1898" s="3">
        <v>-454.597</v>
      </c>
      <c r="F1898" s="4" t="str">
        <f>HYPERLINK("http://141.218.60.56/~jnz1568/getInfo.php?workbook=18_08.xlsx&amp;sheet=A0&amp;row=1898&amp;col=6&amp;number=49240000&amp;sourceID=14","49240000")</f>
        <v>49240000</v>
      </c>
      <c r="G1898" s="4" t="str">
        <f>HYPERLINK("http://141.218.60.56/~jnz1568/getInfo.php?workbook=18_08.xlsx&amp;sheet=A0&amp;row=1898&amp;col=7&amp;number=0&amp;sourceID=14","0")</f>
        <v>0</v>
      </c>
    </row>
    <row r="1899" spans="1:7">
      <c r="A1899" s="3">
        <v>18</v>
      </c>
      <c r="B1899" s="3">
        <v>8</v>
      </c>
      <c r="C1899" s="3">
        <v>75</v>
      </c>
      <c r="D1899" s="3">
        <v>32</v>
      </c>
      <c r="E1899" s="3">
        <v>-447.576</v>
      </c>
      <c r="F1899" s="4" t="str">
        <f>HYPERLINK("http://141.218.60.56/~jnz1568/getInfo.php?workbook=18_08.xlsx&amp;sheet=A0&amp;row=1899&amp;col=6&amp;number=32260000&amp;sourceID=14","32260000")</f>
        <v>32260000</v>
      </c>
      <c r="G1899" s="4" t="str">
        <f>HYPERLINK("http://141.218.60.56/~jnz1568/getInfo.php?workbook=18_08.xlsx&amp;sheet=A0&amp;row=1899&amp;col=7&amp;number=0&amp;sourceID=14","0")</f>
        <v>0</v>
      </c>
    </row>
    <row r="1900" spans="1:7">
      <c r="A1900" s="3">
        <v>18</v>
      </c>
      <c r="B1900" s="3">
        <v>8</v>
      </c>
      <c r="C1900" s="3">
        <v>76</v>
      </c>
      <c r="D1900" s="3">
        <v>32</v>
      </c>
      <c r="E1900" s="3">
        <v>-447.074</v>
      </c>
      <c r="F1900" s="4" t="str">
        <f>HYPERLINK("http://141.218.60.56/~jnz1568/getInfo.php?workbook=18_08.xlsx&amp;sheet=A0&amp;row=1900&amp;col=6&amp;number=18880000&amp;sourceID=14","18880000")</f>
        <v>18880000</v>
      </c>
      <c r="G1900" s="4" t="str">
        <f>HYPERLINK("http://141.218.60.56/~jnz1568/getInfo.php?workbook=18_08.xlsx&amp;sheet=A0&amp;row=1900&amp;col=7&amp;number=0&amp;sourceID=14","0")</f>
        <v>0</v>
      </c>
    </row>
    <row r="1901" spans="1:7">
      <c r="A1901" s="3">
        <v>18</v>
      </c>
      <c r="B1901" s="3">
        <v>8</v>
      </c>
      <c r="C1901" s="3">
        <v>77</v>
      </c>
      <c r="D1901" s="3">
        <v>32</v>
      </c>
      <c r="E1901" s="3">
        <v>-443.043</v>
      </c>
      <c r="F1901" s="4" t="str">
        <f>HYPERLINK("http://141.218.60.56/~jnz1568/getInfo.php?workbook=18_08.xlsx&amp;sheet=A0&amp;row=1901&amp;col=6&amp;number=53410000&amp;sourceID=14","53410000")</f>
        <v>53410000</v>
      </c>
      <c r="G1901" s="4" t="str">
        <f>HYPERLINK("http://141.218.60.56/~jnz1568/getInfo.php?workbook=18_08.xlsx&amp;sheet=A0&amp;row=1901&amp;col=7&amp;number=0&amp;sourceID=14","0")</f>
        <v>0</v>
      </c>
    </row>
    <row r="1902" spans="1:7">
      <c r="A1902" s="3">
        <v>18</v>
      </c>
      <c r="B1902" s="3">
        <v>8</v>
      </c>
      <c r="C1902" s="3">
        <v>79</v>
      </c>
      <c r="D1902" s="3">
        <v>32</v>
      </c>
      <c r="E1902" s="3">
        <v>-440.074</v>
      </c>
      <c r="F1902" s="4" t="str">
        <f>HYPERLINK("http://141.218.60.56/~jnz1568/getInfo.php?workbook=18_08.xlsx&amp;sheet=A0&amp;row=1902&amp;col=6&amp;number=0.01612&amp;sourceID=14","0.01612")</f>
        <v>0.01612</v>
      </c>
      <c r="G1902" s="4" t="str">
        <f>HYPERLINK("http://141.218.60.56/~jnz1568/getInfo.php?workbook=18_08.xlsx&amp;sheet=A0&amp;row=1902&amp;col=7&amp;number=0&amp;sourceID=14","0")</f>
        <v>0</v>
      </c>
    </row>
    <row r="1903" spans="1:7">
      <c r="A1903" s="3">
        <v>18</v>
      </c>
      <c r="B1903" s="3">
        <v>8</v>
      </c>
      <c r="C1903" s="3">
        <v>80</v>
      </c>
      <c r="D1903" s="3">
        <v>32</v>
      </c>
      <c r="E1903" s="3">
        <v>-436.353</v>
      </c>
      <c r="F1903" s="4" t="str">
        <f>HYPERLINK("http://141.218.60.56/~jnz1568/getInfo.php?workbook=18_08.xlsx&amp;sheet=A0&amp;row=1903&amp;col=6&amp;number=41120000&amp;sourceID=14","41120000")</f>
        <v>41120000</v>
      </c>
      <c r="G1903" s="4" t="str">
        <f>HYPERLINK("http://141.218.60.56/~jnz1568/getInfo.php?workbook=18_08.xlsx&amp;sheet=A0&amp;row=1903&amp;col=7&amp;number=0&amp;sourceID=14","0")</f>
        <v>0</v>
      </c>
    </row>
    <row r="1904" spans="1:7">
      <c r="A1904" s="3">
        <v>18</v>
      </c>
      <c r="B1904" s="3">
        <v>8</v>
      </c>
      <c r="C1904" s="3">
        <v>81</v>
      </c>
      <c r="D1904" s="3">
        <v>32</v>
      </c>
      <c r="E1904" s="3">
        <v>-417.534</v>
      </c>
      <c r="F1904" s="4" t="str">
        <f>HYPERLINK("http://141.218.60.56/~jnz1568/getInfo.php?workbook=18_08.xlsx&amp;sheet=A0&amp;row=1904&amp;col=6&amp;number=17930000&amp;sourceID=14","17930000")</f>
        <v>17930000</v>
      </c>
      <c r="G1904" s="4" t="str">
        <f>HYPERLINK("http://141.218.60.56/~jnz1568/getInfo.php?workbook=18_08.xlsx&amp;sheet=A0&amp;row=1904&amp;col=7&amp;number=0&amp;sourceID=14","0")</f>
        <v>0</v>
      </c>
    </row>
    <row r="1905" spans="1:7">
      <c r="A1905" s="3">
        <v>18</v>
      </c>
      <c r="B1905" s="3">
        <v>8</v>
      </c>
      <c r="C1905" s="3">
        <v>82</v>
      </c>
      <c r="D1905" s="3">
        <v>32</v>
      </c>
      <c r="E1905" s="3">
        <v>-411.909</v>
      </c>
      <c r="F1905" s="4" t="str">
        <f>HYPERLINK("http://141.218.60.56/~jnz1568/getInfo.php?workbook=18_08.xlsx&amp;sheet=A0&amp;row=1905&amp;col=6&amp;number=10490000&amp;sourceID=14","10490000")</f>
        <v>10490000</v>
      </c>
      <c r="G1905" s="4" t="str">
        <f>HYPERLINK("http://141.218.60.56/~jnz1568/getInfo.php?workbook=18_08.xlsx&amp;sheet=A0&amp;row=1905&amp;col=7&amp;number=0&amp;sourceID=14","0")</f>
        <v>0</v>
      </c>
    </row>
    <row r="1906" spans="1:7">
      <c r="A1906" s="3">
        <v>18</v>
      </c>
      <c r="B1906" s="3">
        <v>8</v>
      </c>
      <c r="C1906" s="3">
        <v>83</v>
      </c>
      <c r="D1906" s="3">
        <v>32</v>
      </c>
      <c r="E1906" s="3">
        <v>-411.547</v>
      </c>
      <c r="F1906" s="4" t="str">
        <f>HYPERLINK("http://141.218.60.56/~jnz1568/getInfo.php?workbook=18_08.xlsx&amp;sheet=A0&amp;row=1906&amp;col=6&amp;number=0.001836&amp;sourceID=14","0.001836")</f>
        <v>0.001836</v>
      </c>
      <c r="G1906" s="4" t="str">
        <f>HYPERLINK("http://141.218.60.56/~jnz1568/getInfo.php?workbook=18_08.xlsx&amp;sheet=A0&amp;row=1906&amp;col=7&amp;number=0&amp;sourceID=14","0")</f>
        <v>0</v>
      </c>
    </row>
    <row r="1907" spans="1:7">
      <c r="A1907" s="3">
        <v>18</v>
      </c>
      <c r="B1907" s="3">
        <v>8</v>
      </c>
      <c r="C1907" s="3">
        <v>84</v>
      </c>
      <c r="D1907" s="3">
        <v>32</v>
      </c>
      <c r="E1907" s="3">
        <v>-391.032</v>
      </c>
      <c r="F1907" s="4" t="str">
        <f>HYPERLINK("http://141.218.60.56/~jnz1568/getInfo.php?workbook=18_08.xlsx&amp;sheet=A0&amp;row=1907&amp;col=6&amp;number=1645000&amp;sourceID=14","1645000")</f>
        <v>1645000</v>
      </c>
      <c r="G1907" s="4" t="str">
        <f>HYPERLINK("http://141.218.60.56/~jnz1568/getInfo.php?workbook=18_08.xlsx&amp;sheet=A0&amp;row=1907&amp;col=7&amp;number=0&amp;sourceID=14","0")</f>
        <v>0</v>
      </c>
    </row>
    <row r="1908" spans="1:7">
      <c r="A1908" s="3">
        <v>18</v>
      </c>
      <c r="B1908" s="3">
        <v>8</v>
      </c>
      <c r="C1908" s="3">
        <v>85</v>
      </c>
      <c r="D1908" s="3">
        <v>32</v>
      </c>
      <c r="E1908" s="3">
        <v>-385.526</v>
      </c>
      <c r="F1908" s="4" t="str">
        <f>HYPERLINK("http://141.218.60.56/~jnz1568/getInfo.php?workbook=18_08.xlsx&amp;sheet=A0&amp;row=1908&amp;col=6&amp;number=745900&amp;sourceID=14","745900")</f>
        <v>745900</v>
      </c>
      <c r="G1908" s="4" t="str">
        <f>HYPERLINK("http://141.218.60.56/~jnz1568/getInfo.php?workbook=18_08.xlsx&amp;sheet=A0&amp;row=1908&amp;col=7&amp;number=0&amp;sourceID=14","0")</f>
        <v>0</v>
      </c>
    </row>
    <row r="1909" spans="1:7">
      <c r="A1909" s="3">
        <v>18</v>
      </c>
      <c r="B1909" s="3">
        <v>8</v>
      </c>
      <c r="C1909" s="3">
        <v>86</v>
      </c>
      <c r="D1909" s="3">
        <v>32</v>
      </c>
      <c r="E1909" s="3">
        <v>-344.389</v>
      </c>
      <c r="F1909" s="4" t="str">
        <f>HYPERLINK("http://141.218.60.56/~jnz1568/getInfo.php?workbook=18_08.xlsx&amp;sheet=A0&amp;row=1909&amp;col=6&amp;number=0.01847&amp;sourceID=14","0.01847")</f>
        <v>0.01847</v>
      </c>
      <c r="G1909" s="4" t="str">
        <f>HYPERLINK("http://141.218.60.56/~jnz1568/getInfo.php?workbook=18_08.xlsx&amp;sheet=A0&amp;row=1909&amp;col=7&amp;number=0&amp;sourceID=14","0")</f>
        <v>0</v>
      </c>
    </row>
    <row r="1910" spans="1:7">
      <c r="A1910" s="3">
        <v>18</v>
      </c>
      <c r="B1910" s="3">
        <v>8</v>
      </c>
      <c r="C1910" s="3">
        <v>34</v>
      </c>
      <c r="D1910" s="3">
        <v>33</v>
      </c>
      <c r="E1910" s="3">
        <v>-31240.365</v>
      </c>
      <c r="F1910" s="4" t="str">
        <f>HYPERLINK("http://141.218.60.56/~jnz1568/getInfo.php?workbook=18_08.xlsx&amp;sheet=A0&amp;row=1910&amp;col=6&amp;number=0.008029&amp;sourceID=14","0.008029")</f>
        <v>0.008029</v>
      </c>
      <c r="G1910" s="4" t="str">
        <f>HYPERLINK("http://141.218.60.56/~jnz1568/getInfo.php?workbook=18_08.xlsx&amp;sheet=A0&amp;row=1910&amp;col=7&amp;number=0&amp;sourceID=14","0")</f>
        <v>0</v>
      </c>
    </row>
    <row r="1911" spans="1:7">
      <c r="A1911" s="3">
        <v>18</v>
      </c>
      <c r="B1911" s="3">
        <v>8</v>
      </c>
      <c r="C1911" s="3">
        <v>37</v>
      </c>
      <c r="D1911" s="3">
        <v>33</v>
      </c>
      <c r="E1911" s="3">
        <v>-2310.468</v>
      </c>
      <c r="F1911" s="4" t="str">
        <f>HYPERLINK("http://141.218.60.56/~jnz1568/getInfo.php?workbook=18_08.xlsx&amp;sheet=A0&amp;row=1911&amp;col=6&amp;number=3.335&amp;sourceID=14","3.335")</f>
        <v>3.335</v>
      </c>
      <c r="G1911" s="4" t="str">
        <f>HYPERLINK("http://141.218.60.56/~jnz1568/getInfo.php?workbook=18_08.xlsx&amp;sheet=A0&amp;row=1911&amp;col=7&amp;number=0&amp;sourceID=14","0")</f>
        <v>0</v>
      </c>
    </row>
    <row r="1912" spans="1:7">
      <c r="A1912" s="3">
        <v>18</v>
      </c>
      <c r="B1912" s="3">
        <v>8</v>
      </c>
      <c r="C1912" s="3">
        <v>40</v>
      </c>
      <c r="D1912" s="3">
        <v>33</v>
      </c>
      <c r="E1912" s="3">
        <v>-1695.195</v>
      </c>
      <c r="F1912" s="4" t="str">
        <f>HYPERLINK("http://141.218.60.56/~jnz1568/getInfo.php?workbook=18_08.xlsx&amp;sheet=A0&amp;row=1912&amp;col=6&amp;number=4.792e-07&amp;sourceID=14","4.792e-07")</f>
        <v>4.792e-07</v>
      </c>
      <c r="G1912" s="4" t="str">
        <f>HYPERLINK("http://141.218.60.56/~jnz1568/getInfo.php?workbook=18_08.xlsx&amp;sheet=A0&amp;row=1912&amp;col=7&amp;number=0&amp;sourceID=14","0")</f>
        <v>0</v>
      </c>
    </row>
    <row r="1913" spans="1:7">
      <c r="A1913" s="3">
        <v>18</v>
      </c>
      <c r="B1913" s="3">
        <v>8</v>
      </c>
      <c r="C1913" s="3">
        <v>41</v>
      </c>
      <c r="D1913" s="3">
        <v>33</v>
      </c>
      <c r="E1913" s="3">
        <v>-1688.443</v>
      </c>
      <c r="F1913" s="4" t="str">
        <f>HYPERLINK("http://141.218.60.56/~jnz1568/getInfo.php?workbook=18_08.xlsx&amp;sheet=A0&amp;row=1913&amp;col=6&amp;number=3677&amp;sourceID=14","3677")</f>
        <v>3677</v>
      </c>
      <c r="G1913" s="4" t="str">
        <f>HYPERLINK("http://141.218.60.56/~jnz1568/getInfo.php?workbook=18_08.xlsx&amp;sheet=A0&amp;row=1913&amp;col=7&amp;number=0&amp;sourceID=14","0")</f>
        <v>0</v>
      </c>
    </row>
    <row r="1914" spans="1:7">
      <c r="A1914" s="3">
        <v>18</v>
      </c>
      <c r="B1914" s="3">
        <v>8</v>
      </c>
      <c r="C1914" s="3">
        <v>42</v>
      </c>
      <c r="D1914" s="3">
        <v>33</v>
      </c>
      <c r="E1914" s="3">
        <v>-1677.347</v>
      </c>
      <c r="F1914" s="4" t="str">
        <f>HYPERLINK("http://141.218.60.56/~jnz1568/getInfo.php?workbook=18_08.xlsx&amp;sheet=A0&amp;row=1914&amp;col=6&amp;number=4016&amp;sourceID=14","4016")</f>
        <v>4016</v>
      </c>
      <c r="G1914" s="4" t="str">
        <f>HYPERLINK("http://141.218.60.56/~jnz1568/getInfo.php?workbook=18_08.xlsx&amp;sheet=A0&amp;row=1914&amp;col=7&amp;number=0&amp;sourceID=14","0")</f>
        <v>0</v>
      </c>
    </row>
    <row r="1915" spans="1:7">
      <c r="A1915" s="3">
        <v>18</v>
      </c>
      <c r="B1915" s="3">
        <v>8</v>
      </c>
      <c r="C1915" s="3">
        <v>43</v>
      </c>
      <c r="D1915" s="3">
        <v>33</v>
      </c>
      <c r="E1915" s="3">
        <v>-2149.168</v>
      </c>
      <c r="F1915" s="4" t="str">
        <f>HYPERLINK("http://141.218.60.56/~jnz1568/getInfo.php?workbook=18_08.xlsx&amp;sheet=A0&amp;row=1915&amp;col=6&amp;number=1.95&amp;sourceID=14","1.95")</f>
        <v>1.95</v>
      </c>
      <c r="G1915" s="4" t="str">
        <f>HYPERLINK("http://141.218.60.56/~jnz1568/getInfo.php?workbook=18_08.xlsx&amp;sheet=A0&amp;row=1915&amp;col=7&amp;number=0&amp;sourceID=14","0")</f>
        <v>0</v>
      </c>
    </row>
    <row r="1916" spans="1:7">
      <c r="A1916" s="3">
        <v>18</v>
      </c>
      <c r="B1916" s="3">
        <v>8</v>
      </c>
      <c r="C1916" s="3">
        <v>46</v>
      </c>
      <c r="D1916" s="3">
        <v>33</v>
      </c>
      <c r="E1916" s="3">
        <v>-1803.999</v>
      </c>
      <c r="F1916" s="4" t="str">
        <f>HYPERLINK("http://141.218.60.56/~jnz1568/getInfo.php?workbook=18_08.xlsx&amp;sheet=A0&amp;row=1916&amp;col=6&amp;number=0.02362&amp;sourceID=14","0.02362")</f>
        <v>0.02362</v>
      </c>
      <c r="G1916" s="4" t="str">
        <f>HYPERLINK("http://141.218.60.56/~jnz1568/getInfo.php?workbook=18_08.xlsx&amp;sheet=A0&amp;row=1916&amp;col=7&amp;number=0&amp;sourceID=14","0")</f>
        <v>0</v>
      </c>
    </row>
    <row r="1917" spans="1:7">
      <c r="A1917" s="3">
        <v>18</v>
      </c>
      <c r="B1917" s="3">
        <v>8</v>
      </c>
      <c r="C1917" s="3">
        <v>47</v>
      </c>
      <c r="D1917" s="3">
        <v>33</v>
      </c>
      <c r="E1917" s="3">
        <v>-1995.164</v>
      </c>
      <c r="F1917" s="4" t="str">
        <f>HYPERLINK("http://141.218.60.56/~jnz1568/getInfo.php?workbook=18_08.xlsx&amp;sheet=A0&amp;row=1917&amp;col=6&amp;number=136.4&amp;sourceID=14","136.4")</f>
        <v>136.4</v>
      </c>
      <c r="G1917" s="4" t="str">
        <f>HYPERLINK("http://141.218.60.56/~jnz1568/getInfo.php?workbook=18_08.xlsx&amp;sheet=A0&amp;row=1917&amp;col=7&amp;number=0&amp;sourceID=14","0")</f>
        <v>0</v>
      </c>
    </row>
    <row r="1918" spans="1:7">
      <c r="A1918" s="3">
        <v>18</v>
      </c>
      <c r="B1918" s="3">
        <v>8</v>
      </c>
      <c r="C1918" s="3">
        <v>49</v>
      </c>
      <c r="D1918" s="3">
        <v>33</v>
      </c>
      <c r="E1918" s="3">
        <v>-1425.009</v>
      </c>
      <c r="F1918" s="4" t="str">
        <f>HYPERLINK("http://141.218.60.56/~jnz1568/getInfo.php?workbook=18_08.xlsx&amp;sheet=A0&amp;row=1918&amp;col=6&amp;number=1.873&amp;sourceID=14","1.873")</f>
        <v>1.873</v>
      </c>
      <c r="G1918" s="4" t="str">
        <f>HYPERLINK("http://141.218.60.56/~jnz1568/getInfo.php?workbook=18_08.xlsx&amp;sheet=A0&amp;row=1918&amp;col=7&amp;number=0&amp;sourceID=14","0")</f>
        <v>0</v>
      </c>
    </row>
    <row r="1919" spans="1:7">
      <c r="A1919" s="3">
        <v>18</v>
      </c>
      <c r="B1919" s="3">
        <v>8</v>
      </c>
      <c r="C1919" s="3">
        <v>51</v>
      </c>
      <c r="D1919" s="3">
        <v>33</v>
      </c>
      <c r="E1919" s="3">
        <v>-1044.11</v>
      </c>
      <c r="F1919" s="4" t="str">
        <f>HYPERLINK("http://141.218.60.56/~jnz1568/getInfo.php?workbook=18_08.xlsx&amp;sheet=A0&amp;row=1919&amp;col=6&amp;number=0.0006083&amp;sourceID=14","0.0006083")</f>
        <v>0.0006083</v>
      </c>
      <c r="G1919" s="4" t="str">
        <f>HYPERLINK("http://141.218.60.56/~jnz1568/getInfo.php?workbook=18_08.xlsx&amp;sheet=A0&amp;row=1919&amp;col=7&amp;number=0&amp;sourceID=14","0")</f>
        <v>0</v>
      </c>
    </row>
    <row r="1920" spans="1:7">
      <c r="A1920" s="3">
        <v>18</v>
      </c>
      <c r="B1920" s="3">
        <v>8</v>
      </c>
      <c r="C1920" s="3">
        <v>54</v>
      </c>
      <c r="D1920" s="3">
        <v>33</v>
      </c>
      <c r="E1920" s="3">
        <v>-1024.009</v>
      </c>
      <c r="F1920" s="4" t="str">
        <f>HYPERLINK("http://141.218.60.56/~jnz1568/getInfo.php?workbook=18_08.xlsx&amp;sheet=A0&amp;row=1920&amp;col=6&amp;number=3604000&amp;sourceID=14","3604000")</f>
        <v>3604000</v>
      </c>
      <c r="G1920" s="4" t="str">
        <f>HYPERLINK("http://141.218.60.56/~jnz1568/getInfo.php?workbook=18_08.xlsx&amp;sheet=A0&amp;row=1920&amp;col=7&amp;number=0&amp;sourceID=14","0")</f>
        <v>0</v>
      </c>
    </row>
    <row r="1921" spans="1:7">
      <c r="A1921" s="3">
        <v>18</v>
      </c>
      <c r="B1921" s="3">
        <v>8</v>
      </c>
      <c r="C1921" s="3">
        <v>55</v>
      </c>
      <c r="D1921" s="3">
        <v>33</v>
      </c>
      <c r="E1921" s="3">
        <v>-960.768</v>
      </c>
      <c r="F1921" s="4" t="str">
        <f>HYPERLINK("http://141.218.60.56/~jnz1568/getInfo.php?workbook=18_08.xlsx&amp;sheet=A0&amp;row=1921&amp;col=6&amp;number=0.4014&amp;sourceID=14","0.4014")</f>
        <v>0.4014</v>
      </c>
      <c r="G1921" s="4" t="str">
        <f>HYPERLINK("http://141.218.60.56/~jnz1568/getInfo.php?workbook=18_08.xlsx&amp;sheet=A0&amp;row=1921&amp;col=7&amp;number=0&amp;sourceID=14","0")</f>
        <v>0</v>
      </c>
    </row>
    <row r="1922" spans="1:7">
      <c r="A1922" s="3">
        <v>18</v>
      </c>
      <c r="B1922" s="3">
        <v>8</v>
      </c>
      <c r="C1922" s="3">
        <v>56</v>
      </c>
      <c r="D1922" s="3">
        <v>33</v>
      </c>
      <c r="E1922" s="3">
        <v>-657.682</v>
      </c>
      <c r="F1922" s="4" t="str">
        <f>HYPERLINK("http://141.218.60.56/~jnz1568/getInfo.php?workbook=18_08.xlsx&amp;sheet=A0&amp;row=1922&amp;col=6&amp;number=0.01458&amp;sourceID=14","0.01458")</f>
        <v>0.01458</v>
      </c>
      <c r="G1922" s="4" t="str">
        <f>HYPERLINK("http://141.218.60.56/~jnz1568/getInfo.php?workbook=18_08.xlsx&amp;sheet=A0&amp;row=1922&amp;col=7&amp;number=0&amp;sourceID=14","0")</f>
        <v>0</v>
      </c>
    </row>
    <row r="1923" spans="1:7">
      <c r="A1923" s="3">
        <v>18</v>
      </c>
      <c r="B1923" s="3">
        <v>8</v>
      </c>
      <c r="C1923" s="3">
        <v>57</v>
      </c>
      <c r="D1923" s="3">
        <v>33</v>
      </c>
      <c r="E1923" s="3">
        <v>-642.776</v>
      </c>
      <c r="F1923" s="4" t="str">
        <f>HYPERLINK("http://141.218.60.56/~jnz1568/getInfo.php?workbook=18_08.xlsx&amp;sheet=A0&amp;row=1923&amp;col=6&amp;number=59980000&amp;sourceID=14","59980000")</f>
        <v>59980000</v>
      </c>
      <c r="G1923" s="4" t="str">
        <f>HYPERLINK("http://141.218.60.56/~jnz1568/getInfo.php?workbook=18_08.xlsx&amp;sheet=A0&amp;row=1923&amp;col=7&amp;number=0&amp;sourceID=14","0")</f>
        <v>0</v>
      </c>
    </row>
    <row r="1924" spans="1:7">
      <c r="A1924" s="3">
        <v>18</v>
      </c>
      <c r="B1924" s="3">
        <v>8</v>
      </c>
      <c r="C1924" s="3">
        <v>59</v>
      </c>
      <c r="D1924" s="3">
        <v>33</v>
      </c>
      <c r="E1924" s="3">
        <v>-626.145</v>
      </c>
      <c r="F1924" s="4" t="str">
        <f>HYPERLINK("http://141.218.60.56/~jnz1568/getInfo.php?workbook=18_08.xlsx&amp;sheet=A0&amp;row=1924&amp;col=6&amp;number=742400000&amp;sourceID=14","742400000")</f>
        <v>742400000</v>
      </c>
      <c r="G1924" s="4" t="str">
        <f>HYPERLINK("http://141.218.60.56/~jnz1568/getInfo.php?workbook=18_08.xlsx&amp;sheet=A0&amp;row=1924&amp;col=7&amp;number=0&amp;sourceID=14","0")</f>
        <v>0</v>
      </c>
    </row>
    <row r="1925" spans="1:7">
      <c r="A1925" s="3">
        <v>18</v>
      </c>
      <c r="B1925" s="3">
        <v>8</v>
      </c>
      <c r="C1925" s="3">
        <v>60</v>
      </c>
      <c r="D1925" s="3">
        <v>33</v>
      </c>
      <c r="E1925" s="3">
        <v>-599.955</v>
      </c>
      <c r="F1925" s="4" t="str">
        <f>HYPERLINK("http://141.218.60.56/~jnz1568/getInfo.php?workbook=18_08.xlsx&amp;sheet=A0&amp;row=1925&amp;col=6&amp;number=19500&amp;sourceID=14","19500")</f>
        <v>19500</v>
      </c>
      <c r="G1925" s="4" t="str">
        <f>HYPERLINK("http://141.218.60.56/~jnz1568/getInfo.php?workbook=18_08.xlsx&amp;sheet=A0&amp;row=1925&amp;col=7&amp;number=0&amp;sourceID=14","0")</f>
        <v>0</v>
      </c>
    </row>
    <row r="1926" spans="1:7">
      <c r="A1926" s="3">
        <v>18</v>
      </c>
      <c r="B1926" s="3">
        <v>8</v>
      </c>
      <c r="C1926" s="3">
        <v>61</v>
      </c>
      <c r="D1926" s="3">
        <v>33</v>
      </c>
      <c r="E1926" s="3">
        <v>-594.239</v>
      </c>
      <c r="F1926" s="4" t="str">
        <f>HYPERLINK("http://141.218.60.56/~jnz1568/getInfo.php?workbook=18_08.xlsx&amp;sheet=A0&amp;row=1926&amp;col=6&amp;number=410800&amp;sourceID=14","410800")</f>
        <v>410800</v>
      </c>
      <c r="G1926" s="4" t="str">
        <f>HYPERLINK("http://141.218.60.56/~jnz1568/getInfo.php?workbook=18_08.xlsx&amp;sheet=A0&amp;row=1926&amp;col=7&amp;number=0&amp;sourceID=14","0")</f>
        <v>0</v>
      </c>
    </row>
    <row r="1927" spans="1:7">
      <c r="A1927" s="3">
        <v>18</v>
      </c>
      <c r="B1927" s="3">
        <v>8</v>
      </c>
      <c r="C1927" s="3">
        <v>62</v>
      </c>
      <c r="D1927" s="3">
        <v>33</v>
      </c>
      <c r="E1927" s="3">
        <v>-587.219</v>
      </c>
      <c r="F1927" s="4" t="str">
        <f>HYPERLINK("http://141.218.60.56/~jnz1568/getInfo.php?workbook=18_08.xlsx&amp;sheet=A0&amp;row=1927&amp;col=6&amp;number=2939000000&amp;sourceID=14","2939000000")</f>
        <v>2939000000</v>
      </c>
      <c r="G1927" s="4" t="str">
        <f>HYPERLINK("http://141.218.60.56/~jnz1568/getInfo.php?workbook=18_08.xlsx&amp;sheet=A0&amp;row=1927&amp;col=7&amp;number=0&amp;sourceID=14","0")</f>
        <v>0</v>
      </c>
    </row>
    <row r="1928" spans="1:7">
      <c r="A1928" s="3">
        <v>18</v>
      </c>
      <c r="B1928" s="3">
        <v>8</v>
      </c>
      <c r="C1928" s="3">
        <v>63</v>
      </c>
      <c r="D1928" s="3">
        <v>33</v>
      </c>
      <c r="E1928" s="3">
        <v>-576.522</v>
      </c>
      <c r="F1928" s="4" t="str">
        <f>HYPERLINK("http://141.218.60.56/~jnz1568/getInfo.php?workbook=18_08.xlsx&amp;sheet=A0&amp;row=1928&amp;col=6&amp;number=51910000&amp;sourceID=14","51910000")</f>
        <v>51910000</v>
      </c>
      <c r="G1928" s="4" t="str">
        <f>HYPERLINK("http://141.218.60.56/~jnz1568/getInfo.php?workbook=18_08.xlsx&amp;sheet=A0&amp;row=1928&amp;col=7&amp;number=0&amp;sourceID=14","0")</f>
        <v>0</v>
      </c>
    </row>
    <row r="1929" spans="1:7">
      <c r="A1929" s="3">
        <v>18</v>
      </c>
      <c r="B1929" s="3">
        <v>8</v>
      </c>
      <c r="C1929" s="3">
        <v>66</v>
      </c>
      <c r="D1929" s="3">
        <v>33</v>
      </c>
      <c r="E1929" s="3">
        <v>-546.575</v>
      </c>
      <c r="F1929" s="4" t="str">
        <f>HYPERLINK("http://141.218.60.56/~jnz1568/getInfo.php?workbook=18_08.xlsx&amp;sheet=A0&amp;row=1929&amp;col=6&amp;number=0.06257&amp;sourceID=14","0.06257")</f>
        <v>0.06257</v>
      </c>
      <c r="G1929" s="4" t="str">
        <f>HYPERLINK("http://141.218.60.56/~jnz1568/getInfo.php?workbook=18_08.xlsx&amp;sheet=A0&amp;row=1929&amp;col=7&amp;number=0&amp;sourceID=14","0")</f>
        <v>0</v>
      </c>
    </row>
    <row r="1930" spans="1:7">
      <c r="A1930" s="3">
        <v>18</v>
      </c>
      <c r="B1930" s="3">
        <v>8</v>
      </c>
      <c r="C1930" s="3">
        <v>68</v>
      </c>
      <c r="D1930" s="3">
        <v>33</v>
      </c>
      <c r="E1930" s="3">
        <v>-538.79</v>
      </c>
      <c r="F1930" s="4" t="str">
        <f>HYPERLINK("http://141.218.60.56/~jnz1568/getInfo.php?workbook=18_08.xlsx&amp;sheet=A0&amp;row=1930&amp;col=6&amp;number=172900000&amp;sourceID=14","172900000")</f>
        <v>172900000</v>
      </c>
      <c r="G1930" s="4" t="str">
        <f>HYPERLINK("http://141.218.60.56/~jnz1568/getInfo.php?workbook=18_08.xlsx&amp;sheet=A0&amp;row=1930&amp;col=7&amp;number=0&amp;sourceID=14","0")</f>
        <v>0</v>
      </c>
    </row>
    <row r="1931" spans="1:7">
      <c r="A1931" s="3">
        <v>18</v>
      </c>
      <c r="B1931" s="3">
        <v>8</v>
      </c>
      <c r="C1931" s="3">
        <v>69</v>
      </c>
      <c r="D1931" s="3">
        <v>33</v>
      </c>
      <c r="E1931" s="3">
        <v>-517.53</v>
      </c>
      <c r="F1931" s="4" t="str">
        <f>HYPERLINK("http://141.218.60.56/~jnz1568/getInfo.php?workbook=18_08.xlsx&amp;sheet=A0&amp;row=1931&amp;col=6&amp;number=0.06105&amp;sourceID=14","0.06105")</f>
        <v>0.06105</v>
      </c>
      <c r="G1931" s="4" t="str">
        <f>HYPERLINK("http://141.218.60.56/~jnz1568/getInfo.php?workbook=18_08.xlsx&amp;sheet=A0&amp;row=1931&amp;col=7&amp;number=0&amp;sourceID=14","0")</f>
        <v>0</v>
      </c>
    </row>
    <row r="1932" spans="1:7">
      <c r="A1932" s="3">
        <v>18</v>
      </c>
      <c r="B1932" s="3">
        <v>8</v>
      </c>
      <c r="C1932" s="3">
        <v>72</v>
      </c>
      <c r="D1932" s="3">
        <v>33</v>
      </c>
      <c r="E1932" s="3">
        <v>-523.08</v>
      </c>
      <c r="F1932" s="4" t="str">
        <f>HYPERLINK("http://141.218.60.56/~jnz1568/getInfo.php?workbook=18_08.xlsx&amp;sheet=A0&amp;row=1932&amp;col=6&amp;number=0.08145&amp;sourceID=14","0.08145")</f>
        <v>0.08145</v>
      </c>
      <c r="G1932" s="4" t="str">
        <f>HYPERLINK("http://141.218.60.56/~jnz1568/getInfo.php?workbook=18_08.xlsx&amp;sheet=A0&amp;row=1932&amp;col=7&amp;number=0&amp;sourceID=14","0")</f>
        <v>0</v>
      </c>
    </row>
    <row r="1933" spans="1:7">
      <c r="A1933" s="3">
        <v>18</v>
      </c>
      <c r="B1933" s="3">
        <v>8</v>
      </c>
      <c r="C1933" s="3">
        <v>74</v>
      </c>
      <c r="D1933" s="3">
        <v>33</v>
      </c>
      <c r="E1933" s="3">
        <v>-461.037</v>
      </c>
      <c r="F1933" s="4" t="str">
        <f>HYPERLINK("http://141.218.60.56/~jnz1568/getInfo.php?workbook=18_08.xlsx&amp;sheet=A0&amp;row=1933&amp;col=6&amp;number=8977000&amp;sourceID=14","8977000")</f>
        <v>8977000</v>
      </c>
      <c r="G1933" s="4" t="str">
        <f>HYPERLINK("http://141.218.60.56/~jnz1568/getInfo.php?workbook=18_08.xlsx&amp;sheet=A0&amp;row=1933&amp;col=7&amp;number=0&amp;sourceID=14","0")</f>
        <v>0</v>
      </c>
    </row>
    <row r="1934" spans="1:7">
      <c r="A1934" s="3">
        <v>18</v>
      </c>
      <c r="B1934" s="3">
        <v>8</v>
      </c>
      <c r="C1934" s="3">
        <v>75</v>
      </c>
      <c r="D1934" s="3">
        <v>33</v>
      </c>
      <c r="E1934" s="3">
        <v>-453.818</v>
      </c>
      <c r="F1934" s="4" t="str">
        <f>HYPERLINK("http://141.218.60.56/~jnz1568/getInfo.php?workbook=18_08.xlsx&amp;sheet=A0&amp;row=1934&amp;col=6&amp;number=0.01902&amp;sourceID=14","0.01902")</f>
        <v>0.01902</v>
      </c>
      <c r="G1934" s="4" t="str">
        <f>HYPERLINK("http://141.218.60.56/~jnz1568/getInfo.php?workbook=18_08.xlsx&amp;sheet=A0&amp;row=1934&amp;col=7&amp;number=0&amp;sourceID=14","0")</f>
        <v>0</v>
      </c>
    </row>
    <row r="1935" spans="1:7">
      <c r="A1935" s="3">
        <v>18</v>
      </c>
      <c r="B1935" s="3">
        <v>8</v>
      </c>
      <c r="C1935" s="3">
        <v>76</v>
      </c>
      <c r="D1935" s="3">
        <v>33</v>
      </c>
      <c r="E1935" s="3">
        <v>-453.302</v>
      </c>
      <c r="F1935" s="4" t="str">
        <f>HYPERLINK("http://141.218.60.56/~jnz1568/getInfo.php?workbook=18_08.xlsx&amp;sheet=A0&amp;row=1935&amp;col=6&amp;number=204400000&amp;sourceID=14","204400000")</f>
        <v>204400000</v>
      </c>
      <c r="G1935" s="4" t="str">
        <f>HYPERLINK("http://141.218.60.56/~jnz1568/getInfo.php?workbook=18_08.xlsx&amp;sheet=A0&amp;row=1935&amp;col=7&amp;number=0&amp;sourceID=14","0")</f>
        <v>0</v>
      </c>
    </row>
    <row r="1936" spans="1:7">
      <c r="A1936" s="3">
        <v>18</v>
      </c>
      <c r="B1936" s="3">
        <v>8</v>
      </c>
      <c r="C1936" s="3">
        <v>77</v>
      </c>
      <c r="D1936" s="3">
        <v>33</v>
      </c>
      <c r="E1936" s="3">
        <v>-449.158</v>
      </c>
      <c r="F1936" s="4" t="str">
        <f>HYPERLINK("http://141.218.60.56/~jnz1568/getInfo.php?workbook=18_08.xlsx&amp;sheet=A0&amp;row=1936&amp;col=6&amp;number=31080000&amp;sourceID=14","31080000")</f>
        <v>31080000</v>
      </c>
      <c r="G1936" s="4" t="str">
        <f>HYPERLINK("http://141.218.60.56/~jnz1568/getInfo.php?workbook=18_08.xlsx&amp;sheet=A0&amp;row=1936&amp;col=7&amp;number=0&amp;sourceID=14","0")</f>
        <v>0</v>
      </c>
    </row>
    <row r="1937" spans="1:7">
      <c r="A1937" s="3">
        <v>18</v>
      </c>
      <c r="B1937" s="3">
        <v>8</v>
      </c>
      <c r="C1937" s="3">
        <v>80</v>
      </c>
      <c r="D1937" s="3">
        <v>33</v>
      </c>
      <c r="E1937" s="3">
        <v>-442.284</v>
      </c>
      <c r="F1937" s="4" t="str">
        <f>HYPERLINK("http://141.218.60.56/~jnz1568/getInfo.php?workbook=18_08.xlsx&amp;sheet=A0&amp;row=1937&amp;col=6&amp;number=0.01861&amp;sourceID=14","0.01861")</f>
        <v>0.01861</v>
      </c>
      <c r="G1937" s="4" t="str">
        <f>HYPERLINK("http://141.218.60.56/~jnz1568/getInfo.php?workbook=18_08.xlsx&amp;sheet=A0&amp;row=1937&amp;col=7&amp;number=0&amp;sourceID=14","0")</f>
        <v>0</v>
      </c>
    </row>
    <row r="1938" spans="1:7">
      <c r="A1938" s="3">
        <v>18</v>
      </c>
      <c r="B1938" s="3">
        <v>8</v>
      </c>
      <c r="C1938" s="3">
        <v>81</v>
      </c>
      <c r="D1938" s="3">
        <v>33</v>
      </c>
      <c r="E1938" s="3">
        <v>-422.961</v>
      </c>
      <c r="F1938" s="4" t="str">
        <f>HYPERLINK("http://141.218.60.56/~jnz1568/getInfo.php?workbook=18_08.xlsx&amp;sheet=A0&amp;row=1938&amp;col=6&amp;number=0.01778&amp;sourceID=14","0.01778")</f>
        <v>0.01778</v>
      </c>
      <c r="G1938" s="4" t="str">
        <f>HYPERLINK("http://141.218.60.56/~jnz1568/getInfo.php?workbook=18_08.xlsx&amp;sheet=A0&amp;row=1938&amp;col=7&amp;number=0&amp;sourceID=14","0")</f>
        <v>0</v>
      </c>
    </row>
    <row r="1939" spans="1:7">
      <c r="A1939" s="3">
        <v>18</v>
      </c>
      <c r="B1939" s="3">
        <v>8</v>
      </c>
      <c r="C1939" s="3">
        <v>82</v>
      </c>
      <c r="D1939" s="3">
        <v>33</v>
      </c>
      <c r="E1939" s="3">
        <v>-417.19</v>
      </c>
      <c r="F1939" s="4" t="str">
        <f>HYPERLINK("http://141.218.60.56/~jnz1568/getInfo.php?workbook=18_08.xlsx&amp;sheet=A0&amp;row=1939&amp;col=6&amp;number=30520000&amp;sourceID=14","30520000")</f>
        <v>30520000</v>
      </c>
      <c r="G1939" s="4" t="str">
        <f>HYPERLINK("http://141.218.60.56/~jnz1568/getInfo.php?workbook=18_08.xlsx&amp;sheet=A0&amp;row=1939&amp;col=7&amp;number=0&amp;sourceID=14","0")</f>
        <v>0</v>
      </c>
    </row>
    <row r="1940" spans="1:7">
      <c r="A1940" s="3">
        <v>18</v>
      </c>
      <c r="B1940" s="3">
        <v>8</v>
      </c>
      <c r="C1940" s="3">
        <v>84</v>
      </c>
      <c r="D1940" s="3">
        <v>33</v>
      </c>
      <c r="E1940" s="3">
        <v>-395.788</v>
      </c>
      <c r="F1940" s="4" t="str">
        <f>HYPERLINK("http://141.218.60.56/~jnz1568/getInfo.php?workbook=18_08.xlsx&amp;sheet=A0&amp;row=1940&amp;col=6&amp;number=0.1797&amp;sourceID=14","0.1797")</f>
        <v>0.1797</v>
      </c>
      <c r="G1940" s="4" t="str">
        <f>HYPERLINK("http://141.218.60.56/~jnz1568/getInfo.php?workbook=18_08.xlsx&amp;sheet=A0&amp;row=1940&amp;col=7&amp;number=0&amp;sourceID=14","0")</f>
        <v>0</v>
      </c>
    </row>
    <row r="1941" spans="1:7">
      <c r="A1941" s="3">
        <v>18</v>
      </c>
      <c r="B1941" s="3">
        <v>8</v>
      </c>
      <c r="C1941" s="3">
        <v>85</v>
      </c>
      <c r="D1941" s="3">
        <v>33</v>
      </c>
      <c r="E1941" s="3">
        <v>-390.148</v>
      </c>
      <c r="F1941" s="4" t="str">
        <f>HYPERLINK("http://141.218.60.56/~jnz1568/getInfo.php?workbook=18_08.xlsx&amp;sheet=A0&amp;row=1941&amp;col=6&amp;number=272200&amp;sourceID=14","272200")</f>
        <v>272200</v>
      </c>
      <c r="G1941" s="4" t="str">
        <f>HYPERLINK("http://141.218.60.56/~jnz1568/getInfo.php?workbook=18_08.xlsx&amp;sheet=A0&amp;row=1941&amp;col=7&amp;number=0&amp;sourceID=14","0")</f>
        <v>0</v>
      </c>
    </row>
    <row r="1942" spans="1:7">
      <c r="A1942" s="3">
        <v>18</v>
      </c>
      <c r="B1942" s="3">
        <v>8</v>
      </c>
      <c r="C1942" s="3">
        <v>36</v>
      </c>
      <c r="D1942" s="3">
        <v>34</v>
      </c>
      <c r="E1942" s="3">
        <v>-2321.6</v>
      </c>
      <c r="F1942" s="4" t="str">
        <f>HYPERLINK("http://141.218.60.56/~jnz1568/getInfo.php?workbook=18_08.xlsx&amp;sheet=A0&amp;row=1942&amp;col=6&amp;number=0.003607&amp;sourceID=14","0.003607")</f>
        <v>0.003607</v>
      </c>
      <c r="G1942" s="4" t="str">
        <f>HYPERLINK("http://141.218.60.56/~jnz1568/getInfo.php?workbook=18_08.xlsx&amp;sheet=A0&amp;row=1942&amp;col=7&amp;number=0&amp;sourceID=14","0")</f>
        <v>0</v>
      </c>
    </row>
    <row r="1943" spans="1:7">
      <c r="A1943" s="3">
        <v>18</v>
      </c>
      <c r="B1943" s="3">
        <v>8</v>
      </c>
      <c r="C1943" s="3">
        <v>37</v>
      </c>
      <c r="D1943" s="3">
        <v>34</v>
      </c>
      <c r="E1943" s="3">
        <v>-2494.992</v>
      </c>
      <c r="F1943" s="4" t="str">
        <f>HYPERLINK("http://141.218.60.56/~jnz1568/getInfo.php?workbook=18_08.xlsx&amp;sheet=A0&amp;row=1943&amp;col=6&amp;number=8.35&amp;sourceID=14","8.35")</f>
        <v>8.35</v>
      </c>
      <c r="G1943" s="4" t="str">
        <f>HYPERLINK("http://141.218.60.56/~jnz1568/getInfo.php?workbook=18_08.xlsx&amp;sheet=A0&amp;row=1943&amp;col=7&amp;number=0&amp;sourceID=14","0")</f>
        <v>0</v>
      </c>
    </row>
    <row r="1944" spans="1:7">
      <c r="A1944" s="3">
        <v>18</v>
      </c>
      <c r="B1944" s="3">
        <v>8</v>
      </c>
      <c r="C1944" s="3">
        <v>39</v>
      </c>
      <c r="D1944" s="3">
        <v>34</v>
      </c>
      <c r="E1944" s="3">
        <v>-1797.74</v>
      </c>
      <c r="F1944" s="4" t="str">
        <f>HYPERLINK("http://141.218.60.56/~jnz1568/getInfo.php?workbook=18_08.xlsx&amp;sheet=A0&amp;row=1944&amp;col=6&amp;number=2.249e-08&amp;sourceID=14","2.249e-08")</f>
        <v>2.249e-08</v>
      </c>
      <c r="G1944" s="4" t="str">
        <f>HYPERLINK("http://141.218.60.56/~jnz1568/getInfo.php?workbook=18_08.xlsx&amp;sheet=A0&amp;row=1944&amp;col=7&amp;number=0&amp;sourceID=14","0")</f>
        <v>0</v>
      </c>
    </row>
    <row r="1945" spans="1:7">
      <c r="A1945" s="3">
        <v>18</v>
      </c>
      <c r="B1945" s="3">
        <v>8</v>
      </c>
      <c r="C1945" s="3">
        <v>40</v>
      </c>
      <c r="D1945" s="3">
        <v>34</v>
      </c>
      <c r="E1945" s="3">
        <v>-1792.46</v>
      </c>
      <c r="F1945" s="4" t="str">
        <f>HYPERLINK("http://141.218.60.56/~jnz1568/getInfo.php?workbook=18_08.xlsx&amp;sheet=A0&amp;row=1945&amp;col=6&amp;number=25.9&amp;sourceID=14","25.9")</f>
        <v>25.9</v>
      </c>
      <c r="G1945" s="4" t="str">
        <f>HYPERLINK("http://141.218.60.56/~jnz1568/getInfo.php?workbook=18_08.xlsx&amp;sheet=A0&amp;row=1945&amp;col=7&amp;number=0&amp;sourceID=14","0")</f>
        <v>0</v>
      </c>
    </row>
    <row r="1946" spans="1:7">
      <c r="A1946" s="3">
        <v>18</v>
      </c>
      <c r="B1946" s="3">
        <v>8</v>
      </c>
      <c r="C1946" s="3">
        <v>41</v>
      </c>
      <c r="D1946" s="3">
        <v>34</v>
      </c>
      <c r="E1946" s="3">
        <v>-1784.912</v>
      </c>
      <c r="F1946" s="4" t="str">
        <f>HYPERLINK("http://141.218.60.56/~jnz1568/getInfo.php?workbook=18_08.xlsx&amp;sheet=A0&amp;row=1946&amp;col=6&amp;number=4.194&amp;sourceID=14","4.194")</f>
        <v>4.194</v>
      </c>
      <c r="G1946" s="4" t="str">
        <f>HYPERLINK("http://141.218.60.56/~jnz1568/getInfo.php?workbook=18_08.xlsx&amp;sheet=A0&amp;row=1946&amp;col=7&amp;number=0&amp;sourceID=14","0")</f>
        <v>0</v>
      </c>
    </row>
    <row r="1947" spans="1:7">
      <c r="A1947" s="3">
        <v>18</v>
      </c>
      <c r="B1947" s="3">
        <v>8</v>
      </c>
      <c r="C1947" s="3">
        <v>42</v>
      </c>
      <c r="D1947" s="3">
        <v>34</v>
      </c>
      <c r="E1947" s="3">
        <v>-1772.516</v>
      </c>
      <c r="F1947" s="4" t="str">
        <f>HYPERLINK("http://141.218.60.56/~jnz1568/getInfo.php?workbook=18_08.xlsx&amp;sheet=A0&amp;row=1947&amp;col=6&amp;number=186.9&amp;sourceID=14","186.9")</f>
        <v>186.9</v>
      </c>
      <c r="G1947" s="4" t="str">
        <f>HYPERLINK("http://141.218.60.56/~jnz1568/getInfo.php?workbook=18_08.xlsx&amp;sheet=A0&amp;row=1947&amp;col=7&amp;number=0&amp;sourceID=14","0")</f>
        <v>0</v>
      </c>
    </row>
    <row r="1948" spans="1:7">
      <c r="A1948" s="3">
        <v>18</v>
      </c>
      <c r="B1948" s="3">
        <v>8</v>
      </c>
      <c r="C1948" s="3">
        <v>43</v>
      </c>
      <c r="D1948" s="3">
        <v>34</v>
      </c>
      <c r="E1948" s="3">
        <v>-2307.942</v>
      </c>
      <c r="F1948" s="4" t="str">
        <f>HYPERLINK("http://141.218.60.56/~jnz1568/getInfo.php?workbook=18_08.xlsx&amp;sheet=A0&amp;row=1948&amp;col=6&amp;number=78.31&amp;sourceID=14","78.31")</f>
        <v>78.31</v>
      </c>
      <c r="G1948" s="4" t="str">
        <f>HYPERLINK("http://141.218.60.56/~jnz1568/getInfo.php?workbook=18_08.xlsx&amp;sheet=A0&amp;row=1948&amp;col=7&amp;number=0&amp;sourceID=14","0")</f>
        <v>0</v>
      </c>
    </row>
    <row r="1949" spans="1:7">
      <c r="A1949" s="3">
        <v>18</v>
      </c>
      <c r="B1949" s="3">
        <v>8</v>
      </c>
      <c r="C1949" s="3">
        <v>44</v>
      </c>
      <c r="D1949" s="3">
        <v>34</v>
      </c>
      <c r="E1949" s="3">
        <v>-3813.756</v>
      </c>
      <c r="F1949" s="4" t="str">
        <f>HYPERLINK("http://141.218.60.56/~jnz1568/getInfo.php?workbook=18_08.xlsx&amp;sheet=A0&amp;row=1949&amp;col=6&amp;number=0.000859&amp;sourceID=14","0.000859")</f>
        <v>0.000859</v>
      </c>
      <c r="G1949" s="4" t="str">
        <f>HYPERLINK("http://141.218.60.56/~jnz1568/getInfo.php?workbook=18_08.xlsx&amp;sheet=A0&amp;row=1949&amp;col=7&amp;number=0&amp;sourceID=14","0")</f>
        <v>0</v>
      </c>
    </row>
    <row r="1950" spans="1:7">
      <c r="A1950" s="3">
        <v>18</v>
      </c>
      <c r="B1950" s="3">
        <v>8</v>
      </c>
      <c r="C1950" s="3">
        <v>45</v>
      </c>
      <c r="D1950" s="3">
        <v>34</v>
      </c>
      <c r="E1950" s="3">
        <v>-2416.22</v>
      </c>
      <c r="F1950" s="4" t="str">
        <f>HYPERLINK("http://141.218.60.56/~jnz1568/getInfo.php?workbook=18_08.xlsx&amp;sheet=A0&amp;row=1950&amp;col=6&amp;number=0.2768&amp;sourceID=14","0.2768")</f>
        <v>0.2768</v>
      </c>
      <c r="G1950" s="4" t="str">
        <f>HYPERLINK("http://141.218.60.56/~jnz1568/getInfo.php?workbook=18_08.xlsx&amp;sheet=A0&amp;row=1950&amp;col=7&amp;number=0&amp;sourceID=14","0")</f>
        <v>0</v>
      </c>
    </row>
    <row r="1951" spans="1:7">
      <c r="A1951" s="3">
        <v>18</v>
      </c>
      <c r="B1951" s="3">
        <v>8</v>
      </c>
      <c r="C1951" s="3">
        <v>46</v>
      </c>
      <c r="D1951" s="3">
        <v>34</v>
      </c>
      <c r="E1951" s="3">
        <v>-1914.556</v>
      </c>
      <c r="F1951" s="4" t="str">
        <f>HYPERLINK("http://141.218.60.56/~jnz1568/getInfo.php?workbook=18_08.xlsx&amp;sheet=A0&amp;row=1951&amp;col=6&amp;number=11.61&amp;sourceID=14","11.61")</f>
        <v>11.61</v>
      </c>
      <c r="G1951" s="4" t="str">
        <f>HYPERLINK("http://141.218.60.56/~jnz1568/getInfo.php?workbook=18_08.xlsx&amp;sheet=A0&amp;row=1951&amp;col=7&amp;number=0&amp;sourceID=14","0")</f>
        <v>0</v>
      </c>
    </row>
    <row r="1952" spans="1:7">
      <c r="A1952" s="3">
        <v>18</v>
      </c>
      <c r="B1952" s="3">
        <v>8</v>
      </c>
      <c r="C1952" s="3">
        <v>47</v>
      </c>
      <c r="D1952" s="3">
        <v>34</v>
      </c>
      <c r="E1952" s="3">
        <v>-2131.278</v>
      </c>
      <c r="F1952" s="4" t="str">
        <f>HYPERLINK("http://141.218.60.56/~jnz1568/getInfo.php?workbook=18_08.xlsx&amp;sheet=A0&amp;row=1952&amp;col=6&amp;number=139.3&amp;sourceID=14","139.3")</f>
        <v>139.3</v>
      </c>
      <c r="G1952" s="4" t="str">
        <f>HYPERLINK("http://141.218.60.56/~jnz1568/getInfo.php?workbook=18_08.xlsx&amp;sheet=A0&amp;row=1952&amp;col=7&amp;number=0&amp;sourceID=14","0")</f>
        <v>0</v>
      </c>
    </row>
    <row r="1953" spans="1:7">
      <c r="A1953" s="3">
        <v>18</v>
      </c>
      <c r="B1953" s="3">
        <v>8</v>
      </c>
      <c r="C1953" s="3">
        <v>48</v>
      </c>
      <c r="D1953" s="3">
        <v>34</v>
      </c>
      <c r="E1953" s="3">
        <v>-1770.878</v>
      </c>
      <c r="F1953" s="4" t="str">
        <f>HYPERLINK("http://141.218.60.56/~jnz1568/getInfo.php?workbook=18_08.xlsx&amp;sheet=A0&amp;row=1953&amp;col=6&amp;number=5.777&amp;sourceID=14","5.777")</f>
        <v>5.777</v>
      </c>
      <c r="G1953" s="4" t="str">
        <f>HYPERLINK("http://141.218.60.56/~jnz1568/getInfo.php?workbook=18_08.xlsx&amp;sheet=A0&amp;row=1953&amp;col=7&amp;number=0&amp;sourceID=14","0")</f>
        <v>0</v>
      </c>
    </row>
    <row r="1954" spans="1:7">
      <c r="A1954" s="3">
        <v>18</v>
      </c>
      <c r="B1954" s="3">
        <v>8</v>
      </c>
      <c r="C1954" s="3">
        <v>49</v>
      </c>
      <c r="D1954" s="3">
        <v>34</v>
      </c>
      <c r="E1954" s="3">
        <v>-1493.116</v>
      </c>
      <c r="F1954" s="4" t="str">
        <f>HYPERLINK("http://141.218.60.56/~jnz1568/getInfo.php?workbook=18_08.xlsx&amp;sheet=A0&amp;row=1954&amp;col=6&amp;number=3.822&amp;sourceID=14","3.822")</f>
        <v>3.822</v>
      </c>
      <c r="G1954" s="4" t="str">
        <f>HYPERLINK("http://141.218.60.56/~jnz1568/getInfo.php?workbook=18_08.xlsx&amp;sheet=A0&amp;row=1954&amp;col=7&amp;number=0&amp;sourceID=14","0")</f>
        <v>0</v>
      </c>
    </row>
    <row r="1955" spans="1:7">
      <c r="A1955" s="3">
        <v>18</v>
      </c>
      <c r="B1955" s="3">
        <v>8</v>
      </c>
      <c r="C1955" s="3">
        <v>50</v>
      </c>
      <c r="D1955" s="3">
        <v>34</v>
      </c>
      <c r="E1955" s="3">
        <v>-1431.124</v>
      </c>
      <c r="F1955" s="4" t="str">
        <f>HYPERLINK("http://141.218.60.56/~jnz1568/getInfo.php?workbook=18_08.xlsx&amp;sheet=A0&amp;row=1955&amp;col=6&amp;number=0.08428&amp;sourceID=14","0.08428")</f>
        <v>0.08428</v>
      </c>
      <c r="G1955" s="4" t="str">
        <f>HYPERLINK("http://141.218.60.56/~jnz1568/getInfo.php?workbook=18_08.xlsx&amp;sheet=A0&amp;row=1955&amp;col=7&amp;number=0&amp;sourceID=14","0")</f>
        <v>0</v>
      </c>
    </row>
    <row r="1956" spans="1:7">
      <c r="A1956" s="3">
        <v>18</v>
      </c>
      <c r="B1956" s="3">
        <v>8</v>
      </c>
      <c r="C1956" s="3">
        <v>51</v>
      </c>
      <c r="D1956" s="3">
        <v>34</v>
      </c>
      <c r="E1956" s="3">
        <v>-1080.213</v>
      </c>
      <c r="F1956" s="4" t="str">
        <f>HYPERLINK("http://141.218.60.56/~jnz1568/getInfo.php?workbook=18_08.xlsx&amp;sheet=A0&amp;row=1956&amp;col=6&amp;number=73710&amp;sourceID=14","73710")</f>
        <v>73710</v>
      </c>
      <c r="G1956" s="4" t="str">
        <f>HYPERLINK("http://141.218.60.56/~jnz1568/getInfo.php?workbook=18_08.xlsx&amp;sheet=A0&amp;row=1956&amp;col=7&amp;number=0&amp;sourceID=14","0")</f>
        <v>0</v>
      </c>
    </row>
    <row r="1957" spans="1:7">
      <c r="A1957" s="3">
        <v>18</v>
      </c>
      <c r="B1957" s="3">
        <v>8</v>
      </c>
      <c r="C1957" s="3">
        <v>52</v>
      </c>
      <c r="D1957" s="3">
        <v>34</v>
      </c>
      <c r="E1957" s="3">
        <v>-1068.773</v>
      </c>
      <c r="F1957" s="4" t="str">
        <f>HYPERLINK("http://141.218.60.56/~jnz1568/getInfo.php?workbook=18_08.xlsx&amp;sheet=A0&amp;row=1957&amp;col=6&amp;number=0.0002218&amp;sourceID=14","0.0002218")</f>
        <v>0.0002218</v>
      </c>
      <c r="G1957" s="4" t="str">
        <f>HYPERLINK("http://141.218.60.56/~jnz1568/getInfo.php?workbook=18_08.xlsx&amp;sheet=A0&amp;row=1957&amp;col=7&amp;number=0&amp;sourceID=14","0")</f>
        <v>0</v>
      </c>
    </row>
    <row r="1958" spans="1:7">
      <c r="A1958" s="3">
        <v>18</v>
      </c>
      <c r="B1958" s="3">
        <v>8</v>
      </c>
      <c r="C1958" s="3">
        <v>54</v>
      </c>
      <c r="D1958" s="3">
        <v>34</v>
      </c>
      <c r="E1958" s="3">
        <v>-1058.712</v>
      </c>
      <c r="F1958" s="4" t="str">
        <f>HYPERLINK("http://141.218.60.56/~jnz1568/getInfo.php?workbook=18_08.xlsx&amp;sheet=A0&amp;row=1958&amp;col=6&amp;number=383900&amp;sourceID=14","383900")</f>
        <v>383900</v>
      </c>
      <c r="G1958" s="4" t="str">
        <f>HYPERLINK("http://141.218.60.56/~jnz1568/getInfo.php?workbook=18_08.xlsx&amp;sheet=A0&amp;row=1958&amp;col=7&amp;number=0&amp;sourceID=14","0")</f>
        <v>0</v>
      </c>
    </row>
    <row r="1959" spans="1:7">
      <c r="A1959" s="3">
        <v>18</v>
      </c>
      <c r="B1959" s="3">
        <v>8</v>
      </c>
      <c r="C1959" s="3">
        <v>55</v>
      </c>
      <c r="D1959" s="3">
        <v>34</v>
      </c>
      <c r="E1959" s="3">
        <v>-991.253</v>
      </c>
      <c r="F1959" s="4" t="str">
        <f>HYPERLINK("http://141.218.60.56/~jnz1568/getInfo.php?workbook=18_08.xlsx&amp;sheet=A0&amp;row=1959&amp;col=6&amp;number=110.2&amp;sourceID=14","110.2")</f>
        <v>110.2</v>
      </c>
      <c r="G1959" s="4" t="str">
        <f>HYPERLINK("http://141.218.60.56/~jnz1568/getInfo.php?workbook=18_08.xlsx&amp;sheet=A0&amp;row=1959&amp;col=7&amp;number=0&amp;sourceID=14","0")</f>
        <v>0</v>
      </c>
    </row>
    <row r="1960" spans="1:7">
      <c r="A1960" s="3">
        <v>18</v>
      </c>
      <c r="B1960" s="3">
        <v>8</v>
      </c>
      <c r="C1960" s="3">
        <v>56</v>
      </c>
      <c r="D1960" s="3">
        <v>34</v>
      </c>
      <c r="E1960" s="3">
        <v>-671.825</v>
      </c>
      <c r="F1960" s="4" t="str">
        <f>HYPERLINK("http://141.218.60.56/~jnz1568/getInfo.php?workbook=18_08.xlsx&amp;sheet=A0&amp;row=1960&amp;col=6&amp;number=1689&amp;sourceID=14","1689")</f>
        <v>1689</v>
      </c>
      <c r="G1960" s="4" t="str">
        <f>HYPERLINK("http://141.218.60.56/~jnz1568/getInfo.php?workbook=18_08.xlsx&amp;sheet=A0&amp;row=1960&amp;col=7&amp;number=0&amp;sourceID=14","0")</f>
        <v>0</v>
      </c>
    </row>
    <row r="1961" spans="1:7">
      <c r="A1961" s="3">
        <v>18</v>
      </c>
      <c r="B1961" s="3">
        <v>8</v>
      </c>
      <c r="C1961" s="3">
        <v>57</v>
      </c>
      <c r="D1961" s="3">
        <v>34</v>
      </c>
      <c r="E1961" s="3">
        <v>-656.279</v>
      </c>
      <c r="F1961" s="4" t="str">
        <f>HYPERLINK("http://141.218.60.56/~jnz1568/getInfo.php?workbook=18_08.xlsx&amp;sheet=A0&amp;row=1961&amp;col=6&amp;number=606900&amp;sourceID=14","606900")</f>
        <v>606900</v>
      </c>
      <c r="G1961" s="4" t="str">
        <f>HYPERLINK("http://141.218.60.56/~jnz1568/getInfo.php?workbook=18_08.xlsx&amp;sheet=A0&amp;row=1961&amp;col=7&amp;number=0&amp;sourceID=14","0")</f>
        <v>0</v>
      </c>
    </row>
    <row r="1962" spans="1:7">
      <c r="A1962" s="3">
        <v>18</v>
      </c>
      <c r="B1962" s="3">
        <v>8</v>
      </c>
      <c r="C1962" s="3">
        <v>59</v>
      </c>
      <c r="D1962" s="3">
        <v>34</v>
      </c>
      <c r="E1962" s="3">
        <v>-638.952</v>
      </c>
      <c r="F1962" s="4" t="str">
        <f>HYPERLINK("http://141.218.60.56/~jnz1568/getInfo.php?workbook=18_08.xlsx&amp;sheet=A0&amp;row=1962&amp;col=6&amp;number=59780000&amp;sourceID=14","59780000")</f>
        <v>59780000</v>
      </c>
      <c r="G1962" s="4" t="str">
        <f>HYPERLINK("http://141.218.60.56/~jnz1568/getInfo.php?workbook=18_08.xlsx&amp;sheet=A0&amp;row=1962&amp;col=7&amp;number=0&amp;sourceID=14","0")</f>
        <v>0</v>
      </c>
    </row>
    <row r="1963" spans="1:7">
      <c r="A1963" s="3">
        <v>18</v>
      </c>
      <c r="B1963" s="3">
        <v>8</v>
      </c>
      <c r="C1963" s="3">
        <v>60</v>
      </c>
      <c r="D1963" s="3">
        <v>34</v>
      </c>
      <c r="E1963" s="3">
        <v>-611.703</v>
      </c>
      <c r="F1963" s="4" t="str">
        <f>HYPERLINK("http://141.218.60.56/~jnz1568/getInfo.php?workbook=18_08.xlsx&amp;sheet=A0&amp;row=1963&amp;col=6&amp;number=616900&amp;sourceID=14","616900")</f>
        <v>616900</v>
      </c>
      <c r="G1963" s="4" t="str">
        <f>HYPERLINK("http://141.218.60.56/~jnz1568/getInfo.php?workbook=18_08.xlsx&amp;sheet=A0&amp;row=1963&amp;col=7&amp;number=0&amp;sourceID=14","0")</f>
        <v>0</v>
      </c>
    </row>
    <row r="1964" spans="1:7">
      <c r="A1964" s="3">
        <v>18</v>
      </c>
      <c r="B1964" s="3">
        <v>8</v>
      </c>
      <c r="C1964" s="3">
        <v>61</v>
      </c>
      <c r="D1964" s="3">
        <v>34</v>
      </c>
      <c r="E1964" s="3">
        <v>-605.761</v>
      </c>
      <c r="F1964" s="4" t="str">
        <f>HYPERLINK("http://141.218.60.56/~jnz1568/getInfo.php?workbook=18_08.xlsx&amp;sheet=A0&amp;row=1964&amp;col=6&amp;number=26710000&amp;sourceID=14","26710000")</f>
        <v>26710000</v>
      </c>
      <c r="G1964" s="4" t="str">
        <f>HYPERLINK("http://141.218.60.56/~jnz1568/getInfo.php?workbook=18_08.xlsx&amp;sheet=A0&amp;row=1964&amp;col=7&amp;number=0&amp;sourceID=14","0")</f>
        <v>0</v>
      </c>
    </row>
    <row r="1965" spans="1:7">
      <c r="A1965" s="3">
        <v>18</v>
      </c>
      <c r="B1965" s="3">
        <v>8</v>
      </c>
      <c r="C1965" s="3">
        <v>62</v>
      </c>
      <c r="D1965" s="3">
        <v>34</v>
      </c>
      <c r="E1965" s="3">
        <v>-598.468</v>
      </c>
      <c r="F1965" s="4" t="str">
        <f>HYPERLINK("http://141.218.60.56/~jnz1568/getInfo.php?workbook=18_08.xlsx&amp;sheet=A0&amp;row=1965&amp;col=6&amp;number=0.4321&amp;sourceID=14","0.4321")</f>
        <v>0.4321</v>
      </c>
      <c r="G1965" s="4" t="str">
        <f>HYPERLINK("http://141.218.60.56/~jnz1568/getInfo.php?workbook=18_08.xlsx&amp;sheet=A0&amp;row=1965&amp;col=7&amp;number=0&amp;sourceID=14","0")</f>
        <v>0</v>
      </c>
    </row>
    <row r="1966" spans="1:7">
      <c r="A1966" s="3">
        <v>18</v>
      </c>
      <c r="B1966" s="3">
        <v>8</v>
      </c>
      <c r="C1966" s="3">
        <v>63</v>
      </c>
      <c r="D1966" s="3">
        <v>34</v>
      </c>
      <c r="E1966" s="3">
        <v>-587.361</v>
      </c>
      <c r="F1966" s="4" t="str">
        <f>HYPERLINK("http://141.218.60.56/~jnz1568/getInfo.php?workbook=18_08.xlsx&amp;sheet=A0&amp;row=1966&amp;col=6&amp;number=2842000000&amp;sourceID=14","2842000000")</f>
        <v>2842000000</v>
      </c>
      <c r="G1966" s="4" t="str">
        <f>HYPERLINK("http://141.218.60.56/~jnz1568/getInfo.php?workbook=18_08.xlsx&amp;sheet=A0&amp;row=1966&amp;col=7&amp;number=0&amp;sourceID=14","0")</f>
        <v>0</v>
      </c>
    </row>
    <row r="1967" spans="1:7">
      <c r="A1967" s="3">
        <v>18</v>
      </c>
      <c r="B1967" s="3">
        <v>8</v>
      </c>
      <c r="C1967" s="3">
        <v>64</v>
      </c>
      <c r="D1967" s="3">
        <v>34</v>
      </c>
      <c r="E1967" s="3">
        <v>-550.701</v>
      </c>
      <c r="F1967" s="4" t="str">
        <f>HYPERLINK("http://141.218.60.56/~jnz1568/getInfo.php?workbook=18_08.xlsx&amp;sheet=A0&amp;row=1967&amp;col=6&amp;number=0.007319&amp;sourceID=14","0.007319")</f>
        <v>0.007319</v>
      </c>
      <c r="G1967" s="4" t="str">
        <f>HYPERLINK("http://141.218.60.56/~jnz1568/getInfo.php?workbook=18_08.xlsx&amp;sheet=A0&amp;row=1967&amp;col=7&amp;number=0&amp;sourceID=14","0")</f>
        <v>0</v>
      </c>
    </row>
    <row r="1968" spans="1:7">
      <c r="A1968" s="3">
        <v>18</v>
      </c>
      <c r="B1968" s="3">
        <v>8</v>
      </c>
      <c r="C1968" s="3">
        <v>66</v>
      </c>
      <c r="D1968" s="3">
        <v>34</v>
      </c>
      <c r="E1968" s="3">
        <v>-556.308</v>
      </c>
      <c r="F1968" s="4" t="str">
        <f>HYPERLINK("http://141.218.60.56/~jnz1568/getInfo.php?workbook=18_08.xlsx&amp;sheet=A0&amp;row=1968&amp;col=6&amp;number=619400&amp;sourceID=14","619400")</f>
        <v>619400</v>
      </c>
      <c r="G1968" s="4" t="str">
        <f>HYPERLINK("http://141.218.60.56/~jnz1568/getInfo.php?workbook=18_08.xlsx&amp;sheet=A0&amp;row=1968&amp;col=7&amp;number=0&amp;sourceID=14","0")</f>
        <v>0</v>
      </c>
    </row>
    <row r="1969" spans="1:7">
      <c r="A1969" s="3">
        <v>18</v>
      </c>
      <c r="B1969" s="3">
        <v>8</v>
      </c>
      <c r="C1969" s="3">
        <v>67</v>
      </c>
      <c r="D1969" s="3">
        <v>34</v>
      </c>
      <c r="E1969" s="3">
        <v>-580.742</v>
      </c>
      <c r="F1969" s="4" t="str">
        <f>HYPERLINK("http://141.218.60.56/~jnz1568/getInfo.php?workbook=18_08.xlsx&amp;sheet=A0&amp;row=1969&amp;col=6&amp;number=0.06819&amp;sourceID=14","0.06819")</f>
        <v>0.06819</v>
      </c>
      <c r="G1969" s="4" t="str">
        <f>HYPERLINK("http://141.218.60.56/~jnz1568/getInfo.php?workbook=18_08.xlsx&amp;sheet=A0&amp;row=1969&amp;col=7&amp;number=0&amp;sourceID=14","0")</f>
        <v>0</v>
      </c>
    </row>
    <row r="1970" spans="1:7">
      <c r="A1970" s="3">
        <v>18</v>
      </c>
      <c r="B1970" s="3">
        <v>8</v>
      </c>
      <c r="C1970" s="3">
        <v>68</v>
      </c>
      <c r="D1970" s="3">
        <v>34</v>
      </c>
      <c r="E1970" s="3">
        <v>-548.246</v>
      </c>
      <c r="F1970" s="4" t="str">
        <f>HYPERLINK("http://141.218.60.56/~jnz1568/getInfo.php?workbook=18_08.xlsx&amp;sheet=A0&amp;row=1970&amp;col=6&amp;number=295100&amp;sourceID=14","295100")</f>
        <v>295100</v>
      </c>
      <c r="G1970" s="4" t="str">
        <f>HYPERLINK("http://141.218.60.56/~jnz1568/getInfo.php?workbook=18_08.xlsx&amp;sheet=A0&amp;row=1970&amp;col=7&amp;number=0&amp;sourceID=14","0")</f>
        <v>0</v>
      </c>
    </row>
    <row r="1971" spans="1:7">
      <c r="A1971" s="3">
        <v>18</v>
      </c>
      <c r="B1971" s="3">
        <v>8</v>
      </c>
      <c r="C1971" s="3">
        <v>69</v>
      </c>
      <c r="D1971" s="3">
        <v>34</v>
      </c>
      <c r="E1971" s="3">
        <v>-526.248</v>
      </c>
      <c r="F1971" s="4" t="str">
        <f>HYPERLINK("http://141.218.60.56/~jnz1568/getInfo.php?workbook=18_08.xlsx&amp;sheet=A0&amp;row=1971&amp;col=6&amp;number=65650&amp;sourceID=14","65650")</f>
        <v>65650</v>
      </c>
      <c r="G1971" s="4" t="str">
        <f>HYPERLINK("http://141.218.60.56/~jnz1568/getInfo.php?workbook=18_08.xlsx&amp;sheet=A0&amp;row=1971&amp;col=7&amp;number=0&amp;sourceID=14","0")</f>
        <v>0</v>
      </c>
    </row>
    <row r="1972" spans="1:7">
      <c r="A1972" s="3">
        <v>18</v>
      </c>
      <c r="B1972" s="3">
        <v>8</v>
      </c>
      <c r="C1972" s="3">
        <v>71</v>
      </c>
      <c r="D1972" s="3">
        <v>34</v>
      </c>
      <c r="E1972" s="3">
        <v>-513.544</v>
      </c>
      <c r="F1972" s="4" t="str">
        <f>HYPERLINK("http://141.218.60.56/~jnz1568/getInfo.php?workbook=18_08.xlsx&amp;sheet=A0&amp;row=1972&amp;col=6&amp;number=0.0001635&amp;sourceID=14","0.0001635")</f>
        <v>0.0001635</v>
      </c>
      <c r="G1972" s="4" t="str">
        <f>HYPERLINK("http://141.218.60.56/~jnz1568/getInfo.php?workbook=18_08.xlsx&amp;sheet=A0&amp;row=1972&amp;col=7&amp;number=0&amp;sourceID=14","0")</f>
        <v>0</v>
      </c>
    </row>
    <row r="1973" spans="1:7">
      <c r="A1973" s="3">
        <v>18</v>
      </c>
      <c r="B1973" s="3">
        <v>8</v>
      </c>
      <c r="C1973" s="3">
        <v>72</v>
      </c>
      <c r="D1973" s="3">
        <v>34</v>
      </c>
      <c r="E1973" s="3">
        <v>-531.987</v>
      </c>
      <c r="F1973" s="4" t="str">
        <f>HYPERLINK("http://141.218.60.56/~jnz1568/getInfo.php?workbook=18_08.xlsx&amp;sheet=A0&amp;row=1973&amp;col=6&amp;number=127900000&amp;sourceID=14","127900000")</f>
        <v>127900000</v>
      </c>
      <c r="G1973" s="4" t="str">
        <f>HYPERLINK("http://141.218.60.56/~jnz1568/getInfo.php?workbook=18_08.xlsx&amp;sheet=A0&amp;row=1973&amp;col=7&amp;number=0&amp;sourceID=14","0")</f>
        <v>0</v>
      </c>
    </row>
    <row r="1974" spans="1:7">
      <c r="A1974" s="3">
        <v>18</v>
      </c>
      <c r="B1974" s="3">
        <v>8</v>
      </c>
      <c r="C1974" s="3">
        <v>73</v>
      </c>
      <c r="D1974" s="3">
        <v>34</v>
      </c>
      <c r="E1974" s="3">
        <v>-501.793</v>
      </c>
      <c r="F1974" s="4" t="str">
        <f>HYPERLINK("http://141.218.60.56/~jnz1568/getInfo.php?workbook=18_08.xlsx&amp;sheet=A0&amp;row=1974&amp;col=6&amp;number=9.681e-05&amp;sourceID=14","9.681e-05")</f>
        <v>9.681e-05</v>
      </c>
      <c r="G1974" s="4" t="str">
        <f>HYPERLINK("http://141.218.60.56/~jnz1568/getInfo.php?workbook=18_08.xlsx&amp;sheet=A0&amp;row=1974&amp;col=7&amp;number=0&amp;sourceID=14","0")</f>
        <v>0</v>
      </c>
    </row>
    <row r="1975" spans="1:7">
      <c r="A1975" s="3">
        <v>18</v>
      </c>
      <c r="B1975" s="3">
        <v>8</v>
      </c>
      <c r="C1975" s="3">
        <v>74</v>
      </c>
      <c r="D1975" s="3">
        <v>34</v>
      </c>
      <c r="E1975" s="3">
        <v>-467.943</v>
      </c>
      <c r="F1975" s="4" t="str">
        <f>HYPERLINK("http://141.218.60.56/~jnz1568/getInfo.php?workbook=18_08.xlsx&amp;sheet=A0&amp;row=1975&amp;col=6&amp;number=1001000000&amp;sourceID=14","1001000000")</f>
        <v>1001000000</v>
      </c>
      <c r="G1975" s="4" t="str">
        <f>HYPERLINK("http://141.218.60.56/~jnz1568/getInfo.php?workbook=18_08.xlsx&amp;sheet=A0&amp;row=1975&amp;col=7&amp;number=0&amp;sourceID=14","0")</f>
        <v>0</v>
      </c>
    </row>
    <row r="1976" spans="1:7">
      <c r="A1976" s="3">
        <v>18</v>
      </c>
      <c r="B1976" s="3">
        <v>8</v>
      </c>
      <c r="C1976" s="3">
        <v>75</v>
      </c>
      <c r="D1976" s="3">
        <v>34</v>
      </c>
      <c r="E1976" s="3">
        <v>-460.508</v>
      </c>
      <c r="F1976" s="4" t="str">
        <f>HYPERLINK("http://141.218.60.56/~jnz1568/getInfo.php?workbook=18_08.xlsx&amp;sheet=A0&amp;row=1976&amp;col=6&amp;number=16590000&amp;sourceID=14","16590000")</f>
        <v>16590000</v>
      </c>
      <c r="G1976" s="4" t="str">
        <f>HYPERLINK("http://141.218.60.56/~jnz1568/getInfo.php?workbook=18_08.xlsx&amp;sheet=A0&amp;row=1976&amp;col=7&amp;number=0&amp;sourceID=14","0")</f>
        <v>0</v>
      </c>
    </row>
    <row r="1977" spans="1:7">
      <c r="A1977" s="3">
        <v>18</v>
      </c>
      <c r="B1977" s="3">
        <v>8</v>
      </c>
      <c r="C1977" s="3">
        <v>76</v>
      </c>
      <c r="D1977" s="3">
        <v>34</v>
      </c>
      <c r="E1977" s="3">
        <v>-459.977</v>
      </c>
      <c r="F1977" s="4" t="str">
        <f>HYPERLINK("http://141.218.60.56/~jnz1568/getInfo.php?workbook=18_08.xlsx&amp;sheet=A0&amp;row=1977&amp;col=6&amp;number=388700&amp;sourceID=14","388700")</f>
        <v>388700</v>
      </c>
      <c r="G1977" s="4" t="str">
        <f>HYPERLINK("http://141.218.60.56/~jnz1568/getInfo.php?workbook=18_08.xlsx&amp;sheet=A0&amp;row=1977&amp;col=7&amp;number=0&amp;sourceID=14","0")</f>
        <v>0</v>
      </c>
    </row>
    <row r="1978" spans="1:7">
      <c r="A1978" s="3">
        <v>18</v>
      </c>
      <c r="B1978" s="3">
        <v>8</v>
      </c>
      <c r="C1978" s="3">
        <v>77</v>
      </c>
      <c r="D1978" s="3">
        <v>34</v>
      </c>
      <c r="E1978" s="3">
        <v>-455.71</v>
      </c>
      <c r="F1978" s="4" t="str">
        <f>HYPERLINK("http://141.218.60.56/~jnz1568/getInfo.php?workbook=18_08.xlsx&amp;sheet=A0&amp;row=1978&amp;col=6&amp;number=680700000&amp;sourceID=14","680700000")</f>
        <v>680700000</v>
      </c>
      <c r="G1978" s="4" t="str">
        <f>HYPERLINK("http://141.218.60.56/~jnz1568/getInfo.php?workbook=18_08.xlsx&amp;sheet=A0&amp;row=1978&amp;col=7&amp;number=0&amp;sourceID=14","0")</f>
        <v>0</v>
      </c>
    </row>
    <row r="1979" spans="1:7">
      <c r="A1979" s="3">
        <v>18</v>
      </c>
      <c r="B1979" s="3">
        <v>8</v>
      </c>
      <c r="C1979" s="3">
        <v>79</v>
      </c>
      <c r="D1979" s="3">
        <v>34</v>
      </c>
      <c r="E1979" s="3">
        <v>-452.569</v>
      </c>
      <c r="F1979" s="4" t="str">
        <f>HYPERLINK("http://141.218.60.56/~jnz1568/getInfo.php?workbook=18_08.xlsx&amp;sheet=A0&amp;row=1979&amp;col=6&amp;number=5.682e-05&amp;sourceID=14","5.682e-05")</f>
        <v>5.682e-05</v>
      </c>
      <c r="G1979" s="4" t="str">
        <f>HYPERLINK("http://141.218.60.56/~jnz1568/getInfo.php?workbook=18_08.xlsx&amp;sheet=A0&amp;row=1979&amp;col=7&amp;number=0&amp;sourceID=14","0")</f>
        <v>0</v>
      </c>
    </row>
    <row r="1980" spans="1:7">
      <c r="A1980" s="3">
        <v>18</v>
      </c>
      <c r="B1980" s="3">
        <v>8</v>
      </c>
      <c r="C1980" s="3">
        <v>80</v>
      </c>
      <c r="D1980" s="3">
        <v>34</v>
      </c>
      <c r="E1980" s="3">
        <v>-448.636</v>
      </c>
      <c r="F1980" s="4" t="str">
        <f>HYPERLINK("http://141.218.60.56/~jnz1568/getInfo.php?workbook=18_08.xlsx&amp;sheet=A0&amp;row=1980&amp;col=6&amp;number=2566000&amp;sourceID=14","2566000")</f>
        <v>2566000</v>
      </c>
      <c r="G1980" s="4" t="str">
        <f>HYPERLINK("http://141.218.60.56/~jnz1568/getInfo.php?workbook=18_08.xlsx&amp;sheet=A0&amp;row=1980&amp;col=7&amp;number=0&amp;sourceID=14","0")</f>
        <v>0</v>
      </c>
    </row>
    <row r="1981" spans="1:7">
      <c r="A1981" s="3">
        <v>18</v>
      </c>
      <c r="B1981" s="3">
        <v>8</v>
      </c>
      <c r="C1981" s="3">
        <v>81</v>
      </c>
      <c r="D1981" s="3">
        <v>34</v>
      </c>
      <c r="E1981" s="3">
        <v>-428.766</v>
      </c>
      <c r="F1981" s="4" t="str">
        <f>HYPERLINK("http://141.218.60.56/~jnz1568/getInfo.php?workbook=18_08.xlsx&amp;sheet=A0&amp;row=1981&amp;col=6&amp;number=106000000&amp;sourceID=14","106000000")</f>
        <v>106000000</v>
      </c>
      <c r="G1981" s="4" t="str">
        <f>HYPERLINK("http://141.218.60.56/~jnz1568/getInfo.php?workbook=18_08.xlsx&amp;sheet=A0&amp;row=1981&amp;col=7&amp;number=0&amp;sourceID=14","0")</f>
        <v>0</v>
      </c>
    </row>
    <row r="1982" spans="1:7">
      <c r="A1982" s="3">
        <v>18</v>
      </c>
      <c r="B1982" s="3">
        <v>8</v>
      </c>
      <c r="C1982" s="3">
        <v>82</v>
      </c>
      <c r="D1982" s="3">
        <v>34</v>
      </c>
      <c r="E1982" s="3">
        <v>-422.837</v>
      </c>
      <c r="F1982" s="4" t="str">
        <f>HYPERLINK("http://141.218.60.56/~jnz1568/getInfo.php?workbook=18_08.xlsx&amp;sheet=A0&amp;row=1982&amp;col=6&amp;number=43260000&amp;sourceID=14","43260000")</f>
        <v>43260000</v>
      </c>
      <c r="G1982" s="4" t="str">
        <f>HYPERLINK("http://141.218.60.56/~jnz1568/getInfo.php?workbook=18_08.xlsx&amp;sheet=A0&amp;row=1982&amp;col=7&amp;number=0&amp;sourceID=14","0")</f>
        <v>0</v>
      </c>
    </row>
    <row r="1983" spans="1:7">
      <c r="A1983" s="3">
        <v>18</v>
      </c>
      <c r="B1983" s="3">
        <v>8</v>
      </c>
      <c r="C1983" s="3">
        <v>83</v>
      </c>
      <c r="D1983" s="3">
        <v>34</v>
      </c>
      <c r="E1983" s="3">
        <v>-422.455</v>
      </c>
      <c r="F1983" s="4" t="str">
        <f>HYPERLINK("http://141.218.60.56/~jnz1568/getInfo.php?workbook=18_08.xlsx&amp;sheet=A0&amp;row=1983&amp;col=6&amp;number=0.01112&amp;sourceID=14","0.01112")</f>
        <v>0.01112</v>
      </c>
      <c r="G1983" s="4" t="str">
        <f>HYPERLINK("http://141.218.60.56/~jnz1568/getInfo.php?workbook=18_08.xlsx&amp;sheet=A0&amp;row=1983&amp;col=7&amp;number=0&amp;sourceID=14","0")</f>
        <v>0</v>
      </c>
    </row>
    <row r="1984" spans="1:7">
      <c r="A1984" s="3">
        <v>18</v>
      </c>
      <c r="B1984" s="3">
        <v>8</v>
      </c>
      <c r="C1984" s="3">
        <v>84</v>
      </c>
      <c r="D1984" s="3">
        <v>34</v>
      </c>
      <c r="E1984" s="3">
        <v>-400.867</v>
      </c>
      <c r="F1984" s="4" t="str">
        <f>HYPERLINK("http://141.218.60.56/~jnz1568/getInfo.php?workbook=18_08.xlsx&amp;sheet=A0&amp;row=1984&amp;col=6&amp;number=441300000&amp;sourceID=14","441300000")</f>
        <v>441300000</v>
      </c>
      <c r="G1984" s="4" t="str">
        <f>HYPERLINK("http://141.218.60.56/~jnz1568/getInfo.php?workbook=18_08.xlsx&amp;sheet=A0&amp;row=1984&amp;col=7&amp;number=0&amp;sourceID=14","0")</f>
        <v>0</v>
      </c>
    </row>
    <row r="1985" spans="1:7">
      <c r="A1985" s="3">
        <v>18</v>
      </c>
      <c r="B1985" s="3">
        <v>8</v>
      </c>
      <c r="C1985" s="3">
        <v>85</v>
      </c>
      <c r="D1985" s="3">
        <v>34</v>
      </c>
      <c r="E1985" s="3">
        <v>-395.082</v>
      </c>
      <c r="F1985" s="4" t="str">
        <f>HYPERLINK("http://141.218.60.56/~jnz1568/getInfo.php?workbook=18_08.xlsx&amp;sheet=A0&amp;row=1985&amp;col=6&amp;number=389800000&amp;sourceID=14","389800000")</f>
        <v>389800000</v>
      </c>
      <c r="G1985" s="4" t="str">
        <f>HYPERLINK("http://141.218.60.56/~jnz1568/getInfo.php?workbook=18_08.xlsx&amp;sheet=A0&amp;row=1985&amp;col=7&amp;number=0&amp;sourceID=14","0")</f>
        <v>0</v>
      </c>
    </row>
    <row r="1986" spans="1:7">
      <c r="A1986" s="3">
        <v>18</v>
      </c>
      <c r="B1986" s="3">
        <v>8</v>
      </c>
      <c r="C1986" s="3">
        <v>86</v>
      </c>
      <c r="D1986" s="3">
        <v>34</v>
      </c>
      <c r="E1986" s="3">
        <v>-351.995</v>
      </c>
      <c r="F1986" s="4" t="str">
        <f>HYPERLINK("http://141.218.60.56/~jnz1568/getInfo.php?workbook=18_08.xlsx&amp;sheet=A0&amp;row=1986&amp;col=6&amp;number=0.02186&amp;sourceID=14","0.02186")</f>
        <v>0.02186</v>
      </c>
      <c r="G1986" s="4" t="str">
        <f>HYPERLINK("http://141.218.60.56/~jnz1568/getInfo.php?workbook=18_08.xlsx&amp;sheet=A0&amp;row=1986&amp;col=7&amp;number=0&amp;sourceID=14","0")</f>
        <v>0</v>
      </c>
    </row>
    <row r="1987" spans="1:7">
      <c r="A1987" s="3">
        <v>18</v>
      </c>
      <c r="B1987" s="3">
        <v>8</v>
      </c>
      <c r="C1987" s="3">
        <v>36</v>
      </c>
      <c r="D1987" s="3">
        <v>35</v>
      </c>
      <c r="E1987" s="3">
        <v>-10224.134</v>
      </c>
      <c r="F1987" s="4" t="str">
        <f>HYPERLINK("http://141.218.60.56/~jnz1568/getInfo.php?workbook=18_08.xlsx&amp;sheet=A0&amp;row=1987&amp;col=6&amp;number=10.87&amp;sourceID=14","10.87")</f>
        <v>10.87</v>
      </c>
      <c r="G1987" s="4" t="str">
        <f>HYPERLINK("http://141.218.60.56/~jnz1568/getInfo.php?workbook=18_08.xlsx&amp;sheet=A0&amp;row=1987&amp;col=7&amp;number=0&amp;sourceID=14","0")</f>
        <v>0</v>
      </c>
    </row>
    <row r="1988" spans="1:7">
      <c r="A1988" s="3">
        <v>18</v>
      </c>
      <c r="B1988" s="3">
        <v>8</v>
      </c>
      <c r="C1988" s="3">
        <v>37</v>
      </c>
      <c r="D1988" s="3">
        <v>35</v>
      </c>
      <c r="E1988" s="3">
        <v>-14733.345</v>
      </c>
      <c r="F1988" s="4" t="str">
        <f>HYPERLINK("http://141.218.60.56/~jnz1568/getInfo.php?workbook=18_08.xlsx&amp;sheet=A0&amp;row=1988&amp;col=6&amp;number=4.741e-06&amp;sourceID=14","4.741e-06")</f>
        <v>4.741e-06</v>
      </c>
      <c r="G1988" s="4" t="str">
        <f>HYPERLINK("http://141.218.60.56/~jnz1568/getInfo.php?workbook=18_08.xlsx&amp;sheet=A0&amp;row=1988&amp;col=7&amp;number=0&amp;sourceID=14","0")</f>
        <v>0</v>
      </c>
    </row>
    <row r="1989" spans="1:7">
      <c r="A1989" s="3">
        <v>18</v>
      </c>
      <c r="B1989" s="3">
        <v>8</v>
      </c>
      <c r="C1989" s="3">
        <v>39</v>
      </c>
      <c r="D1989" s="3">
        <v>35</v>
      </c>
      <c r="E1989" s="3">
        <v>-4477.794</v>
      </c>
      <c r="F1989" s="4" t="str">
        <f>HYPERLINK("http://141.218.60.56/~jnz1568/getInfo.php?workbook=18_08.xlsx&amp;sheet=A0&amp;row=1989&amp;col=6&amp;number=174.4&amp;sourceID=14","174.4")</f>
        <v>174.4</v>
      </c>
      <c r="G1989" s="4" t="str">
        <f>HYPERLINK("http://141.218.60.56/~jnz1568/getInfo.php?workbook=18_08.xlsx&amp;sheet=A0&amp;row=1989&amp;col=7&amp;number=0&amp;sourceID=14","0")</f>
        <v>0</v>
      </c>
    </row>
    <row r="1990" spans="1:7">
      <c r="A1990" s="3">
        <v>18</v>
      </c>
      <c r="B1990" s="3">
        <v>8</v>
      </c>
      <c r="C1990" s="3">
        <v>40</v>
      </c>
      <c r="D1990" s="3">
        <v>35</v>
      </c>
      <c r="E1990" s="3">
        <v>-4445.175</v>
      </c>
      <c r="F1990" s="4" t="str">
        <f>HYPERLINK("http://141.218.60.56/~jnz1568/getInfo.php?workbook=18_08.xlsx&amp;sheet=A0&amp;row=1990&amp;col=6&amp;number=2.909e-07&amp;sourceID=14","2.909e-07")</f>
        <v>2.909e-07</v>
      </c>
      <c r="G1990" s="4" t="str">
        <f>HYPERLINK("http://141.218.60.56/~jnz1568/getInfo.php?workbook=18_08.xlsx&amp;sheet=A0&amp;row=1990&amp;col=7&amp;number=0&amp;sourceID=14","0")</f>
        <v>0</v>
      </c>
    </row>
    <row r="1991" spans="1:7">
      <c r="A1991" s="3">
        <v>18</v>
      </c>
      <c r="B1991" s="3">
        <v>8</v>
      </c>
      <c r="C1991" s="3">
        <v>43</v>
      </c>
      <c r="D1991" s="3">
        <v>35</v>
      </c>
      <c r="E1991" s="3">
        <v>-9964.44</v>
      </c>
      <c r="F1991" s="4" t="str">
        <f>HYPERLINK("http://141.218.60.56/~jnz1568/getInfo.php?workbook=18_08.xlsx&amp;sheet=A0&amp;row=1991&amp;col=6&amp;number=9.231e-05&amp;sourceID=14","9.231e-05")</f>
        <v>9.231e-05</v>
      </c>
      <c r="G1991" s="4" t="str">
        <f>HYPERLINK("http://141.218.60.56/~jnz1568/getInfo.php?workbook=18_08.xlsx&amp;sheet=A0&amp;row=1991&amp;col=7&amp;number=0&amp;sourceID=14","0")</f>
        <v>0</v>
      </c>
    </row>
    <row r="1992" spans="1:7">
      <c r="A1992" s="3">
        <v>18</v>
      </c>
      <c r="B1992" s="3">
        <v>8</v>
      </c>
      <c r="C1992" s="3">
        <v>45</v>
      </c>
      <c r="D1992" s="3">
        <v>35</v>
      </c>
      <c r="E1992" s="3">
        <v>-12354.831</v>
      </c>
      <c r="F1992" s="4" t="str">
        <f>HYPERLINK("http://141.218.60.56/~jnz1568/getInfo.php?workbook=18_08.xlsx&amp;sheet=A0&amp;row=1992&amp;col=6&amp;number=0.02368&amp;sourceID=14","0.02368")</f>
        <v>0.02368</v>
      </c>
      <c r="G1992" s="4" t="str">
        <f>HYPERLINK("http://141.218.60.56/~jnz1568/getInfo.php?workbook=18_08.xlsx&amp;sheet=A0&amp;row=1992&amp;col=7&amp;number=0&amp;sourceID=14","0")</f>
        <v>0</v>
      </c>
    </row>
    <row r="1993" spans="1:7">
      <c r="A1993" s="3">
        <v>18</v>
      </c>
      <c r="B1993" s="3">
        <v>8</v>
      </c>
      <c r="C1993" s="3">
        <v>46</v>
      </c>
      <c r="D1993" s="3">
        <v>35</v>
      </c>
      <c r="E1993" s="3">
        <v>-5280.258</v>
      </c>
      <c r="F1993" s="4" t="str">
        <f>HYPERLINK("http://141.218.60.56/~jnz1568/getInfo.php?workbook=18_08.xlsx&amp;sheet=A0&amp;row=1993&amp;col=6&amp;number=0.003069&amp;sourceID=14","0.003069")</f>
        <v>0.003069</v>
      </c>
      <c r="G1993" s="4" t="str">
        <f>HYPERLINK("http://141.218.60.56/~jnz1568/getInfo.php?workbook=18_08.xlsx&amp;sheet=A0&amp;row=1993&amp;col=7&amp;number=0&amp;sourceID=14","0")</f>
        <v>0</v>
      </c>
    </row>
    <row r="1994" spans="1:7">
      <c r="A1994" s="3">
        <v>18</v>
      </c>
      <c r="B1994" s="3">
        <v>8</v>
      </c>
      <c r="C1994" s="3">
        <v>48</v>
      </c>
      <c r="D1994" s="3">
        <v>35</v>
      </c>
      <c r="E1994" s="3">
        <v>-4314.772</v>
      </c>
      <c r="F1994" s="4" t="str">
        <f>HYPERLINK("http://141.218.60.56/~jnz1568/getInfo.php?workbook=18_08.xlsx&amp;sheet=A0&amp;row=1994&amp;col=6&amp;number=7.409&amp;sourceID=14","7.409")</f>
        <v>7.409</v>
      </c>
      <c r="G1994" s="4" t="str">
        <f>HYPERLINK("http://141.218.60.56/~jnz1568/getInfo.php?workbook=18_08.xlsx&amp;sheet=A0&amp;row=1994&amp;col=7&amp;number=0&amp;sourceID=14","0")</f>
        <v>0</v>
      </c>
    </row>
    <row r="1995" spans="1:7">
      <c r="A1995" s="3">
        <v>18</v>
      </c>
      <c r="B1995" s="3">
        <v>8</v>
      </c>
      <c r="C1995" s="3">
        <v>49</v>
      </c>
      <c r="D1995" s="3">
        <v>35</v>
      </c>
      <c r="E1995" s="3">
        <v>-2969.028</v>
      </c>
      <c r="F1995" s="4" t="str">
        <f>HYPERLINK("http://141.218.60.56/~jnz1568/getInfo.php?workbook=18_08.xlsx&amp;sheet=A0&amp;row=1995&amp;col=6&amp;number=0.01912&amp;sourceID=14","0.01912")</f>
        <v>0.01912</v>
      </c>
      <c r="G1995" s="4" t="str">
        <f>HYPERLINK("http://141.218.60.56/~jnz1568/getInfo.php?workbook=18_08.xlsx&amp;sheet=A0&amp;row=1995&amp;col=7&amp;number=0&amp;sourceID=14","0")</f>
        <v>0</v>
      </c>
    </row>
    <row r="1996" spans="1:7">
      <c r="A1996" s="3">
        <v>18</v>
      </c>
      <c r="B1996" s="3">
        <v>8</v>
      </c>
      <c r="C1996" s="3">
        <v>50</v>
      </c>
      <c r="D1996" s="3">
        <v>35</v>
      </c>
      <c r="E1996" s="3">
        <v>-2733.569</v>
      </c>
      <c r="F1996" s="4" t="str">
        <f>HYPERLINK("http://141.218.60.56/~jnz1568/getInfo.php?workbook=18_08.xlsx&amp;sheet=A0&amp;row=1996&amp;col=6&amp;number=10.84&amp;sourceID=14","10.84")</f>
        <v>10.84</v>
      </c>
      <c r="G1996" s="4" t="str">
        <f>HYPERLINK("http://141.218.60.56/~jnz1568/getInfo.php?workbook=18_08.xlsx&amp;sheet=A0&amp;row=1996&amp;col=7&amp;number=0&amp;sourceID=14","0")</f>
        <v>0</v>
      </c>
    </row>
    <row r="1997" spans="1:7">
      <c r="A1997" s="3">
        <v>18</v>
      </c>
      <c r="B1997" s="3">
        <v>8</v>
      </c>
      <c r="C1997" s="3">
        <v>51</v>
      </c>
      <c r="D1997" s="3">
        <v>35</v>
      </c>
      <c r="E1997" s="3">
        <v>-1686.87</v>
      </c>
      <c r="F1997" s="4" t="str">
        <f>HYPERLINK("http://141.218.60.56/~jnz1568/getInfo.php?workbook=18_08.xlsx&amp;sheet=A0&amp;row=1997&amp;col=6&amp;number=6.019e-06&amp;sourceID=14","6.019e-06")</f>
        <v>6.019e-06</v>
      </c>
      <c r="G1997" s="4" t="str">
        <f>HYPERLINK("http://141.218.60.56/~jnz1568/getInfo.php?workbook=18_08.xlsx&amp;sheet=A0&amp;row=1997&amp;col=7&amp;number=0&amp;sourceID=14","0")</f>
        <v>0</v>
      </c>
    </row>
    <row r="1998" spans="1:7">
      <c r="A1998" s="3">
        <v>18</v>
      </c>
      <c r="B1998" s="3">
        <v>8</v>
      </c>
      <c r="C1998" s="3">
        <v>52</v>
      </c>
      <c r="D1998" s="3">
        <v>35</v>
      </c>
      <c r="E1998" s="3">
        <v>-1659.139</v>
      </c>
      <c r="F1998" s="4" t="str">
        <f>HYPERLINK("http://141.218.60.56/~jnz1568/getInfo.php?workbook=18_08.xlsx&amp;sheet=A0&amp;row=1998&amp;col=6&amp;number=1305000&amp;sourceID=14","1305000")</f>
        <v>1305000</v>
      </c>
      <c r="G1998" s="4" t="str">
        <f>HYPERLINK("http://141.218.60.56/~jnz1568/getInfo.php?workbook=18_08.xlsx&amp;sheet=A0&amp;row=1998&amp;col=7&amp;number=0&amp;sourceID=14","0")</f>
        <v>0</v>
      </c>
    </row>
    <row r="1999" spans="1:7">
      <c r="A1999" s="3">
        <v>18</v>
      </c>
      <c r="B1999" s="3">
        <v>8</v>
      </c>
      <c r="C1999" s="3">
        <v>55</v>
      </c>
      <c r="D1999" s="3">
        <v>35</v>
      </c>
      <c r="E1999" s="3">
        <v>-1479.521</v>
      </c>
      <c r="F1999" s="4" t="str">
        <f>HYPERLINK("http://141.218.60.56/~jnz1568/getInfo.php?workbook=18_08.xlsx&amp;sheet=A0&amp;row=1999&amp;col=6&amp;number=0.005758&amp;sourceID=14","0.005758")</f>
        <v>0.005758</v>
      </c>
      <c r="G1999" s="4" t="str">
        <f>HYPERLINK("http://141.218.60.56/~jnz1568/getInfo.php?workbook=18_08.xlsx&amp;sheet=A0&amp;row=1999&amp;col=7&amp;number=0&amp;sourceID=14","0")</f>
        <v>0</v>
      </c>
    </row>
    <row r="2000" spans="1:7">
      <c r="A2000" s="3">
        <v>18</v>
      </c>
      <c r="B2000" s="3">
        <v>8</v>
      </c>
      <c r="C2000" s="3">
        <v>56</v>
      </c>
      <c r="D2000" s="3">
        <v>35</v>
      </c>
      <c r="E2000" s="3">
        <v>-865.387</v>
      </c>
      <c r="F2000" s="4" t="str">
        <f>HYPERLINK("http://141.218.60.56/~jnz1568/getInfo.php?workbook=18_08.xlsx&amp;sheet=A0&amp;row=2000&amp;col=6&amp;number=0.006801&amp;sourceID=14","0.006801")</f>
        <v>0.006801</v>
      </c>
      <c r="G2000" s="4" t="str">
        <f>HYPERLINK("http://141.218.60.56/~jnz1568/getInfo.php?workbook=18_08.xlsx&amp;sheet=A0&amp;row=2000&amp;col=7&amp;number=0&amp;sourceID=14","0")</f>
        <v>0</v>
      </c>
    </row>
    <row r="2001" spans="1:7">
      <c r="A2001" s="3">
        <v>18</v>
      </c>
      <c r="B2001" s="3">
        <v>8</v>
      </c>
      <c r="C2001" s="3">
        <v>64</v>
      </c>
      <c r="D2001" s="3">
        <v>35</v>
      </c>
      <c r="E2001" s="3">
        <v>-674.337</v>
      </c>
      <c r="F2001" s="4" t="str">
        <f>HYPERLINK("http://141.218.60.56/~jnz1568/getInfo.php?workbook=18_08.xlsx&amp;sheet=A0&amp;row=2001&amp;col=6&amp;number=191400000&amp;sourceID=14","191400000")</f>
        <v>191400000</v>
      </c>
      <c r="G2001" s="4" t="str">
        <f>HYPERLINK("http://141.218.60.56/~jnz1568/getInfo.php?workbook=18_08.xlsx&amp;sheet=A0&amp;row=2001&amp;col=7&amp;number=0&amp;sourceID=14","0")</f>
        <v>0</v>
      </c>
    </row>
    <row r="2002" spans="1:7">
      <c r="A2002" s="3">
        <v>18</v>
      </c>
      <c r="B2002" s="3">
        <v>8</v>
      </c>
      <c r="C2002" s="3">
        <v>66</v>
      </c>
      <c r="D2002" s="3">
        <v>35</v>
      </c>
      <c r="E2002" s="3">
        <v>-682.764</v>
      </c>
      <c r="F2002" s="4" t="str">
        <f>HYPERLINK("http://141.218.60.56/~jnz1568/getInfo.php?workbook=18_08.xlsx&amp;sheet=A0&amp;row=2002&amp;col=6&amp;number=0.007286&amp;sourceID=14","0.007286")</f>
        <v>0.007286</v>
      </c>
      <c r="G2002" s="4" t="str">
        <f>HYPERLINK("http://141.218.60.56/~jnz1568/getInfo.php?workbook=18_08.xlsx&amp;sheet=A0&amp;row=2002&amp;col=7&amp;number=0&amp;sourceID=14","0")</f>
        <v>0</v>
      </c>
    </row>
    <row r="2003" spans="1:7">
      <c r="A2003" s="3">
        <v>18</v>
      </c>
      <c r="B2003" s="3">
        <v>8</v>
      </c>
      <c r="C2003" s="3">
        <v>67</v>
      </c>
      <c r="D2003" s="3">
        <v>35</v>
      </c>
      <c r="E2003" s="3">
        <v>-719.94</v>
      </c>
      <c r="F2003" s="4" t="str">
        <f>HYPERLINK("http://141.218.60.56/~jnz1568/getInfo.php?workbook=18_08.xlsx&amp;sheet=A0&amp;row=2003&amp;col=6&amp;number=204600000&amp;sourceID=14","204600000")</f>
        <v>204600000</v>
      </c>
      <c r="G2003" s="4" t="str">
        <f>HYPERLINK("http://141.218.60.56/~jnz1568/getInfo.php?workbook=18_08.xlsx&amp;sheet=A0&amp;row=2003&amp;col=7&amp;number=0&amp;sourceID=14","0")</f>
        <v>0</v>
      </c>
    </row>
    <row r="2004" spans="1:7">
      <c r="A2004" s="3">
        <v>18</v>
      </c>
      <c r="B2004" s="3">
        <v>8</v>
      </c>
      <c r="C2004" s="3">
        <v>69</v>
      </c>
      <c r="D2004" s="3">
        <v>35</v>
      </c>
      <c r="E2004" s="3">
        <v>-638.033</v>
      </c>
      <c r="F2004" s="4" t="str">
        <f>HYPERLINK("http://141.218.60.56/~jnz1568/getInfo.php?workbook=18_08.xlsx&amp;sheet=A0&amp;row=2004&amp;col=6&amp;number=0.002023&amp;sourceID=14","0.002023")</f>
        <v>0.002023</v>
      </c>
      <c r="G2004" s="4" t="str">
        <f>HYPERLINK("http://141.218.60.56/~jnz1568/getInfo.php?workbook=18_08.xlsx&amp;sheet=A0&amp;row=2004&amp;col=7&amp;number=0&amp;sourceID=14","0")</f>
        <v>0</v>
      </c>
    </row>
    <row r="2005" spans="1:7">
      <c r="A2005" s="3">
        <v>18</v>
      </c>
      <c r="B2005" s="3">
        <v>8</v>
      </c>
      <c r="C2005" s="3">
        <v>71</v>
      </c>
      <c r="D2005" s="3">
        <v>35</v>
      </c>
      <c r="E2005" s="3">
        <v>-619.455</v>
      </c>
      <c r="F2005" s="4" t="str">
        <f>HYPERLINK("http://141.218.60.56/~jnz1568/getInfo.php?workbook=18_08.xlsx&amp;sheet=A0&amp;row=2005&amp;col=6&amp;number=513000000&amp;sourceID=14","513000000")</f>
        <v>513000000</v>
      </c>
      <c r="G2005" s="4" t="str">
        <f>HYPERLINK("http://141.218.60.56/~jnz1568/getInfo.php?workbook=18_08.xlsx&amp;sheet=A0&amp;row=2005&amp;col=7&amp;number=0&amp;sourceID=14","0")</f>
        <v>0</v>
      </c>
    </row>
    <row r="2006" spans="1:7">
      <c r="A2006" s="3">
        <v>18</v>
      </c>
      <c r="B2006" s="3">
        <v>8</v>
      </c>
      <c r="C2006" s="3">
        <v>72</v>
      </c>
      <c r="D2006" s="3">
        <v>35</v>
      </c>
      <c r="E2006" s="3">
        <v>-646.49</v>
      </c>
      <c r="F2006" s="4" t="str">
        <f>HYPERLINK("http://141.218.60.56/~jnz1568/getInfo.php?workbook=18_08.xlsx&amp;sheet=A0&amp;row=2006&amp;col=6&amp;number=0.001323&amp;sourceID=14","0.001323")</f>
        <v>0.001323</v>
      </c>
      <c r="G2006" s="4" t="str">
        <f>HYPERLINK("http://141.218.60.56/~jnz1568/getInfo.php?workbook=18_08.xlsx&amp;sheet=A0&amp;row=2006&amp;col=7&amp;number=0&amp;sourceID=14","0")</f>
        <v>0</v>
      </c>
    </row>
    <row r="2007" spans="1:7">
      <c r="A2007" s="3">
        <v>18</v>
      </c>
      <c r="B2007" s="3">
        <v>8</v>
      </c>
      <c r="C2007" s="3">
        <v>73</v>
      </c>
      <c r="D2007" s="3">
        <v>35</v>
      </c>
      <c r="E2007" s="3">
        <v>-602.438</v>
      </c>
      <c r="F2007" s="4" t="str">
        <f>HYPERLINK("http://141.218.60.56/~jnz1568/getInfo.php?workbook=18_08.xlsx&amp;sheet=A0&amp;row=2007&amp;col=6&amp;number=270100000&amp;sourceID=14","270100000")</f>
        <v>270100000</v>
      </c>
      <c r="G2007" s="4" t="str">
        <f>HYPERLINK("http://141.218.60.56/~jnz1568/getInfo.php?workbook=18_08.xlsx&amp;sheet=A0&amp;row=2007&amp;col=7&amp;number=0&amp;sourceID=14","0")</f>
        <v>0</v>
      </c>
    </row>
    <row r="2008" spans="1:7">
      <c r="A2008" s="3">
        <v>18</v>
      </c>
      <c r="B2008" s="3">
        <v>8</v>
      </c>
      <c r="C2008" s="3">
        <v>75</v>
      </c>
      <c r="D2008" s="3">
        <v>35</v>
      </c>
      <c r="E2008" s="3">
        <v>-543.896</v>
      </c>
      <c r="F2008" s="4" t="str">
        <f>HYPERLINK("http://141.218.60.56/~jnz1568/getInfo.php?workbook=18_08.xlsx&amp;sheet=A0&amp;row=2008&amp;col=6&amp;number=0.0001961&amp;sourceID=14","0.0001961")</f>
        <v>0.0001961</v>
      </c>
      <c r="G2008" s="4" t="str">
        <f>HYPERLINK("http://141.218.60.56/~jnz1568/getInfo.php?workbook=18_08.xlsx&amp;sheet=A0&amp;row=2008&amp;col=7&amp;number=0&amp;sourceID=14","0")</f>
        <v>0</v>
      </c>
    </row>
    <row r="2009" spans="1:7">
      <c r="A2009" s="3">
        <v>18</v>
      </c>
      <c r="B2009" s="3">
        <v>8</v>
      </c>
      <c r="C2009" s="3">
        <v>79</v>
      </c>
      <c r="D2009" s="3">
        <v>35</v>
      </c>
      <c r="E2009" s="3">
        <v>-532.857</v>
      </c>
      <c r="F2009" s="4" t="str">
        <f>HYPERLINK("http://141.218.60.56/~jnz1568/getInfo.php?workbook=18_08.xlsx&amp;sheet=A0&amp;row=2009&amp;col=6&amp;number=25080000&amp;sourceID=14","25080000")</f>
        <v>25080000</v>
      </c>
      <c r="G2009" s="4" t="str">
        <f>HYPERLINK("http://141.218.60.56/~jnz1568/getInfo.php?workbook=18_08.xlsx&amp;sheet=A0&amp;row=2009&amp;col=7&amp;number=0&amp;sourceID=14","0")</f>
        <v>0</v>
      </c>
    </row>
    <row r="2010" spans="1:7">
      <c r="A2010" s="3">
        <v>18</v>
      </c>
      <c r="B2010" s="3">
        <v>8</v>
      </c>
      <c r="C2010" s="3">
        <v>80</v>
      </c>
      <c r="D2010" s="3">
        <v>35</v>
      </c>
      <c r="E2010" s="3">
        <v>-527.412</v>
      </c>
      <c r="F2010" s="4" t="str">
        <f>HYPERLINK("http://141.218.60.56/~jnz1568/getInfo.php?workbook=18_08.xlsx&amp;sheet=A0&amp;row=2010&amp;col=6&amp;number=0.07339&amp;sourceID=14","0.07339")</f>
        <v>0.07339</v>
      </c>
      <c r="G2010" s="4" t="str">
        <f>HYPERLINK("http://141.218.60.56/~jnz1568/getInfo.php?workbook=18_08.xlsx&amp;sheet=A0&amp;row=2010&amp;col=7&amp;number=0&amp;sourceID=14","0")</f>
        <v>0</v>
      </c>
    </row>
    <row r="2011" spans="1:7">
      <c r="A2011" s="3">
        <v>18</v>
      </c>
      <c r="B2011" s="3">
        <v>8</v>
      </c>
      <c r="C2011" s="3">
        <v>81</v>
      </c>
      <c r="D2011" s="3">
        <v>35</v>
      </c>
      <c r="E2011" s="3">
        <v>-500.164</v>
      </c>
      <c r="F2011" s="4" t="str">
        <f>HYPERLINK("http://141.218.60.56/~jnz1568/getInfo.php?workbook=18_08.xlsx&amp;sheet=A0&amp;row=2011&amp;col=6&amp;number=0.1147&amp;sourceID=14","0.1147")</f>
        <v>0.1147</v>
      </c>
      <c r="G2011" s="4" t="str">
        <f>HYPERLINK("http://141.218.60.56/~jnz1568/getInfo.php?workbook=18_08.xlsx&amp;sheet=A0&amp;row=2011&amp;col=7&amp;number=0&amp;sourceID=14","0")</f>
        <v>0</v>
      </c>
    </row>
    <row r="2012" spans="1:7">
      <c r="A2012" s="3">
        <v>18</v>
      </c>
      <c r="B2012" s="3">
        <v>8</v>
      </c>
      <c r="C2012" s="3">
        <v>83</v>
      </c>
      <c r="D2012" s="3">
        <v>35</v>
      </c>
      <c r="E2012" s="3">
        <v>-491.598</v>
      </c>
      <c r="F2012" s="4" t="str">
        <f>HYPERLINK("http://141.218.60.56/~jnz1568/getInfo.php?workbook=18_08.xlsx&amp;sheet=A0&amp;row=2012&amp;col=6&amp;number=131000000&amp;sourceID=14","131000000")</f>
        <v>131000000</v>
      </c>
      <c r="G2012" s="4" t="str">
        <f>HYPERLINK("http://141.218.60.56/~jnz1568/getInfo.php?workbook=18_08.xlsx&amp;sheet=A0&amp;row=2012&amp;col=7&amp;number=0&amp;sourceID=14","0")</f>
        <v>0</v>
      </c>
    </row>
    <row r="2013" spans="1:7">
      <c r="A2013" s="3">
        <v>18</v>
      </c>
      <c r="B2013" s="3">
        <v>8</v>
      </c>
      <c r="C2013" s="3">
        <v>84</v>
      </c>
      <c r="D2013" s="3">
        <v>35</v>
      </c>
      <c r="E2013" s="3">
        <v>-462.607</v>
      </c>
      <c r="F2013" s="4" t="str">
        <f>HYPERLINK("http://141.218.60.56/~jnz1568/getInfo.php?workbook=18_08.xlsx&amp;sheet=A0&amp;row=2013&amp;col=6&amp;number=0.06347&amp;sourceID=14","0.06347")</f>
        <v>0.06347</v>
      </c>
      <c r="G2013" s="4" t="str">
        <f>HYPERLINK("http://141.218.60.56/~jnz1568/getInfo.php?workbook=18_08.xlsx&amp;sheet=A0&amp;row=2013&amp;col=7&amp;number=0&amp;sourceID=14","0")</f>
        <v>0</v>
      </c>
    </row>
    <row r="2014" spans="1:7">
      <c r="A2014" s="3">
        <v>18</v>
      </c>
      <c r="B2014" s="3">
        <v>8</v>
      </c>
      <c r="C2014" s="3">
        <v>86</v>
      </c>
      <c r="D2014" s="3">
        <v>35</v>
      </c>
      <c r="E2014" s="3">
        <v>-398.721</v>
      </c>
      <c r="F2014" s="4" t="str">
        <f>HYPERLINK("http://141.218.60.56/~jnz1568/getInfo.php?workbook=18_08.xlsx&amp;sheet=A0&amp;row=2014&amp;col=6&amp;number=744800&amp;sourceID=14","744800")</f>
        <v>744800</v>
      </c>
      <c r="G2014" s="4" t="str">
        <f>HYPERLINK("http://141.218.60.56/~jnz1568/getInfo.php?workbook=18_08.xlsx&amp;sheet=A0&amp;row=2014&amp;col=7&amp;number=0&amp;sourceID=14","0")</f>
        <v>0</v>
      </c>
    </row>
    <row r="2015" spans="1:7">
      <c r="A2015" s="3">
        <v>18</v>
      </c>
      <c r="B2015" s="3">
        <v>8</v>
      </c>
      <c r="C2015" s="3">
        <v>38</v>
      </c>
      <c r="D2015" s="3">
        <v>36</v>
      </c>
      <c r="E2015" s="3">
        <v>-8026.759</v>
      </c>
      <c r="F2015" s="4" t="str">
        <f>HYPERLINK("http://141.218.60.56/~jnz1568/getInfo.php?workbook=18_08.xlsx&amp;sheet=A0&amp;row=2015&amp;col=6&amp;number=1.113&amp;sourceID=14","1.113")</f>
        <v>1.113</v>
      </c>
      <c r="G2015" s="4" t="str">
        <f>HYPERLINK("http://141.218.60.56/~jnz1568/getInfo.php?workbook=18_08.xlsx&amp;sheet=A0&amp;row=2015&amp;col=7&amp;number=0&amp;sourceID=14","0")</f>
        <v>0</v>
      </c>
    </row>
    <row r="2016" spans="1:7">
      <c r="A2016" s="3">
        <v>18</v>
      </c>
      <c r="B2016" s="3">
        <v>8</v>
      </c>
      <c r="C2016" s="3">
        <v>39</v>
      </c>
      <c r="D2016" s="3">
        <v>36</v>
      </c>
      <c r="E2016" s="3">
        <v>-7967.083</v>
      </c>
      <c r="F2016" s="4" t="str">
        <f>HYPERLINK("http://141.218.60.56/~jnz1568/getInfo.php?workbook=18_08.xlsx&amp;sheet=A0&amp;row=2016&amp;col=6&amp;number=14.68&amp;sourceID=14","14.68")</f>
        <v>14.68</v>
      </c>
      <c r="G2016" s="4" t="str">
        <f>HYPERLINK("http://141.218.60.56/~jnz1568/getInfo.php?workbook=18_08.xlsx&amp;sheet=A0&amp;row=2016&amp;col=7&amp;number=0&amp;sourceID=14","0")</f>
        <v>0</v>
      </c>
    </row>
    <row r="2017" spans="1:7">
      <c r="A2017" s="3">
        <v>18</v>
      </c>
      <c r="B2017" s="3">
        <v>8</v>
      </c>
      <c r="C2017" s="3">
        <v>40</v>
      </c>
      <c r="D2017" s="3">
        <v>36</v>
      </c>
      <c r="E2017" s="3">
        <v>-7864.403</v>
      </c>
      <c r="F2017" s="4" t="str">
        <f>HYPERLINK("http://141.218.60.56/~jnz1568/getInfo.php?workbook=18_08.xlsx&amp;sheet=A0&amp;row=2017&amp;col=6&amp;number=57.53&amp;sourceID=14","57.53")</f>
        <v>57.53</v>
      </c>
      <c r="G2017" s="4" t="str">
        <f>HYPERLINK("http://141.218.60.56/~jnz1568/getInfo.php?workbook=18_08.xlsx&amp;sheet=A0&amp;row=2017&amp;col=7&amp;number=0&amp;sourceID=14","0")</f>
        <v>0</v>
      </c>
    </row>
    <row r="2018" spans="1:7">
      <c r="A2018" s="3">
        <v>18</v>
      </c>
      <c r="B2018" s="3">
        <v>8</v>
      </c>
      <c r="C2018" s="3">
        <v>41</v>
      </c>
      <c r="D2018" s="3">
        <v>36</v>
      </c>
      <c r="E2018" s="3">
        <v>-7721.146</v>
      </c>
      <c r="F2018" s="4" t="str">
        <f>HYPERLINK("http://141.218.60.56/~jnz1568/getInfo.php?workbook=18_08.xlsx&amp;sheet=A0&amp;row=2018&amp;col=6&amp;number=2.871e-08&amp;sourceID=14","2.871e-08")</f>
        <v>2.871e-08</v>
      </c>
      <c r="G2018" s="4" t="str">
        <f>HYPERLINK("http://141.218.60.56/~jnz1568/getInfo.php?workbook=18_08.xlsx&amp;sheet=A0&amp;row=2018&amp;col=7&amp;number=0&amp;sourceID=14","0")</f>
        <v>0</v>
      </c>
    </row>
    <row r="2019" spans="1:7">
      <c r="A2019" s="3">
        <v>18</v>
      </c>
      <c r="B2019" s="3">
        <v>8</v>
      </c>
      <c r="C2019" s="3">
        <v>43</v>
      </c>
      <c r="D2019" s="3">
        <v>36</v>
      </c>
      <c r="E2019" s="3">
        <v>-392301.469</v>
      </c>
      <c r="F2019" s="4" t="str">
        <f>HYPERLINK("http://141.218.60.56/~jnz1568/getInfo.php?workbook=18_08.xlsx&amp;sheet=A0&amp;row=2019&amp;col=6&amp;number=4.824e-05&amp;sourceID=14","4.824e-05")</f>
        <v>4.824e-05</v>
      </c>
      <c r="G2019" s="4" t="str">
        <f>HYPERLINK("http://141.218.60.56/~jnz1568/getInfo.php?workbook=18_08.xlsx&amp;sheet=A0&amp;row=2019&amp;col=7&amp;number=0&amp;sourceID=14","0")</f>
        <v>0</v>
      </c>
    </row>
    <row r="2020" spans="1:7">
      <c r="A2020" s="3">
        <v>18</v>
      </c>
      <c r="B2020" s="3">
        <v>8</v>
      </c>
      <c r="C2020" s="3">
        <v>46</v>
      </c>
      <c r="D2020" s="3">
        <v>36</v>
      </c>
      <c r="E2020" s="3">
        <v>-10919.785</v>
      </c>
      <c r="F2020" s="4" t="str">
        <f>HYPERLINK("http://141.218.60.56/~jnz1568/getInfo.php?workbook=18_08.xlsx&amp;sheet=A0&amp;row=2020&amp;col=6&amp;number=0.05071&amp;sourceID=14","0.05071")</f>
        <v>0.05071</v>
      </c>
      <c r="G2020" s="4" t="str">
        <f>HYPERLINK("http://141.218.60.56/~jnz1568/getInfo.php?workbook=18_08.xlsx&amp;sheet=A0&amp;row=2020&amp;col=7&amp;number=0&amp;sourceID=14","0")</f>
        <v>0</v>
      </c>
    </row>
    <row r="2021" spans="1:7">
      <c r="A2021" s="3">
        <v>18</v>
      </c>
      <c r="B2021" s="3">
        <v>8</v>
      </c>
      <c r="C2021" s="3">
        <v>47</v>
      </c>
      <c r="D2021" s="3">
        <v>36</v>
      </c>
      <c r="E2021" s="3">
        <v>-25997.877</v>
      </c>
      <c r="F2021" s="4" t="str">
        <f>HYPERLINK("http://141.218.60.56/~jnz1568/getInfo.php?workbook=18_08.xlsx&amp;sheet=A0&amp;row=2021&amp;col=6&amp;number=1.168e-06&amp;sourceID=14","1.168e-06")</f>
        <v>1.168e-06</v>
      </c>
      <c r="G2021" s="4" t="str">
        <f>HYPERLINK("http://141.218.60.56/~jnz1568/getInfo.php?workbook=18_08.xlsx&amp;sheet=A0&amp;row=2021&amp;col=7&amp;number=0&amp;sourceID=14","0")</f>
        <v>0</v>
      </c>
    </row>
    <row r="2022" spans="1:7">
      <c r="A2022" s="3">
        <v>18</v>
      </c>
      <c r="B2022" s="3">
        <v>8</v>
      </c>
      <c r="C2022" s="3">
        <v>48</v>
      </c>
      <c r="D2022" s="3">
        <v>36</v>
      </c>
      <c r="E2022" s="3">
        <v>-7465.241</v>
      </c>
      <c r="F2022" s="4" t="str">
        <f>HYPERLINK("http://141.218.60.56/~jnz1568/getInfo.php?workbook=18_08.xlsx&amp;sheet=A0&amp;row=2022&amp;col=6&amp;number=1.822&amp;sourceID=14","1.822")</f>
        <v>1.822</v>
      </c>
      <c r="G2022" s="4" t="str">
        <f>HYPERLINK("http://141.218.60.56/~jnz1568/getInfo.php?workbook=18_08.xlsx&amp;sheet=A0&amp;row=2022&amp;col=7&amp;number=0&amp;sourceID=14","0")</f>
        <v>0</v>
      </c>
    </row>
    <row r="2023" spans="1:7">
      <c r="A2023" s="3">
        <v>18</v>
      </c>
      <c r="B2023" s="3">
        <v>8</v>
      </c>
      <c r="C2023" s="3">
        <v>49</v>
      </c>
      <c r="D2023" s="3">
        <v>36</v>
      </c>
      <c r="E2023" s="3">
        <v>-4184.052</v>
      </c>
      <c r="F2023" s="4" t="str">
        <f>HYPERLINK("http://141.218.60.56/~jnz1568/getInfo.php?workbook=18_08.xlsx&amp;sheet=A0&amp;row=2023&amp;col=6&amp;number=20.52&amp;sourceID=14","20.52")</f>
        <v>20.52</v>
      </c>
      <c r="G2023" s="4" t="str">
        <f>HYPERLINK("http://141.218.60.56/~jnz1568/getInfo.php?workbook=18_08.xlsx&amp;sheet=A0&amp;row=2023&amp;col=7&amp;number=0&amp;sourceID=14","0")</f>
        <v>0</v>
      </c>
    </row>
    <row r="2024" spans="1:7">
      <c r="A2024" s="3">
        <v>18</v>
      </c>
      <c r="B2024" s="3">
        <v>8</v>
      </c>
      <c r="C2024" s="3">
        <v>50</v>
      </c>
      <c r="D2024" s="3">
        <v>36</v>
      </c>
      <c r="E2024" s="3">
        <v>-3731.144</v>
      </c>
      <c r="F2024" s="4" t="str">
        <f>HYPERLINK("http://141.218.60.56/~jnz1568/getInfo.php?workbook=18_08.xlsx&amp;sheet=A0&amp;row=2024&amp;col=6&amp;number=0.7916&amp;sourceID=14","0.7916")</f>
        <v>0.7916</v>
      </c>
      <c r="G2024" s="4" t="str">
        <f>HYPERLINK("http://141.218.60.56/~jnz1568/getInfo.php?workbook=18_08.xlsx&amp;sheet=A0&amp;row=2024&amp;col=7&amp;number=0&amp;sourceID=14","0")</f>
        <v>0</v>
      </c>
    </row>
    <row r="2025" spans="1:7">
      <c r="A2025" s="3">
        <v>18</v>
      </c>
      <c r="B2025" s="3">
        <v>8</v>
      </c>
      <c r="C2025" s="3">
        <v>51</v>
      </c>
      <c r="D2025" s="3">
        <v>36</v>
      </c>
      <c r="E2025" s="3">
        <v>-2020.177</v>
      </c>
      <c r="F2025" s="4" t="str">
        <f>HYPERLINK("http://141.218.60.56/~jnz1568/getInfo.php?workbook=18_08.xlsx&amp;sheet=A0&amp;row=2025&amp;col=6&amp;number=491400&amp;sourceID=14","491400")</f>
        <v>491400</v>
      </c>
      <c r="G2025" s="4" t="str">
        <f>HYPERLINK("http://141.218.60.56/~jnz1568/getInfo.php?workbook=18_08.xlsx&amp;sheet=A0&amp;row=2025&amp;col=7&amp;number=0&amp;sourceID=14","0")</f>
        <v>0</v>
      </c>
    </row>
    <row r="2026" spans="1:7">
      <c r="A2026" s="3">
        <v>18</v>
      </c>
      <c r="B2026" s="3">
        <v>8</v>
      </c>
      <c r="C2026" s="3">
        <v>52</v>
      </c>
      <c r="D2026" s="3">
        <v>36</v>
      </c>
      <c r="E2026" s="3">
        <v>-1980.533</v>
      </c>
      <c r="F2026" s="4" t="str">
        <f>HYPERLINK("http://141.218.60.56/~jnz1568/getInfo.php?workbook=18_08.xlsx&amp;sheet=A0&amp;row=2026&amp;col=6&amp;number=212000&amp;sourceID=14","212000")</f>
        <v>212000</v>
      </c>
      <c r="G2026" s="4" t="str">
        <f>HYPERLINK("http://141.218.60.56/~jnz1568/getInfo.php?workbook=18_08.xlsx&amp;sheet=A0&amp;row=2026&amp;col=7&amp;number=0&amp;sourceID=14","0")</f>
        <v>0</v>
      </c>
    </row>
    <row r="2027" spans="1:7">
      <c r="A2027" s="3">
        <v>18</v>
      </c>
      <c r="B2027" s="3">
        <v>8</v>
      </c>
      <c r="C2027" s="3">
        <v>53</v>
      </c>
      <c r="D2027" s="3">
        <v>36</v>
      </c>
      <c r="E2027" s="3">
        <v>-3549.206</v>
      </c>
      <c r="F2027" s="4" t="str">
        <f>HYPERLINK("http://141.218.60.56/~jnz1568/getInfo.php?workbook=18_08.xlsx&amp;sheet=A0&amp;row=2027&amp;col=6&amp;number=0.2985&amp;sourceID=14","0.2985")</f>
        <v>0.2985</v>
      </c>
      <c r="G2027" s="4" t="str">
        <f>HYPERLINK("http://141.218.60.56/~jnz1568/getInfo.php?workbook=18_08.xlsx&amp;sheet=A0&amp;row=2027&amp;col=7&amp;number=0&amp;sourceID=14","0")</f>
        <v>0</v>
      </c>
    </row>
    <row r="2028" spans="1:7">
      <c r="A2028" s="3">
        <v>18</v>
      </c>
      <c r="B2028" s="3">
        <v>8</v>
      </c>
      <c r="C2028" s="3">
        <v>54</v>
      </c>
      <c r="D2028" s="3">
        <v>36</v>
      </c>
      <c r="E2028" s="3">
        <v>-1946.258</v>
      </c>
      <c r="F2028" s="4" t="str">
        <f>HYPERLINK("http://141.218.60.56/~jnz1568/getInfo.php?workbook=18_08.xlsx&amp;sheet=A0&amp;row=2028&amp;col=6&amp;number=1.007e-08&amp;sourceID=14","1.007e-08")</f>
        <v>1.007e-08</v>
      </c>
      <c r="G2028" s="4" t="str">
        <f>HYPERLINK("http://141.218.60.56/~jnz1568/getInfo.php?workbook=18_08.xlsx&amp;sheet=A0&amp;row=2028&amp;col=7&amp;number=0&amp;sourceID=14","0")</f>
        <v>0</v>
      </c>
    </row>
    <row r="2029" spans="1:7">
      <c r="A2029" s="3">
        <v>18</v>
      </c>
      <c r="B2029" s="3">
        <v>8</v>
      </c>
      <c r="C2029" s="3">
        <v>55</v>
      </c>
      <c r="D2029" s="3">
        <v>36</v>
      </c>
      <c r="E2029" s="3">
        <v>-1729.845</v>
      </c>
      <c r="F2029" s="4" t="str">
        <f>HYPERLINK("http://141.218.60.56/~jnz1568/getInfo.php?workbook=18_08.xlsx&amp;sheet=A0&amp;row=2029&amp;col=6&amp;number=0.108&amp;sourceID=14","0.108")</f>
        <v>0.108</v>
      </c>
      <c r="G2029" s="4" t="str">
        <f>HYPERLINK("http://141.218.60.56/~jnz1568/getInfo.php?workbook=18_08.xlsx&amp;sheet=A0&amp;row=2029&amp;col=7&amp;number=0&amp;sourceID=14","0")</f>
        <v>0</v>
      </c>
    </row>
    <row r="2030" spans="1:7">
      <c r="A2030" s="3">
        <v>18</v>
      </c>
      <c r="B2030" s="3">
        <v>8</v>
      </c>
      <c r="C2030" s="3">
        <v>56</v>
      </c>
      <c r="D2030" s="3">
        <v>36</v>
      </c>
      <c r="E2030" s="3">
        <v>-945.408</v>
      </c>
      <c r="F2030" s="4" t="str">
        <f>HYPERLINK("http://141.218.60.56/~jnz1568/getInfo.php?workbook=18_08.xlsx&amp;sheet=A0&amp;row=2030&amp;col=6&amp;number=825100&amp;sourceID=14","825100")</f>
        <v>825100</v>
      </c>
      <c r="G2030" s="4" t="str">
        <f>HYPERLINK("http://141.218.60.56/~jnz1568/getInfo.php?workbook=18_08.xlsx&amp;sheet=A0&amp;row=2030&amp;col=7&amp;number=0&amp;sourceID=14","0")</f>
        <v>0</v>
      </c>
    </row>
    <row r="2031" spans="1:7">
      <c r="A2031" s="3">
        <v>18</v>
      </c>
      <c r="B2031" s="3">
        <v>8</v>
      </c>
      <c r="C2031" s="3">
        <v>57</v>
      </c>
      <c r="D2031" s="3">
        <v>36</v>
      </c>
      <c r="E2031" s="3">
        <v>-914.908</v>
      </c>
      <c r="F2031" s="4" t="str">
        <f>HYPERLINK("http://141.218.60.56/~jnz1568/getInfo.php?workbook=18_08.xlsx&amp;sheet=A0&amp;row=2031&amp;col=6&amp;number=0.002635&amp;sourceID=14","0.002635")</f>
        <v>0.002635</v>
      </c>
      <c r="G2031" s="4" t="str">
        <f>HYPERLINK("http://141.218.60.56/~jnz1568/getInfo.php?workbook=18_08.xlsx&amp;sheet=A0&amp;row=2031&amp;col=7&amp;number=0&amp;sourceID=14","0")</f>
        <v>0</v>
      </c>
    </row>
    <row r="2032" spans="1:7">
      <c r="A2032" s="3">
        <v>18</v>
      </c>
      <c r="B2032" s="3">
        <v>8</v>
      </c>
      <c r="C2032" s="3">
        <v>58</v>
      </c>
      <c r="D2032" s="3">
        <v>36</v>
      </c>
      <c r="E2032" s="3">
        <v>-892.649</v>
      </c>
      <c r="F2032" s="4" t="str">
        <f>HYPERLINK("http://141.218.60.56/~jnz1568/getInfo.php?workbook=18_08.xlsx&amp;sheet=A0&amp;row=2032&amp;col=6&amp;number=4373000&amp;sourceID=14","4373000")</f>
        <v>4373000</v>
      </c>
      <c r="G2032" s="4" t="str">
        <f>HYPERLINK("http://141.218.60.56/~jnz1568/getInfo.php?workbook=18_08.xlsx&amp;sheet=A0&amp;row=2032&amp;col=7&amp;number=0&amp;sourceID=14","0")</f>
        <v>0</v>
      </c>
    </row>
    <row r="2033" spans="1:7">
      <c r="A2033" s="3">
        <v>18</v>
      </c>
      <c r="B2033" s="3">
        <v>8</v>
      </c>
      <c r="C2033" s="3">
        <v>60</v>
      </c>
      <c r="D2033" s="3">
        <v>36</v>
      </c>
      <c r="E2033" s="3">
        <v>-830.535</v>
      </c>
      <c r="F2033" s="4" t="str">
        <f>HYPERLINK("http://141.218.60.56/~jnz1568/getInfo.php?workbook=18_08.xlsx&amp;sheet=A0&amp;row=2033&amp;col=6&amp;number=0.0002432&amp;sourceID=14","0.0002432")</f>
        <v>0.0002432</v>
      </c>
      <c r="G2033" s="4" t="str">
        <f>HYPERLINK("http://141.218.60.56/~jnz1568/getInfo.php?workbook=18_08.xlsx&amp;sheet=A0&amp;row=2033&amp;col=7&amp;number=0&amp;sourceID=14","0")</f>
        <v>0</v>
      </c>
    </row>
    <row r="2034" spans="1:7">
      <c r="A2034" s="3">
        <v>18</v>
      </c>
      <c r="B2034" s="3">
        <v>8</v>
      </c>
      <c r="C2034" s="3">
        <v>64</v>
      </c>
      <c r="D2034" s="3">
        <v>36</v>
      </c>
      <c r="E2034" s="3">
        <v>-721.953</v>
      </c>
      <c r="F2034" s="4" t="str">
        <f>HYPERLINK("http://141.218.60.56/~jnz1568/getInfo.php?workbook=18_08.xlsx&amp;sheet=A0&amp;row=2034&amp;col=6&amp;number=71360000&amp;sourceID=14","71360000")</f>
        <v>71360000</v>
      </c>
      <c r="G2034" s="4" t="str">
        <f>HYPERLINK("http://141.218.60.56/~jnz1568/getInfo.php?workbook=18_08.xlsx&amp;sheet=A0&amp;row=2034&amp;col=7&amp;number=0&amp;sourceID=14","0")</f>
        <v>0</v>
      </c>
    </row>
    <row r="2035" spans="1:7">
      <c r="A2035" s="3">
        <v>18</v>
      </c>
      <c r="B2035" s="3">
        <v>8</v>
      </c>
      <c r="C2035" s="3">
        <v>65</v>
      </c>
      <c r="D2035" s="3">
        <v>36</v>
      </c>
      <c r="E2035" s="3">
        <v>-918.742</v>
      </c>
      <c r="F2035" s="4" t="str">
        <f>HYPERLINK("http://141.218.60.56/~jnz1568/getInfo.php?workbook=18_08.xlsx&amp;sheet=A0&amp;row=2035&amp;col=6&amp;number=525.3&amp;sourceID=14","525.3")</f>
        <v>525.3</v>
      </c>
      <c r="G2035" s="4" t="str">
        <f>HYPERLINK("http://141.218.60.56/~jnz1568/getInfo.php?workbook=18_08.xlsx&amp;sheet=A0&amp;row=2035&amp;col=7&amp;number=0&amp;sourceID=14","0")</f>
        <v>0</v>
      </c>
    </row>
    <row r="2036" spans="1:7">
      <c r="A2036" s="3">
        <v>18</v>
      </c>
      <c r="B2036" s="3">
        <v>8</v>
      </c>
      <c r="C2036" s="3">
        <v>66</v>
      </c>
      <c r="D2036" s="3">
        <v>36</v>
      </c>
      <c r="E2036" s="3">
        <v>-731.621</v>
      </c>
      <c r="F2036" s="4" t="str">
        <f>HYPERLINK("http://141.218.60.56/~jnz1568/getInfo.php?workbook=18_08.xlsx&amp;sheet=A0&amp;row=2036&amp;col=6&amp;number=233000000&amp;sourceID=14","233000000")</f>
        <v>233000000</v>
      </c>
      <c r="G2036" s="4" t="str">
        <f>HYPERLINK("http://141.218.60.56/~jnz1568/getInfo.php?workbook=18_08.xlsx&amp;sheet=A0&amp;row=2036&amp;col=7&amp;number=0&amp;sourceID=14","0")</f>
        <v>0</v>
      </c>
    </row>
    <row r="2037" spans="1:7">
      <c r="A2037" s="3">
        <v>18</v>
      </c>
      <c r="B2037" s="3">
        <v>8</v>
      </c>
      <c r="C2037" s="3">
        <v>67</v>
      </c>
      <c r="D2037" s="3">
        <v>36</v>
      </c>
      <c r="E2037" s="3">
        <v>-774.476</v>
      </c>
      <c r="F2037" s="4" t="str">
        <f>HYPERLINK("http://141.218.60.56/~jnz1568/getInfo.php?workbook=18_08.xlsx&amp;sheet=A0&amp;row=2037&amp;col=6&amp;number=37110000&amp;sourceID=14","37110000")</f>
        <v>37110000</v>
      </c>
      <c r="G2037" s="4" t="str">
        <f>HYPERLINK("http://141.218.60.56/~jnz1568/getInfo.php?workbook=18_08.xlsx&amp;sheet=A0&amp;row=2037&amp;col=7&amp;number=0&amp;sourceID=14","0")</f>
        <v>0</v>
      </c>
    </row>
    <row r="2038" spans="1:7">
      <c r="A2038" s="3">
        <v>18</v>
      </c>
      <c r="B2038" s="3">
        <v>8</v>
      </c>
      <c r="C2038" s="3">
        <v>68</v>
      </c>
      <c r="D2038" s="3">
        <v>36</v>
      </c>
      <c r="E2038" s="3">
        <v>-717.74</v>
      </c>
      <c r="F2038" s="4" t="str">
        <f>HYPERLINK("http://141.218.60.56/~jnz1568/getInfo.php?workbook=18_08.xlsx&amp;sheet=A0&amp;row=2038&amp;col=6&amp;number=0.0007309&amp;sourceID=14","0.0007309")</f>
        <v>0.0007309</v>
      </c>
      <c r="G2038" s="4" t="str">
        <f>HYPERLINK("http://141.218.60.56/~jnz1568/getInfo.php?workbook=18_08.xlsx&amp;sheet=A0&amp;row=2038&amp;col=7&amp;number=0&amp;sourceID=14","0")</f>
        <v>0</v>
      </c>
    </row>
    <row r="2039" spans="1:7">
      <c r="A2039" s="3">
        <v>18</v>
      </c>
      <c r="B2039" s="3">
        <v>8</v>
      </c>
      <c r="C2039" s="3">
        <v>69</v>
      </c>
      <c r="D2039" s="3">
        <v>36</v>
      </c>
      <c r="E2039" s="3">
        <v>-680.499</v>
      </c>
      <c r="F2039" s="4" t="str">
        <f>HYPERLINK("http://141.218.60.56/~jnz1568/getInfo.php?workbook=18_08.xlsx&amp;sheet=A0&amp;row=2039&amp;col=6&amp;number=637900&amp;sourceID=14","637900")</f>
        <v>637900</v>
      </c>
      <c r="G2039" s="4" t="str">
        <f>HYPERLINK("http://141.218.60.56/~jnz1568/getInfo.php?workbook=18_08.xlsx&amp;sheet=A0&amp;row=2039&amp;col=7&amp;number=0&amp;sourceID=14","0")</f>
        <v>0</v>
      </c>
    </row>
    <row r="2040" spans="1:7">
      <c r="A2040" s="3">
        <v>18</v>
      </c>
      <c r="B2040" s="3">
        <v>8</v>
      </c>
      <c r="C2040" s="3">
        <v>70</v>
      </c>
      <c r="D2040" s="3">
        <v>36</v>
      </c>
      <c r="E2040" s="3">
        <v>-662.28</v>
      </c>
      <c r="F2040" s="4" t="str">
        <f>HYPERLINK("http://141.218.60.56/~jnz1568/getInfo.php?workbook=18_08.xlsx&amp;sheet=A0&amp;row=2040&amp;col=6&amp;number=762300000&amp;sourceID=14","762300000")</f>
        <v>762300000</v>
      </c>
      <c r="G2040" s="4" t="str">
        <f>HYPERLINK("http://141.218.60.56/~jnz1568/getInfo.php?workbook=18_08.xlsx&amp;sheet=A0&amp;row=2040&amp;col=7&amp;number=0&amp;sourceID=14","0")</f>
        <v>0</v>
      </c>
    </row>
    <row r="2041" spans="1:7">
      <c r="A2041" s="3">
        <v>18</v>
      </c>
      <c r="B2041" s="3">
        <v>8</v>
      </c>
      <c r="C2041" s="3">
        <v>71</v>
      </c>
      <c r="D2041" s="3">
        <v>36</v>
      </c>
      <c r="E2041" s="3">
        <v>-659.407</v>
      </c>
      <c r="F2041" s="4" t="str">
        <f>HYPERLINK("http://141.218.60.56/~jnz1568/getInfo.php?workbook=18_08.xlsx&amp;sheet=A0&amp;row=2041&amp;col=6&amp;number=244900000&amp;sourceID=14","244900000")</f>
        <v>244900000</v>
      </c>
      <c r="G2041" s="4" t="str">
        <f>HYPERLINK("http://141.218.60.56/~jnz1568/getInfo.php?workbook=18_08.xlsx&amp;sheet=A0&amp;row=2041&amp;col=7&amp;number=0&amp;sourceID=14","0")</f>
        <v>0</v>
      </c>
    </row>
    <row r="2042" spans="1:7">
      <c r="A2042" s="3">
        <v>18</v>
      </c>
      <c r="B2042" s="3">
        <v>8</v>
      </c>
      <c r="C2042" s="3">
        <v>72</v>
      </c>
      <c r="D2042" s="3">
        <v>36</v>
      </c>
      <c r="E2042" s="3">
        <v>-690.128</v>
      </c>
      <c r="F2042" s="4" t="str">
        <f>HYPERLINK("http://141.218.60.56/~jnz1568/getInfo.php?workbook=18_08.xlsx&amp;sheet=A0&amp;row=2042&amp;col=6&amp;number=4692000&amp;sourceID=14","4692000")</f>
        <v>4692000</v>
      </c>
      <c r="G2042" s="4" t="str">
        <f>HYPERLINK("http://141.218.60.56/~jnz1568/getInfo.php?workbook=18_08.xlsx&amp;sheet=A0&amp;row=2042&amp;col=7&amp;number=0&amp;sourceID=14","0")</f>
        <v>0</v>
      </c>
    </row>
    <row r="2043" spans="1:7">
      <c r="A2043" s="3">
        <v>18</v>
      </c>
      <c r="B2043" s="3">
        <v>8</v>
      </c>
      <c r="C2043" s="3">
        <v>73</v>
      </c>
      <c r="D2043" s="3">
        <v>36</v>
      </c>
      <c r="E2043" s="3">
        <v>-640.158</v>
      </c>
      <c r="F2043" s="4" t="str">
        <f>HYPERLINK("http://141.218.60.56/~jnz1568/getInfo.php?workbook=18_08.xlsx&amp;sheet=A0&amp;row=2043&amp;col=6&amp;number=125300000&amp;sourceID=14","125300000")</f>
        <v>125300000</v>
      </c>
      <c r="G2043" s="4" t="str">
        <f>HYPERLINK("http://141.218.60.56/~jnz1568/getInfo.php?workbook=18_08.xlsx&amp;sheet=A0&amp;row=2043&amp;col=7&amp;number=0&amp;sourceID=14","0")</f>
        <v>0</v>
      </c>
    </row>
    <row r="2044" spans="1:7">
      <c r="A2044" s="3">
        <v>18</v>
      </c>
      <c r="B2044" s="3">
        <v>8</v>
      </c>
      <c r="C2044" s="3">
        <v>74</v>
      </c>
      <c r="D2044" s="3">
        <v>36</v>
      </c>
      <c r="E2044" s="3">
        <v>-586.072</v>
      </c>
      <c r="F2044" s="4" t="str">
        <f>HYPERLINK("http://141.218.60.56/~jnz1568/getInfo.php?workbook=18_08.xlsx&amp;sheet=A0&amp;row=2044&amp;col=6&amp;number=0.002424&amp;sourceID=14","0.002424")</f>
        <v>0.002424</v>
      </c>
      <c r="G2044" s="4" t="str">
        <f>HYPERLINK("http://141.218.60.56/~jnz1568/getInfo.php?workbook=18_08.xlsx&amp;sheet=A0&amp;row=2044&amp;col=7&amp;number=0&amp;sourceID=14","0")</f>
        <v>0</v>
      </c>
    </row>
    <row r="2045" spans="1:7">
      <c r="A2045" s="3">
        <v>18</v>
      </c>
      <c r="B2045" s="3">
        <v>8</v>
      </c>
      <c r="C2045" s="3">
        <v>75</v>
      </c>
      <c r="D2045" s="3">
        <v>36</v>
      </c>
      <c r="E2045" s="3">
        <v>-574.456</v>
      </c>
      <c r="F2045" s="4" t="str">
        <f>HYPERLINK("http://141.218.60.56/~jnz1568/getInfo.php?workbook=18_08.xlsx&amp;sheet=A0&amp;row=2045&amp;col=6&amp;number=204600000&amp;sourceID=14","204600000")</f>
        <v>204600000</v>
      </c>
      <c r="G2045" s="4" t="str">
        <f>HYPERLINK("http://141.218.60.56/~jnz1568/getInfo.php?workbook=18_08.xlsx&amp;sheet=A0&amp;row=2045&amp;col=7&amp;number=0&amp;sourceID=14","0")</f>
        <v>0</v>
      </c>
    </row>
    <row r="2046" spans="1:7">
      <c r="A2046" s="3">
        <v>18</v>
      </c>
      <c r="B2046" s="3">
        <v>8</v>
      </c>
      <c r="C2046" s="3">
        <v>77</v>
      </c>
      <c r="D2046" s="3">
        <v>36</v>
      </c>
      <c r="E2046" s="3">
        <v>-567.009</v>
      </c>
      <c r="F2046" s="4" t="str">
        <f>HYPERLINK("http://141.218.60.56/~jnz1568/getInfo.php?workbook=18_08.xlsx&amp;sheet=A0&amp;row=2046&amp;col=6&amp;number=0.004651&amp;sourceID=14","0.004651")</f>
        <v>0.004651</v>
      </c>
      <c r="G2046" s="4" t="str">
        <f>HYPERLINK("http://141.218.60.56/~jnz1568/getInfo.php?workbook=18_08.xlsx&amp;sheet=A0&amp;row=2046&amp;col=7&amp;number=0&amp;sourceID=14","0")</f>
        <v>0</v>
      </c>
    </row>
    <row r="2047" spans="1:7">
      <c r="A2047" s="3">
        <v>18</v>
      </c>
      <c r="B2047" s="3">
        <v>8</v>
      </c>
      <c r="C2047" s="3">
        <v>78</v>
      </c>
      <c r="D2047" s="3">
        <v>36</v>
      </c>
      <c r="E2047" s="3">
        <v>-571.755</v>
      </c>
      <c r="F2047" s="4" t="str">
        <f>HYPERLINK("http://141.218.60.56/~jnz1568/getInfo.php?workbook=18_08.xlsx&amp;sheet=A0&amp;row=2047&amp;col=6&amp;number=400400000&amp;sourceID=14","400400000")</f>
        <v>400400000</v>
      </c>
      <c r="G2047" s="4" t="str">
        <f>HYPERLINK("http://141.218.60.56/~jnz1568/getInfo.php?workbook=18_08.xlsx&amp;sheet=A0&amp;row=2047&amp;col=7&amp;number=0&amp;sourceID=14","0")</f>
        <v>0</v>
      </c>
    </row>
    <row r="2048" spans="1:7">
      <c r="A2048" s="3">
        <v>18</v>
      </c>
      <c r="B2048" s="3">
        <v>8</v>
      </c>
      <c r="C2048" s="3">
        <v>79</v>
      </c>
      <c r="D2048" s="3">
        <v>36</v>
      </c>
      <c r="E2048" s="3">
        <v>-562.155</v>
      </c>
      <c r="F2048" s="4" t="str">
        <f>HYPERLINK("http://141.218.60.56/~jnz1568/getInfo.php?workbook=18_08.xlsx&amp;sheet=A0&amp;row=2048&amp;col=6&amp;number=653700000&amp;sourceID=14","653700000")</f>
        <v>653700000</v>
      </c>
      <c r="G2048" s="4" t="str">
        <f>HYPERLINK("http://141.218.60.56/~jnz1568/getInfo.php?workbook=18_08.xlsx&amp;sheet=A0&amp;row=2048&amp;col=7&amp;number=0&amp;sourceID=14","0")</f>
        <v>0</v>
      </c>
    </row>
    <row r="2049" spans="1:7">
      <c r="A2049" s="3">
        <v>18</v>
      </c>
      <c r="B2049" s="3">
        <v>8</v>
      </c>
      <c r="C2049" s="3">
        <v>80</v>
      </c>
      <c r="D2049" s="3">
        <v>36</v>
      </c>
      <c r="E2049" s="3">
        <v>-556.099</v>
      </c>
      <c r="F2049" s="4" t="str">
        <f>HYPERLINK("http://141.218.60.56/~jnz1568/getInfo.php?workbook=18_08.xlsx&amp;sheet=A0&amp;row=2049&amp;col=6&amp;number=1340000000&amp;sourceID=14","1340000000")</f>
        <v>1340000000</v>
      </c>
      <c r="G2049" s="4" t="str">
        <f>HYPERLINK("http://141.218.60.56/~jnz1568/getInfo.php?workbook=18_08.xlsx&amp;sheet=A0&amp;row=2049&amp;col=7&amp;number=0&amp;sourceID=14","0")</f>
        <v>0</v>
      </c>
    </row>
    <row r="2050" spans="1:7">
      <c r="A2050" s="3">
        <v>18</v>
      </c>
      <c r="B2050" s="3">
        <v>8</v>
      </c>
      <c r="C2050" s="3">
        <v>81</v>
      </c>
      <c r="D2050" s="3">
        <v>36</v>
      </c>
      <c r="E2050" s="3">
        <v>-525.89</v>
      </c>
      <c r="F2050" s="4" t="str">
        <f>HYPERLINK("http://141.218.60.56/~jnz1568/getInfo.php?workbook=18_08.xlsx&amp;sheet=A0&amp;row=2050&amp;col=6&amp;number=102500000&amp;sourceID=14","102500000")</f>
        <v>102500000</v>
      </c>
      <c r="G2050" s="4" t="str">
        <f>HYPERLINK("http://141.218.60.56/~jnz1568/getInfo.php?workbook=18_08.xlsx&amp;sheet=A0&amp;row=2050&amp;col=7&amp;number=0&amp;sourceID=14","0")</f>
        <v>0</v>
      </c>
    </row>
    <row r="2051" spans="1:7">
      <c r="A2051" s="3">
        <v>18</v>
      </c>
      <c r="B2051" s="3">
        <v>8</v>
      </c>
      <c r="C2051" s="3">
        <v>82</v>
      </c>
      <c r="D2051" s="3">
        <v>36</v>
      </c>
      <c r="E2051" s="3">
        <v>-516.999</v>
      </c>
      <c r="F2051" s="4" t="str">
        <f>HYPERLINK("http://141.218.60.56/~jnz1568/getInfo.php?workbook=18_08.xlsx&amp;sheet=A0&amp;row=2051&amp;col=6&amp;number=0.01701&amp;sourceID=14","0.01701")</f>
        <v>0.01701</v>
      </c>
      <c r="G2051" s="4" t="str">
        <f>HYPERLINK("http://141.218.60.56/~jnz1568/getInfo.php?workbook=18_08.xlsx&amp;sheet=A0&amp;row=2051&amp;col=7&amp;number=0&amp;sourceID=14","0")</f>
        <v>0</v>
      </c>
    </row>
    <row r="2052" spans="1:7">
      <c r="A2052" s="3">
        <v>18</v>
      </c>
      <c r="B2052" s="3">
        <v>8</v>
      </c>
      <c r="C2052" s="3">
        <v>83</v>
      </c>
      <c r="D2052" s="3">
        <v>36</v>
      </c>
      <c r="E2052" s="3">
        <v>-516.429</v>
      </c>
      <c r="F2052" s="4" t="str">
        <f>HYPERLINK("http://141.218.60.56/~jnz1568/getInfo.php?workbook=18_08.xlsx&amp;sheet=A0&amp;row=2052&amp;col=6&amp;number=14990000&amp;sourceID=14","14990000")</f>
        <v>14990000</v>
      </c>
      <c r="G2052" s="4" t="str">
        <f>HYPERLINK("http://141.218.60.56/~jnz1568/getInfo.php?workbook=18_08.xlsx&amp;sheet=A0&amp;row=2052&amp;col=7&amp;number=0&amp;sourceID=14","0")</f>
        <v>0</v>
      </c>
    </row>
    <row r="2053" spans="1:7">
      <c r="A2053" s="3">
        <v>18</v>
      </c>
      <c r="B2053" s="3">
        <v>8</v>
      </c>
      <c r="C2053" s="3">
        <v>84</v>
      </c>
      <c r="D2053" s="3">
        <v>36</v>
      </c>
      <c r="E2053" s="3">
        <v>-484.53</v>
      </c>
      <c r="F2053" s="4" t="str">
        <f>HYPERLINK("http://141.218.60.56/~jnz1568/getInfo.php?workbook=18_08.xlsx&amp;sheet=A0&amp;row=2053&amp;col=6&amp;number=25180000&amp;sourceID=14","25180000")</f>
        <v>25180000</v>
      </c>
      <c r="G2053" s="4" t="str">
        <f>HYPERLINK("http://141.218.60.56/~jnz1568/getInfo.php?workbook=18_08.xlsx&amp;sheet=A0&amp;row=2053&amp;col=7&amp;number=0&amp;sourceID=14","0")</f>
        <v>0</v>
      </c>
    </row>
    <row r="2054" spans="1:7">
      <c r="A2054" s="3">
        <v>18</v>
      </c>
      <c r="B2054" s="3">
        <v>8</v>
      </c>
      <c r="C2054" s="3">
        <v>85</v>
      </c>
      <c r="D2054" s="3">
        <v>36</v>
      </c>
      <c r="E2054" s="3">
        <v>-476.103</v>
      </c>
      <c r="F2054" s="4" t="str">
        <f>HYPERLINK("http://141.218.60.56/~jnz1568/getInfo.php?workbook=18_08.xlsx&amp;sheet=A0&amp;row=2054&amp;col=6&amp;number=0.0001871&amp;sourceID=14","0.0001871")</f>
        <v>0.0001871</v>
      </c>
      <c r="G2054" s="4" t="str">
        <f>HYPERLINK("http://141.218.60.56/~jnz1568/getInfo.php?workbook=18_08.xlsx&amp;sheet=A0&amp;row=2054&amp;col=7&amp;number=0&amp;sourceID=14","0")</f>
        <v>0</v>
      </c>
    </row>
    <row r="2055" spans="1:7">
      <c r="A2055" s="3">
        <v>18</v>
      </c>
      <c r="B2055" s="3">
        <v>8</v>
      </c>
      <c r="C2055" s="3">
        <v>86</v>
      </c>
      <c r="D2055" s="3">
        <v>36</v>
      </c>
      <c r="E2055" s="3">
        <v>-414.901</v>
      </c>
      <c r="F2055" s="4" t="str">
        <f>HYPERLINK("http://141.218.60.56/~jnz1568/getInfo.php?workbook=18_08.xlsx&amp;sheet=A0&amp;row=2055&amp;col=6&amp;number=49630000&amp;sourceID=14","49630000")</f>
        <v>49630000</v>
      </c>
      <c r="G2055" s="4" t="str">
        <f>HYPERLINK("http://141.218.60.56/~jnz1568/getInfo.php?workbook=18_08.xlsx&amp;sheet=A0&amp;row=2055&amp;col=7&amp;number=0&amp;sourceID=14","0")</f>
        <v>0</v>
      </c>
    </row>
    <row r="2056" spans="1:7">
      <c r="A2056" s="3">
        <v>18</v>
      </c>
      <c r="B2056" s="3">
        <v>8</v>
      </c>
      <c r="C2056" s="3">
        <v>38</v>
      </c>
      <c r="D2056" s="3">
        <v>37</v>
      </c>
      <c r="E2056" s="3">
        <v>-6471.745</v>
      </c>
      <c r="F2056" s="4" t="str">
        <f>HYPERLINK("http://141.218.60.56/~jnz1568/getInfo.php?workbook=18_08.xlsx&amp;sheet=A0&amp;row=2056&amp;col=6&amp;number=1.747e-08&amp;sourceID=14","1.747e-08")</f>
        <v>1.747e-08</v>
      </c>
      <c r="G2056" s="4" t="str">
        <f>HYPERLINK("http://141.218.60.56/~jnz1568/getInfo.php?workbook=18_08.xlsx&amp;sheet=A0&amp;row=2056&amp;col=7&amp;number=0&amp;sourceID=14","0")</f>
        <v>0</v>
      </c>
    </row>
    <row r="2057" spans="1:7">
      <c r="A2057" s="3">
        <v>18</v>
      </c>
      <c r="B2057" s="3">
        <v>8</v>
      </c>
      <c r="C2057" s="3">
        <v>39</v>
      </c>
      <c r="D2057" s="3">
        <v>37</v>
      </c>
      <c r="E2057" s="3">
        <v>-6432.895</v>
      </c>
      <c r="F2057" s="4" t="str">
        <f>HYPERLINK("http://141.218.60.56/~jnz1568/getInfo.php?workbook=18_08.xlsx&amp;sheet=A0&amp;row=2057&amp;col=6&amp;number=13.62&amp;sourceID=14","13.62")</f>
        <v>13.62</v>
      </c>
      <c r="G2057" s="4" t="str">
        <f>HYPERLINK("http://141.218.60.56/~jnz1568/getInfo.php?workbook=18_08.xlsx&amp;sheet=A0&amp;row=2057&amp;col=7&amp;number=0&amp;sourceID=14","0")</f>
        <v>0</v>
      </c>
    </row>
    <row r="2058" spans="1:7">
      <c r="A2058" s="3">
        <v>18</v>
      </c>
      <c r="B2058" s="3">
        <v>8</v>
      </c>
      <c r="C2058" s="3">
        <v>40</v>
      </c>
      <c r="D2058" s="3">
        <v>37</v>
      </c>
      <c r="E2058" s="3">
        <v>8942.944</v>
      </c>
      <c r="F2058" s="4" t="str">
        <f>HYPERLINK("http://141.218.60.56/~jnz1568/getInfo.php?workbook=18_08.xlsx&amp;sheet=A0&amp;row=2058&amp;col=6&amp;number=1.99&amp;sourceID=14","1.99")</f>
        <v>1.99</v>
      </c>
      <c r="G2058" s="4" t="str">
        <f>HYPERLINK("http://141.218.60.56/~jnz1568/getInfo.php?workbook=18_08.xlsx&amp;sheet=A0&amp;row=2058&amp;col=7&amp;number=0&amp;sourceID=14","0")</f>
        <v>0</v>
      </c>
    </row>
    <row r="2059" spans="1:7">
      <c r="A2059" s="3">
        <v>18</v>
      </c>
      <c r="B2059" s="3">
        <v>8</v>
      </c>
      <c r="C2059" s="3">
        <v>41</v>
      </c>
      <c r="D2059" s="3">
        <v>37</v>
      </c>
      <c r="E2059" s="3">
        <v>-6271.598</v>
      </c>
      <c r="F2059" s="4" t="str">
        <f>HYPERLINK("http://141.218.60.56/~jnz1568/getInfo.php?workbook=18_08.xlsx&amp;sheet=A0&amp;row=2059&amp;col=6&amp;number=107.1&amp;sourceID=14","107.1")</f>
        <v>107.1</v>
      </c>
      <c r="G2059" s="4" t="str">
        <f>HYPERLINK("http://141.218.60.56/~jnz1568/getInfo.php?workbook=18_08.xlsx&amp;sheet=A0&amp;row=2059&amp;col=7&amp;number=0&amp;sourceID=14","0")</f>
        <v>0</v>
      </c>
    </row>
    <row r="2060" spans="1:7">
      <c r="A2060" s="3">
        <v>18</v>
      </c>
      <c r="B2060" s="3">
        <v>8</v>
      </c>
      <c r="C2060" s="3">
        <v>42</v>
      </c>
      <c r="D2060" s="3">
        <v>37</v>
      </c>
      <c r="E2060" s="3">
        <v>-6121.193</v>
      </c>
      <c r="F2060" s="4" t="str">
        <f>HYPERLINK("http://141.218.60.56/~jnz1568/getInfo.php?workbook=18_08.xlsx&amp;sheet=A0&amp;row=2060&amp;col=6&amp;number=4.33e-07&amp;sourceID=14","4.33e-07")</f>
        <v>4.33e-07</v>
      </c>
      <c r="G2060" s="4" t="str">
        <f>HYPERLINK("http://141.218.60.56/~jnz1568/getInfo.php?workbook=18_08.xlsx&amp;sheet=A0&amp;row=2060&amp;col=7&amp;number=0&amp;sourceID=14","0")</f>
        <v>0</v>
      </c>
    </row>
    <row r="2061" spans="1:7">
      <c r="A2061" s="3">
        <v>18</v>
      </c>
      <c r="B2061" s="3">
        <v>8</v>
      </c>
      <c r="C2061" s="3">
        <v>43</v>
      </c>
      <c r="D2061" s="3">
        <v>37</v>
      </c>
      <c r="E2061" s="3">
        <v>-30784.756</v>
      </c>
      <c r="F2061" s="4" t="str">
        <f>HYPERLINK("http://141.218.60.56/~jnz1568/getInfo.php?workbook=18_08.xlsx&amp;sheet=A0&amp;row=2061&amp;col=6&amp;number=0.0868&amp;sourceID=14","0.0868")</f>
        <v>0.0868</v>
      </c>
      <c r="G2061" s="4" t="str">
        <f>HYPERLINK("http://141.218.60.56/~jnz1568/getInfo.php?workbook=18_08.xlsx&amp;sheet=A0&amp;row=2061&amp;col=7&amp;number=0&amp;sourceID=14","0")</f>
        <v>0</v>
      </c>
    </row>
    <row r="2062" spans="1:7">
      <c r="A2062" s="3">
        <v>18</v>
      </c>
      <c r="B2062" s="3">
        <v>8</v>
      </c>
      <c r="C2062" s="3">
        <v>45</v>
      </c>
      <c r="D2062" s="3">
        <v>37</v>
      </c>
      <c r="E2062" s="3">
        <v>-76530.125</v>
      </c>
      <c r="F2062" s="4" t="str">
        <f>HYPERLINK("http://141.218.60.56/~jnz1568/getInfo.php?workbook=18_08.xlsx&amp;sheet=A0&amp;row=2062&amp;col=6&amp;number=0.009088&amp;sourceID=14","0.009088")</f>
        <v>0.009088</v>
      </c>
      <c r="G2062" s="4" t="str">
        <f>HYPERLINK("http://141.218.60.56/~jnz1568/getInfo.php?workbook=18_08.xlsx&amp;sheet=A0&amp;row=2062&amp;col=7&amp;number=0&amp;sourceID=14","0")</f>
        <v>0</v>
      </c>
    </row>
    <row r="2063" spans="1:7">
      <c r="A2063" s="3">
        <v>18</v>
      </c>
      <c r="B2063" s="3">
        <v>8</v>
      </c>
      <c r="C2063" s="3">
        <v>46</v>
      </c>
      <c r="D2063" s="3">
        <v>37</v>
      </c>
      <c r="E2063" s="3">
        <v>-8229.678</v>
      </c>
      <c r="F2063" s="4" t="str">
        <f>HYPERLINK("http://141.218.60.56/~jnz1568/getInfo.php?workbook=18_08.xlsx&amp;sheet=A0&amp;row=2063&amp;col=6&amp;number=2.69&amp;sourceID=14","2.69")</f>
        <v>2.69</v>
      </c>
      <c r="G2063" s="4" t="str">
        <f>HYPERLINK("http://141.218.60.56/~jnz1568/getInfo.php?workbook=18_08.xlsx&amp;sheet=A0&amp;row=2063&amp;col=7&amp;number=0&amp;sourceID=14","0")</f>
        <v>0</v>
      </c>
    </row>
    <row r="2064" spans="1:7">
      <c r="A2064" s="3">
        <v>18</v>
      </c>
      <c r="B2064" s="3">
        <v>8</v>
      </c>
      <c r="C2064" s="3">
        <v>47</v>
      </c>
      <c r="D2064" s="3">
        <v>37</v>
      </c>
      <c r="E2064" s="3">
        <v>-14620.048</v>
      </c>
      <c r="F2064" s="4" t="str">
        <f>HYPERLINK("http://141.218.60.56/~jnz1568/getInfo.php?workbook=18_08.xlsx&amp;sheet=A0&amp;row=2064&amp;col=6&amp;number=0.5413&amp;sourceID=14","0.5413")</f>
        <v>0.5413</v>
      </c>
      <c r="G2064" s="4" t="str">
        <f>HYPERLINK("http://141.218.60.56/~jnz1568/getInfo.php?workbook=18_08.xlsx&amp;sheet=A0&amp;row=2064&amp;col=7&amp;number=0&amp;sourceID=14","0")</f>
        <v>0</v>
      </c>
    </row>
    <row r="2065" spans="1:7">
      <c r="A2065" s="3">
        <v>18</v>
      </c>
      <c r="B2065" s="3">
        <v>8</v>
      </c>
      <c r="C2065" s="3">
        <v>48</v>
      </c>
      <c r="D2065" s="3">
        <v>37</v>
      </c>
      <c r="E2065" s="3">
        <v>-6101.702</v>
      </c>
      <c r="F2065" s="4" t="str">
        <f>HYPERLINK("http://141.218.60.56/~jnz1568/getInfo.php?workbook=18_08.xlsx&amp;sheet=A0&amp;row=2065&amp;col=6&amp;number=14&amp;sourceID=14","14")</f>
        <v>14</v>
      </c>
      <c r="G2065" s="4" t="str">
        <f>HYPERLINK("http://141.218.60.56/~jnz1568/getInfo.php?workbook=18_08.xlsx&amp;sheet=A0&amp;row=2065&amp;col=7&amp;number=0&amp;sourceID=14","0")</f>
        <v>0</v>
      </c>
    </row>
    <row r="2066" spans="1:7">
      <c r="A2066" s="3">
        <v>18</v>
      </c>
      <c r="B2066" s="3">
        <v>8</v>
      </c>
      <c r="C2066" s="3">
        <v>49</v>
      </c>
      <c r="D2066" s="3">
        <v>37</v>
      </c>
      <c r="E2066" s="3">
        <v>-3718.339</v>
      </c>
      <c r="F2066" s="4" t="str">
        <f>HYPERLINK("http://141.218.60.56/~jnz1568/getInfo.php?workbook=18_08.xlsx&amp;sheet=A0&amp;row=2066&amp;col=6&amp;number=7.542&amp;sourceID=14","7.542")</f>
        <v>7.542</v>
      </c>
      <c r="G2066" s="4" t="str">
        <f>HYPERLINK("http://141.218.60.56/~jnz1568/getInfo.php?workbook=18_08.xlsx&amp;sheet=A0&amp;row=2066&amp;col=7&amp;number=0&amp;sourceID=14","0")</f>
        <v>0</v>
      </c>
    </row>
    <row r="2067" spans="1:7">
      <c r="A2067" s="3">
        <v>18</v>
      </c>
      <c r="B2067" s="3">
        <v>8</v>
      </c>
      <c r="C2067" s="3">
        <v>50</v>
      </c>
      <c r="D2067" s="3">
        <v>37</v>
      </c>
      <c r="E2067" s="3">
        <v>-3356.281</v>
      </c>
      <c r="F2067" s="4" t="str">
        <f>HYPERLINK("http://141.218.60.56/~jnz1568/getInfo.php?workbook=18_08.xlsx&amp;sheet=A0&amp;row=2067&amp;col=6&amp;number=38.74&amp;sourceID=14","38.74")</f>
        <v>38.74</v>
      </c>
      <c r="G2067" s="4" t="str">
        <f>HYPERLINK("http://141.218.60.56/~jnz1568/getInfo.php?workbook=18_08.xlsx&amp;sheet=A0&amp;row=2067&amp;col=7&amp;number=0&amp;sourceID=14","0")</f>
        <v>0</v>
      </c>
    </row>
    <row r="2068" spans="1:7">
      <c r="A2068" s="3">
        <v>18</v>
      </c>
      <c r="B2068" s="3">
        <v>8</v>
      </c>
      <c r="C2068" s="3">
        <v>51</v>
      </c>
      <c r="D2068" s="3">
        <v>37</v>
      </c>
      <c r="E2068" s="3">
        <v>1768.972</v>
      </c>
      <c r="F2068" s="4" t="str">
        <f>HYPERLINK("http://141.218.60.56/~jnz1568/getInfo.php?workbook=18_08.xlsx&amp;sheet=A0&amp;row=2068&amp;col=6&amp;number=900300&amp;sourceID=14","900300")</f>
        <v>900300</v>
      </c>
      <c r="G2068" s="4" t="str">
        <f>HYPERLINK("http://141.218.60.56/~jnz1568/getInfo.php?workbook=18_08.xlsx&amp;sheet=A0&amp;row=2068&amp;col=7&amp;number=0&amp;sourceID=14","0")</f>
        <v>0</v>
      </c>
    </row>
    <row r="2069" spans="1:7">
      <c r="A2069" s="3">
        <v>18</v>
      </c>
      <c r="B2069" s="3">
        <v>8</v>
      </c>
      <c r="C2069" s="3">
        <v>52</v>
      </c>
      <c r="D2069" s="3">
        <v>37</v>
      </c>
      <c r="E2069" s="3">
        <v>1807.109</v>
      </c>
      <c r="F2069" s="4" t="str">
        <f>HYPERLINK("http://141.218.60.56/~jnz1568/getInfo.php?workbook=18_08.xlsx&amp;sheet=A0&amp;row=2069&amp;col=6&amp;number=212700&amp;sourceID=14","212700")</f>
        <v>212700</v>
      </c>
      <c r="G2069" s="4" t="str">
        <f>HYPERLINK("http://141.218.60.56/~jnz1568/getInfo.php?workbook=18_08.xlsx&amp;sheet=A0&amp;row=2069&amp;col=7&amp;number=0&amp;sourceID=14","0")</f>
        <v>0</v>
      </c>
    </row>
    <row r="2070" spans="1:7">
      <c r="A2070" s="3">
        <v>18</v>
      </c>
      <c r="B2070" s="3">
        <v>8</v>
      </c>
      <c r="C2070" s="3">
        <v>53</v>
      </c>
      <c r="D2070" s="3">
        <v>37</v>
      </c>
      <c r="E2070" s="3">
        <v>-3208.339</v>
      </c>
      <c r="F2070" s="4" t="str">
        <f>HYPERLINK("http://141.218.60.56/~jnz1568/getInfo.php?workbook=18_08.xlsx&amp;sheet=A0&amp;row=2070&amp;col=6&amp;number=0.004053&amp;sourceID=14","0.004053")</f>
        <v>0.004053</v>
      </c>
      <c r="G2070" s="4" t="str">
        <f>HYPERLINK("http://141.218.60.56/~jnz1568/getInfo.php?workbook=18_08.xlsx&amp;sheet=A0&amp;row=2070&amp;col=7&amp;number=0&amp;sourceID=14","0")</f>
        <v>0</v>
      </c>
    </row>
    <row r="2071" spans="1:7">
      <c r="A2071" s="3">
        <v>18</v>
      </c>
      <c r="B2071" s="3">
        <v>8</v>
      </c>
      <c r="C2071" s="3">
        <v>54</v>
      </c>
      <c r="D2071" s="3">
        <v>37</v>
      </c>
      <c r="E2071" s="3">
        <v>1768.972</v>
      </c>
      <c r="F2071" s="4" t="str">
        <f>HYPERLINK("http://141.218.60.56/~jnz1568/getInfo.php?workbook=18_08.xlsx&amp;sheet=A0&amp;row=2071&amp;col=6&amp;number=1474000&amp;sourceID=14","1474000")</f>
        <v>1474000</v>
      </c>
      <c r="G2071" s="4" t="str">
        <f>HYPERLINK("http://141.218.60.56/~jnz1568/getInfo.php?workbook=18_08.xlsx&amp;sheet=A0&amp;row=2071&amp;col=7&amp;number=0&amp;sourceID=14","0")</f>
        <v>0</v>
      </c>
    </row>
    <row r="2072" spans="1:7">
      <c r="A2072" s="3">
        <v>18</v>
      </c>
      <c r="B2072" s="3">
        <v>8</v>
      </c>
      <c r="C2072" s="3">
        <v>55</v>
      </c>
      <c r="D2072" s="3">
        <v>37</v>
      </c>
      <c r="E2072" s="3">
        <v>-1644.68</v>
      </c>
      <c r="F2072" s="4" t="str">
        <f>HYPERLINK("http://141.218.60.56/~jnz1568/getInfo.php?workbook=18_08.xlsx&amp;sheet=A0&amp;row=2072&amp;col=6&amp;number=38.36&amp;sourceID=14","38.36")</f>
        <v>38.36</v>
      </c>
      <c r="G2072" s="4" t="str">
        <f>HYPERLINK("http://141.218.60.56/~jnz1568/getInfo.php?workbook=18_08.xlsx&amp;sheet=A0&amp;row=2072&amp;col=7&amp;number=0&amp;sourceID=14","0")</f>
        <v>0</v>
      </c>
    </row>
    <row r="2073" spans="1:7">
      <c r="A2073" s="3">
        <v>18</v>
      </c>
      <c r="B2073" s="3">
        <v>8</v>
      </c>
      <c r="C2073" s="3">
        <v>56</v>
      </c>
      <c r="D2073" s="3">
        <v>37</v>
      </c>
      <c r="E2073" s="3">
        <v>845.08</v>
      </c>
      <c r="F2073" s="4" t="str">
        <f>HYPERLINK("http://141.218.60.56/~jnz1568/getInfo.php?workbook=18_08.xlsx&amp;sheet=A0&amp;row=2073&amp;col=6&amp;number=54820&amp;sourceID=14","54820")</f>
        <v>54820</v>
      </c>
      <c r="G2073" s="4" t="str">
        <f>HYPERLINK("http://141.218.60.56/~jnz1568/getInfo.php?workbook=18_08.xlsx&amp;sheet=A0&amp;row=2073&amp;col=7&amp;number=0&amp;sourceID=14","0")</f>
        <v>0</v>
      </c>
    </row>
    <row r="2074" spans="1:7">
      <c r="A2074" s="3">
        <v>18</v>
      </c>
      <c r="B2074" s="3">
        <v>8</v>
      </c>
      <c r="C2074" s="3">
        <v>57</v>
      </c>
      <c r="D2074" s="3">
        <v>37</v>
      </c>
      <c r="E2074" s="3">
        <v>-890.519</v>
      </c>
      <c r="F2074" s="4" t="str">
        <f>HYPERLINK("http://141.218.60.56/~jnz1568/getInfo.php?workbook=18_08.xlsx&amp;sheet=A0&amp;row=2074&amp;col=6&amp;number=11540&amp;sourceID=14","11540")</f>
        <v>11540</v>
      </c>
      <c r="G2074" s="4" t="str">
        <f>HYPERLINK("http://141.218.60.56/~jnz1568/getInfo.php?workbook=18_08.xlsx&amp;sheet=A0&amp;row=2074&amp;col=7&amp;number=0&amp;sourceID=14","0")</f>
        <v>0</v>
      </c>
    </row>
    <row r="2075" spans="1:7">
      <c r="A2075" s="3">
        <v>18</v>
      </c>
      <c r="B2075" s="3">
        <v>8</v>
      </c>
      <c r="C2075" s="3">
        <v>58</v>
      </c>
      <c r="D2075" s="3">
        <v>37</v>
      </c>
      <c r="E2075" s="3">
        <v>-869.417</v>
      </c>
      <c r="F2075" s="4" t="str">
        <f>HYPERLINK("http://141.218.60.56/~jnz1568/getInfo.php?workbook=18_08.xlsx&amp;sheet=A0&amp;row=2075&amp;col=6&amp;number=0.0476&amp;sourceID=14","0.0476")</f>
        <v>0.0476</v>
      </c>
      <c r="G2075" s="4" t="str">
        <f>HYPERLINK("http://141.218.60.56/~jnz1568/getInfo.php?workbook=18_08.xlsx&amp;sheet=A0&amp;row=2075&amp;col=7&amp;number=0&amp;sourceID=14","0")</f>
        <v>0</v>
      </c>
    </row>
    <row r="2076" spans="1:7">
      <c r="A2076" s="3">
        <v>18</v>
      </c>
      <c r="B2076" s="3">
        <v>8</v>
      </c>
      <c r="C2076" s="3">
        <v>59</v>
      </c>
      <c r="D2076" s="3">
        <v>37</v>
      </c>
      <c r="E2076" s="3">
        <v>-858.914</v>
      </c>
      <c r="F2076" s="4" t="str">
        <f>HYPERLINK("http://141.218.60.56/~jnz1568/getInfo.php?workbook=18_08.xlsx&amp;sheet=A0&amp;row=2076&amp;col=6&amp;number=0.006805&amp;sourceID=14","0.006805")</f>
        <v>0.006805</v>
      </c>
      <c r="G2076" s="4" t="str">
        <f>HYPERLINK("http://141.218.60.56/~jnz1568/getInfo.php?workbook=18_08.xlsx&amp;sheet=A0&amp;row=2076&amp;col=7&amp;number=0&amp;sourceID=14","0")</f>
        <v>0</v>
      </c>
    </row>
    <row r="2077" spans="1:7">
      <c r="A2077" s="3">
        <v>18</v>
      </c>
      <c r="B2077" s="3">
        <v>8</v>
      </c>
      <c r="C2077" s="3">
        <v>60</v>
      </c>
      <c r="D2077" s="3">
        <v>37</v>
      </c>
      <c r="E2077" s="3">
        <v>-810.387</v>
      </c>
      <c r="F2077" s="4" t="str">
        <f>HYPERLINK("http://141.218.60.56/~jnz1568/getInfo.php?workbook=18_08.xlsx&amp;sheet=A0&amp;row=2077&amp;col=6&amp;number=9053&amp;sourceID=14","9053")</f>
        <v>9053</v>
      </c>
      <c r="G2077" s="4" t="str">
        <f>HYPERLINK("http://141.218.60.56/~jnz1568/getInfo.php?workbook=18_08.xlsx&amp;sheet=A0&amp;row=2077&amp;col=7&amp;number=0&amp;sourceID=14","0")</f>
        <v>0</v>
      </c>
    </row>
    <row r="2078" spans="1:7">
      <c r="A2078" s="3">
        <v>18</v>
      </c>
      <c r="B2078" s="3">
        <v>8</v>
      </c>
      <c r="C2078" s="3">
        <v>61</v>
      </c>
      <c r="D2078" s="3">
        <v>37</v>
      </c>
      <c r="E2078" s="3">
        <v>-799.992</v>
      </c>
      <c r="F2078" s="4" t="str">
        <f>HYPERLINK("http://141.218.60.56/~jnz1568/getInfo.php?workbook=18_08.xlsx&amp;sheet=A0&amp;row=2078&amp;col=6&amp;number=0.003275&amp;sourceID=14","0.003275")</f>
        <v>0.003275</v>
      </c>
      <c r="G2078" s="4" t="str">
        <f>HYPERLINK("http://141.218.60.56/~jnz1568/getInfo.php?workbook=18_08.xlsx&amp;sheet=A0&amp;row=2078&amp;col=7&amp;number=0&amp;sourceID=14","0")</f>
        <v>0</v>
      </c>
    </row>
    <row r="2079" spans="1:7">
      <c r="A2079" s="3">
        <v>18</v>
      </c>
      <c r="B2079" s="3">
        <v>8</v>
      </c>
      <c r="C2079" s="3">
        <v>63</v>
      </c>
      <c r="D2079" s="3">
        <v>37</v>
      </c>
      <c r="E2079" s="3">
        <v>-768.21</v>
      </c>
      <c r="F2079" s="4" t="str">
        <f>HYPERLINK("http://141.218.60.56/~jnz1568/getInfo.php?workbook=18_08.xlsx&amp;sheet=A0&amp;row=2079&amp;col=6&amp;number=0.0002791&amp;sourceID=14","0.0002791")</f>
        <v>0.0002791</v>
      </c>
      <c r="G2079" s="4" t="str">
        <f>HYPERLINK("http://141.218.60.56/~jnz1568/getInfo.php?workbook=18_08.xlsx&amp;sheet=A0&amp;row=2079&amp;col=7&amp;number=0&amp;sourceID=14","0")</f>
        <v>0</v>
      </c>
    </row>
    <row r="2080" spans="1:7">
      <c r="A2080" s="3">
        <v>18</v>
      </c>
      <c r="B2080" s="3">
        <v>8</v>
      </c>
      <c r="C2080" s="3">
        <v>64</v>
      </c>
      <c r="D2080" s="3">
        <v>37</v>
      </c>
      <c r="E2080" s="3">
        <v>704.156</v>
      </c>
      <c r="F2080" s="4" t="str">
        <f>HYPERLINK("http://141.218.60.56/~jnz1568/getInfo.php?workbook=18_08.xlsx&amp;sheet=A0&amp;row=2080&amp;col=6&amp;number=11900&amp;sourceID=14","11900")</f>
        <v>11900</v>
      </c>
      <c r="G2080" s="4" t="str">
        <f>HYPERLINK("http://141.218.60.56/~jnz1568/getInfo.php?workbook=18_08.xlsx&amp;sheet=A0&amp;row=2080&amp;col=7&amp;number=0&amp;sourceID=14","0")</f>
        <v>0</v>
      </c>
    </row>
    <row r="2081" spans="1:7">
      <c r="A2081" s="3">
        <v>18</v>
      </c>
      <c r="B2081" s="3">
        <v>8</v>
      </c>
      <c r="C2081" s="3">
        <v>65</v>
      </c>
      <c r="D2081" s="3">
        <v>37</v>
      </c>
      <c r="E2081" s="3">
        <v>-894.151</v>
      </c>
      <c r="F2081" s="4" t="str">
        <f>HYPERLINK("http://141.218.60.56/~jnz1568/getInfo.php?workbook=18_08.xlsx&amp;sheet=A0&amp;row=2081&amp;col=6&amp;number=30.51&amp;sourceID=14","30.51")</f>
        <v>30.51</v>
      </c>
      <c r="G2081" s="4" t="str">
        <f>HYPERLINK("http://141.218.60.56/~jnz1568/getInfo.php?workbook=18_08.xlsx&amp;sheet=A0&amp;row=2081&amp;col=7&amp;number=0&amp;sourceID=14","0")</f>
        <v>0</v>
      </c>
    </row>
    <row r="2082" spans="1:7">
      <c r="A2082" s="3">
        <v>18</v>
      </c>
      <c r="B2082" s="3">
        <v>8</v>
      </c>
      <c r="C2082" s="3">
        <v>66</v>
      </c>
      <c r="D2082" s="3">
        <v>37</v>
      </c>
      <c r="E2082" s="3">
        <v>706.015</v>
      </c>
      <c r="F2082" s="4" t="str">
        <f>HYPERLINK("http://141.218.60.56/~jnz1568/getInfo.php?workbook=18_08.xlsx&amp;sheet=A0&amp;row=2082&amp;col=6&amp;number=16020000&amp;sourceID=14","16020000")</f>
        <v>16020000</v>
      </c>
      <c r="G2082" s="4" t="str">
        <f>HYPERLINK("http://141.218.60.56/~jnz1568/getInfo.php?workbook=18_08.xlsx&amp;sheet=A0&amp;row=2082&amp;col=7&amp;number=0&amp;sourceID=14","0")</f>
        <v>0</v>
      </c>
    </row>
    <row r="2083" spans="1:7">
      <c r="A2083" s="3">
        <v>18</v>
      </c>
      <c r="B2083" s="3">
        <v>8</v>
      </c>
      <c r="C2083" s="3">
        <v>67</v>
      </c>
      <c r="D2083" s="3">
        <v>37</v>
      </c>
      <c r="E2083" s="3">
        <v>752.196</v>
      </c>
      <c r="F2083" s="4" t="str">
        <f>HYPERLINK("http://141.218.60.56/~jnz1568/getInfo.php?workbook=18_08.xlsx&amp;sheet=A0&amp;row=2083&amp;col=6&amp;number=5443000&amp;sourceID=14","5443000")</f>
        <v>5443000</v>
      </c>
      <c r="G2083" s="4" t="str">
        <f>HYPERLINK("http://141.218.60.56/~jnz1568/getInfo.php?workbook=18_08.xlsx&amp;sheet=A0&amp;row=2083&amp;col=7&amp;number=0&amp;sourceID=14","0")</f>
        <v>0</v>
      </c>
    </row>
    <row r="2084" spans="1:7">
      <c r="A2084" s="3">
        <v>18</v>
      </c>
      <c r="B2084" s="3">
        <v>8</v>
      </c>
      <c r="C2084" s="3">
        <v>68</v>
      </c>
      <c r="D2084" s="3">
        <v>37</v>
      </c>
      <c r="E2084" s="3">
        <v>698.236</v>
      </c>
      <c r="F2084" s="4" t="str">
        <f>HYPERLINK("http://141.218.60.56/~jnz1568/getInfo.php?workbook=18_08.xlsx&amp;sheet=A0&amp;row=2084&amp;col=6&amp;number=606900000&amp;sourceID=14","606900000")</f>
        <v>606900000</v>
      </c>
      <c r="G2084" s="4" t="str">
        <f>HYPERLINK("http://141.218.60.56/~jnz1568/getInfo.php?workbook=18_08.xlsx&amp;sheet=A0&amp;row=2084&amp;col=7&amp;number=0&amp;sourceID=14","0")</f>
        <v>0</v>
      </c>
    </row>
    <row r="2085" spans="1:7">
      <c r="A2085" s="3">
        <v>18</v>
      </c>
      <c r="B2085" s="3">
        <v>8</v>
      </c>
      <c r="C2085" s="3">
        <v>69</v>
      </c>
      <c r="D2085" s="3">
        <v>37</v>
      </c>
      <c r="E2085" s="3">
        <v>656.896</v>
      </c>
      <c r="F2085" s="4" t="str">
        <f>HYPERLINK("http://141.218.60.56/~jnz1568/getInfo.php?workbook=18_08.xlsx&amp;sheet=A0&amp;row=2085&amp;col=6&amp;number=912800000&amp;sourceID=14","912800000")</f>
        <v>912800000</v>
      </c>
      <c r="G2085" s="4" t="str">
        <f>HYPERLINK("http://141.218.60.56/~jnz1568/getInfo.php?workbook=18_08.xlsx&amp;sheet=A0&amp;row=2085&amp;col=7&amp;number=0&amp;sourceID=14","0")</f>
        <v>0</v>
      </c>
    </row>
    <row r="2086" spans="1:7">
      <c r="A2086" s="3">
        <v>18</v>
      </c>
      <c r="B2086" s="3">
        <v>8</v>
      </c>
      <c r="C2086" s="3">
        <v>70</v>
      </c>
      <c r="D2086" s="3">
        <v>37</v>
      </c>
      <c r="E2086" s="3">
        <v>-649.406</v>
      </c>
      <c r="F2086" s="4" t="str">
        <f>HYPERLINK("http://141.218.60.56/~jnz1568/getInfo.php?workbook=18_08.xlsx&amp;sheet=A0&amp;row=2086&amp;col=6&amp;number=0.04692&amp;sourceID=14","0.04692")</f>
        <v>0.04692</v>
      </c>
      <c r="G2086" s="4" t="str">
        <f>HYPERLINK("http://141.218.60.56/~jnz1568/getInfo.php?workbook=18_08.xlsx&amp;sheet=A0&amp;row=2086&amp;col=7&amp;number=0&amp;sourceID=14","0")</f>
        <v>0</v>
      </c>
    </row>
    <row r="2087" spans="1:7">
      <c r="A2087" s="3">
        <v>18</v>
      </c>
      <c r="B2087" s="3">
        <v>8</v>
      </c>
      <c r="C2087" s="3">
        <v>71</v>
      </c>
      <c r="D2087" s="3">
        <v>37</v>
      </c>
      <c r="E2087" s="3">
        <v>611.098</v>
      </c>
      <c r="F2087" s="4" t="str">
        <f>HYPERLINK("http://141.218.60.56/~jnz1568/getInfo.php?workbook=18_08.xlsx&amp;sheet=A0&amp;row=2087&amp;col=6&amp;number=351800000&amp;sourceID=14","351800000")</f>
        <v>351800000</v>
      </c>
      <c r="G2087" s="4" t="str">
        <f>HYPERLINK("http://141.218.60.56/~jnz1568/getInfo.php?workbook=18_08.xlsx&amp;sheet=A0&amp;row=2087&amp;col=7&amp;number=0&amp;sourceID=14","0")</f>
        <v>0</v>
      </c>
    </row>
    <row r="2088" spans="1:7">
      <c r="A2088" s="3">
        <v>18</v>
      </c>
      <c r="B2088" s="3">
        <v>8</v>
      </c>
      <c r="C2088" s="3">
        <v>72</v>
      </c>
      <c r="D2088" s="3">
        <v>37</v>
      </c>
      <c r="E2088" s="3">
        <v>656.896</v>
      </c>
      <c r="F2088" s="4" t="str">
        <f>HYPERLINK("http://141.218.60.56/~jnz1568/getInfo.php?workbook=18_08.xlsx&amp;sheet=A0&amp;row=2088&amp;col=6&amp;number=1443000&amp;sourceID=14","1443000")</f>
        <v>1443000</v>
      </c>
      <c r="G2088" s="4" t="str">
        <f>HYPERLINK("http://141.218.60.56/~jnz1568/getInfo.php?workbook=18_08.xlsx&amp;sheet=A0&amp;row=2088&amp;col=7&amp;number=0&amp;sourceID=14","0")</f>
        <v>0</v>
      </c>
    </row>
    <row r="2089" spans="1:7">
      <c r="A2089" s="3">
        <v>18</v>
      </c>
      <c r="B2089" s="3">
        <v>8</v>
      </c>
      <c r="C2089" s="3">
        <v>73</v>
      </c>
      <c r="D2089" s="3">
        <v>37</v>
      </c>
      <c r="E2089" s="3">
        <v>611.098</v>
      </c>
      <c r="F2089" s="4" t="str">
        <f>HYPERLINK("http://141.218.60.56/~jnz1568/getInfo.php?workbook=18_08.xlsx&amp;sheet=A0&amp;row=2089&amp;col=6&amp;number=785400000&amp;sourceID=14","785400000")</f>
        <v>785400000</v>
      </c>
      <c r="G2089" s="4" t="str">
        <f>HYPERLINK("http://141.218.60.56/~jnz1568/getInfo.php?workbook=18_08.xlsx&amp;sheet=A0&amp;row=2089&amp;col=7&amp;number=0&amp;sourceID=14","0")</f>
        <v>0</v>
      </c>
    </row>
    <row r="2090" spans="1:7">
      <c r="A2090" s="3">
        <v>18</v>
      </c>
      <c r="B2090" s="3">
        <v>8</v>
      </c>
      <c r="C2090" s="3">
        <v>74</v>
      </c>
      <c r="D2090" s="3">
        <v>37</v>
      </c>
      <c r="E2090" s="3">
        <v>569.116</v>
      </c>
      <c r="F2090" s="4" t="str">
        <f>HYPERLINK("http://141.218.60.56/~jnz1568/getInfo.php?workbook=18_08.xlsx&amp;sheet=A0&amp;row=2090&amp;col=6&amp;number=327300000&amp;sourceID=14","327300000")</f>
        <v>327300000</v>
      </c>
      <c r="G2090" s="4" t="str">
        <f>HYPERLINK("http://141.218.60.56/~jnz1568/getInfo.php?workbook=18_08.xlsx&amp;sheet=A0&amp;row=2090&amp;col=7&amp;number=0&amp;sourceID=14","0")</f>
        <v>0</v>
      </c>
    </row>
    <row r="2091" spans="1:7">
      <c r="A2091" s="3">
        <v>18</v>
      </c>
      <c r="B2091" s="3">
        <v>8</v>
      </c>
      <c r="C2091" s="3">
        <v>75</v>
      </c>
      <c r="D2091" s="3">
        <v>37</v>
      </c>
      <c r="E2091" s="3">
        <v>-564.745</v>
      </c>
      <c r="F2091" s="4" t="str">
        <f>HYPERLINK("http://141.218.60.56/~jnz1568/getInfo.php?workbook=18_08.xlsx&amp;sheet=A0&amp;row=2091&amp;col=6&amp;number=81620000&amp;sourceID=14","81620000")</f>
        <v>81620000</v>
      </c>
      <c r="G2091" s="4" t="str">
        <f>HYPERLINK("http://141.218.60.56/~jnz1568/getInfo.php?workbook=18_08.xlsx&amp;sheet=A0&amp;row=2091&amp;col=7&amp;number=0&amp;sourceID=14","0")</f>
        <v>0</v>
      </c>
    </row>
    <row r="2092" spans="1:7">
      <c r="A2092" s="3">
        <v>18</v>
      </c>
      <c r="B2092" s="3">
        <v>8</v>
      </c>
      <c r="C2092" s="3">
        <v>76</v>
      </c>
      <c r="D2092" s="3">
        <v>37</v>
      </c>
      <c r="E2092" s="3">
        <v>-563.946</v>
      </c>
      <c r="F2092" s="4" t="str">
        <f>HYPERLINK("http://141.218.60.56/~jnz1568/getInfo.php?workbook=18_08.xlsx&amp;sheet=A0&amp;row=2092&amp;col=6&amp;number=0.1064&amp;sourceID=14","0.1064")</f>
        <v>0.1064</v>
      </c>
      <c r="G2092" s="4" t="str">
        <f>HYPERLINK("http://141.218.60.56/~jnz1568/getInfo.php?workbook=18_08.xlsx&amp;sheet=A0&amp;row=2092&amp;col=7&amp;number=0&amp;sourceID=14","0")</f>
        <v>0</v>
      </c>
    </row>
    <row r="2093" spans="1:7">
      <c r="A2093" s="3">
        <v>18</v>
      </c>
      <c r="B2093" s="3">
        <v>8</v>
      </c>
      <c r="C2093" s="3">
        <v>77</v>
      </c>
      <c r="D2093" s="3">
        <v>37</v>
      </c>
      <c r="E2093" s="3">
        <v>569.009</v>
      </c>
      <c r="F2093" s="4" t="str">
        <f>HYPERLINK("http://141.218.60.56/~jnz1568/getInfo.php?workbook=18_08.xlsx&amp;sheet=A0&amp;row=2093&amp;col=6&amp;number=10320000&amp;sourceID=14","10320000")</f>
        <v>10320000</v>
      </c>
      <c r="G2093" s="4" t="str">
        <f>HYPERLINK("http://141.218.60.56/~jnz1568/getInfo.php?workbook=18_08.xlsx&amp;sheet=A0&amp;row=2093&amp;col=7&amp;number=0&amp;sourceID=14","0")</f>
        <v>0</v>
      </c>
    </row>
    <row r="2094" spans="1:7">
      <c r="A2094" s="3">
        <v>18</v>
      </c>
      <c r="B2094" s="3">
        <v>8</v>
      </c>
      <c r="C2094" s="3">
        <v>78</v>
      </c>
      <c r="D2094" s="3">
        <v>37</v>
      </c>
      <c r="E2094" s="3">
        <v>-562.134</v>
      </c>
      <c r="F2094" s="4" t="str">
        <f>HYPERLINK("http://141.218.60.56/~jnz1568/getInfo.php?workbook=18_08.xlsx&amp;sheet=A0&amp;row=2094&amp;col=6&amp;number=0.03354&amp;sourceID=14","0.03354")</f>
        <v>0.03354</v>
      </c>
      <c r="G2094" s="4" t="str">
        <f>HYPERLINK("http://141.218.60.56/~jnz1568/getInfo.php?workbook=18_08.xlsx&amp;sheet=A0&amp;row=2094&amp;col=7&amp;number=0&amp;sourceID=14","0")</f>
        <v>0</v>
      </c>
    </row>
    <row r="2095" spans="1:7">
      <c r="A2095" s="3">
        <v>18</v>
      </c>
      <c r="B2095" s="3">
        <v>8</v>
      </c>
      <c r="C2095" s="3">
        <v>79</v>
      </c>
      <c r="D2095" s="3">
        <v>37</v>
      </c>
      <c r="E2095" s="3">
        <v>-552.852</v>
      </c>
      <c r="F2095" s="4" t="str">
        <f>HYPERLINK("http://141.218.60.56/~jnz1568/getInfo.php?workbook=18_08.xlsx&amp;sheet=A0&amp;row=2095&amp;col=6&amp;number=251700000&amp;sourceID=14","251700000")</f>
        <v>251700000</v>
      </c>
      <c r="G2095" s="4" t="str">
        <f>HYPERLINK("http://141.218.60.56/~jnz1568/getInfo.php?workbook=18_08.xlsx&amp;sheet=A0&amp;row=2095&amp;col=7&amp;number=0&amp;sourceID=14","0")</f>
        <v>0</v>
      </c>
    </row>
    <row r="2096" spans="1:7">
      <c r="A2096" s="3">
        <v>18</v>
      </c>
      <c r="B2096" s="3">
        <v>8</v>
      </c>
      <c r="C2096" s="3">
        <v>80</v>
      </c>
      <c r="D2096" s="3">
        <v>37</v>
      </c>
      <c r="E2096" s="3">
        <v>-546.993</v>
      </c>
      <c r="F2096" s="4" t="str">
        <f>HYPERLINK("http://141.218.60.56/~jnz1568/getInfo.php?workbook=18_08.xlsx&amp;sheet=A0&amp;row=2096&amp;col=6&amp;number=104000000&amp;sourceID=14","104000000")</f>
        <v>104000000</v>
      </c>
      <c r="G2096" s="4" t="str">
        <f>HYPERLINK("http://141.218.60.56/~jnz1568/getInfo.php?workbook=18_08.xlsx&amp;sheet=A0&amp;row=2096&amp;col=7&amp;number=0&amp;sourceID=14","0")</f>
        <v>0</v>
      </c>
    </row>
    <row r="2097" spans="1:7">
      <c r="A2097" s="3">
        <v>18</v>
      </c>
      <c r="B2097" s="3">
        <v>8</v>
      </c>
      <c r="C2097" s="3">
        <v>81</v>
      </c>
      <c r="D2097" s="3">
        <v>37</v>
      </c>
      <c r="E2097" s="3">
        <v>511.132</v>
      </c>
      <c r="F2097" s="4" t="str">
        <f>HYPERLINK("http://141.218.60.56/~jnz1568/getInfo.php?workbook=18_08.xlsx&amp;sheet=A0&amp;row=2097&amp;col=6&amp;number=123200000&amp;sourceID=14","123200000")</f>
        <v>123200000</v>
      </c>
      <c r="G2097" s="4" t="str">
        <f>HYPERLINK("http://141.218.60.56/~jnz1568/getInfo.php?workbook=18_08.xlsx&amp;sheet=A0&amp;row=2097&amp;col=7&amp;number=0&amp;sourceID=14","0")</f>
        <v>0</v>
      </c>
    </row>
    <row r="2098" spans="1:7">
      <c r="A2098" s="3">
        <v>18</v>
      </c>
      <c r="B2098" s="3">
        <v>8</v>
      </c>
      <c r="C2098" s="3">
        <v>82</v>
      </c>
      <c r="D2098" s="3">
        <v>37</v>
      </c>
      <c r="E2098" s="3">
        <v>501.195</v>
      </c>
      <c r="F2098" s="4" t="str">
        <f>HYPERLINK("http://141.218.60.56/~jnz1568/getInfo.php?workbook=18_08.xlsx&amp;sheet=A0&amp;row=2098&amp;col=6&amp;number=7546000&amp;sourceID=14","7546000")</f>
        <v>7546000</v>
      </c>
      <c r="G2098" s="4" t="str">
        <f>HYPERLINK("http://141.218.60.56/~jnz1568/getInfo.php?workbook=18_08.xlsx&amp;sheet=A0&amp;row=2098&amp;col=7&amp;number=0&amp;sourceID=14","0")</f>
        <v>0</v>
      </c>
    </row>
    <row r="2099" spans="1:7">
      <c r="A2099" s="3">
        <v>18</v>
      </c>
      <c r="B2099" s="3">
        <v>8</v>
      </c>
      <c r="C2099" s="3">
        <v>83</v>
      </c>
      <c r="D2099" s="3">
        <v>37</v>
      </c>
      <c r="E2099" s="3">
        <v>477.751</v>
      </c>
      <c r="F2099" s="4" t="str">
        <f>HYPERLINK("http://141.218.60.56/~jnz1568/getInfo.php?workbook=18_08.xlsx&amp;sheet=A0&amp;row=2099&amp;col=6&amp;number=33100000&amp;sourceID=14","33100000")</f>
        <v>33100000</v>
      </c>
      <c r="G2099" s="4" t="str">
        <f>HYPERLINK("http://141.218.60.56/~jnz1568/getInfo.php?workbook=18_08.xlsx&amp;sheet=A0&amp;row=2099&amp;col=7&amp;number=0&amp;sourceID=14","0")</f>
        <v>0</v>
      </c>
    </row>
    <row r="2100" spans="1:7">
      <c r="A2100" s="3">
        <v>18</v>
      </c>
      <c r="B2100" s="3">
        <v>8</v>
      </c>
      <c r="C2100" s="3">
        <v>84</v>
      </c>
      <c r="D2100" s="3">
        <v>37</v>
      </c>
      <c r="E2100" s="3">
        <v>500.465</v>
      </c>
      <c r="F2100" s="4" t="str">
        <f>HYPERLINK("http://141.218.60.56/~jnz1568/getInfo.php?workbook=18_08.xlsx&amp;sheet=A0&amp;row=2100&amp;col=6&amp;number=40600000&amp;sourceID=14","40600000")</f>
        <v>40600000</v>
      </c>
      <c r="G2100" s="4" t="str">
        <f>HYPERLINK("http://141.218.60.56/~jnz1568/getInfo.php?workbook=18_08.xlsx&amp;sheet=A0&amp;row=2100&amp;col=7&amp;number=0&amp;sourceID=14","0")</f>
        <v>0</v>
      </c>
    </row>
    <row r="2101" spans="1:7">
      <c r="A2101" s="3">
        <v>18</v>
      </c>
      <c r="B2101" s="3">
        <v>8</v>
      </c>
      <c r="C2101" s="3">
        <v>85</v>
      </c>
      <c r="D2101" s="3">
        <v>37</v>
      </c>
      <c r="E2101" s="3">
        <v>465.021</v>
      </c>
      <c r="F2101" s="4" t="str">
        <f>HYPERLINK("http://141.218.60.56/~jnz1568/getInfo.php?workbook=18_08.xlsx&amp;sheet=A0&amp;row=2101&amp;col=6&amp;number=99300000&amp;sourceID=14","99300000")</f>
        <v>99300000</v>
      </c>
      <c r="G2101" s="4" t="str">
        <f>HYPERLINK("http://141.218.60.56/~jnz1568/getInfo.php?workbook=18_08.xlsx&amp;sheet=A0&amp;row=2101&amp;col=7&amp;number=0&amp;sourceID=14","0")</f>
        <v>0</v>
      </c>
    </row>
    <row r="2102" spans="1:7">
      <c r="A2102" s="3">
        <v>18</v>
      </c>
      <c r="B2102" s="3">
        <v>8</v>
      </c>
      <c r="C2102" s="3">
        <v>86</v>
      </c>
      <c r="D2102" s="3">
        <v>37</v>
      </c>
      <c r="E2102" s="3">
        <v>406.928</v>
      </c>
      <c r="F2102" s="4" t="str">
        <f>HYPERLINK("http://141.218.60.56/~jnz1568/getInfo.php?workbook=18_08.xlsx&amp;sheet=A0&amp;row=2102&amp;col=6&amp;number=295800&amp;sourceID=14","295800")</f>
        <v>295800</v>
      </c>
      <c r="G2102" s="4" t="str">
        <f>HYPERLINK("http://141.218.60.56/~jnz1568/getInfo.php?workbook=18_08.xlsx&amp;sheet=A0&amp;row=2102&amp;col=7&amp;number=0&amp;sourceID=14","0")</f>
        <v>0</v>
      </c>
    </row>
    <row r="2103" spans="1:7">
      <c r="A2103" s="3">
        <v>18</v>
      </c>
      <c r="B2103" s="3">
        <v>8</v>
      </c>
      <c r="C2103" s="3">
        <v>39</v>
      </c>
      <c r="D2103" s="3">
        <v>38</v>
      </c>
      <c r="E2103" s="3">
        <v>-1071604.625</v>
      </c>
      <c r="F2103" s="4" t="str">
        <f>HYPERLINK("http://141.218.60.56/~jnz1568/getInfo.php?workbook=18_08.xlsx&amp;sheet=A0&amp;row=2103&amp;col=6&amp;number=4.349e-05&amp;sourceID=14","4.349e-05")</f>
        <v>4.349e-05</v>
      </c>
      <c r="G2103" s="4" t="str">
        <f>HYPERLINK("http://141.218.60.56/~jnz1568/getInfo.php?workbook=18_08.xlsx&amp;sheet=A0&amp;row=2103&amp;col=7&amp;number=0&amp;sourceID=14","0")</f>
        <v>0</v>
      </c>
    </row>
    <row r="2104" spans="1:7">
      <c r="A2104" s="3">
        <v>18</v>
      </c>
      <c r="B2104" s="3">
        <v>8</v>
      </c>
      <c r="C2104" s="3">
        <v>40</v>
      </c>
      <c r="D2104" s="3">
        <v>38</v>
      </c>
      <c r="E2104" s="3">
        <v>-388810.031</v>
      </c>
      <c r="F2104" s="4" t="str">
        <f>HYPERLINK("http://141.218.60.56/~jnz1568/getInfo.php?workbook=18_08.xlsx&amp;sheet=A0&amp;row=2104&amp;col=6&amp;number=5.828e-12&amp;sourceID=14","5.828e-12")</f>
        <v>5.828e-12</v>
      </c>
      <c r="G2104" s="4" t="str">
        <f>HYPERLINK("http://141.218.60.56/~jnz1568/getInfo.php?workbook=18_08.xlsx&amp;sheet=A0&amp;row=2104&amp;col=7&amp;number=0&amp;sourceID=14","0")</f>
        <v>0</v>
      </c>
    </row>
    <row r="2105" spans="1:7">
      <c r="A2105" s="3">
        <v>18</v>
      </c>
      <c r="B2105" s="3">
        <v>8</v>
      </c>
      <c r="C2105" s="3">
        <v>48</v>
      </c>
      <c r="D2105" s="3">
        <v>38</v>
      </c>
      <c r="E2105" s="3">
        <v>-106713.68</v>
      </c>
      <c r="F2105" s="4" t="str">
        <f>HYPERLINK("http://141.218.60.56/~jnz1568/getInfo.php?workbook=18_08.xlsx&amp;sheet=A0&amp;row=2105&amp;col=6&amp;number=0.001488&amp;sourceID=14","0.001488")</f>
        <v>0.001488</v>
      </c>
      <c r="G2105" s="4" t="str">
        <f>HYPERLINK("http://141.218.60.56/~jnz1568/getInfo.php?workbook=18_08.xlsx&amp;sheet=A0&amp;row=2105&amp;col=7&amp;number=0&amp;sourceID=14","0")</f>
        <v>0</v>
      </c>
    </row>
    <row r="2106" spans="1:7">
      <c r="A2106" s="3">
        <v>18</v>
      </c>
      <c r="B2106" s="3">
        <v>8</v>
      </c>
      <c r="C2106" s="3">
        <v>49</v>
      </c>
      <c r="D2106" s="3">
        <v>38</v>
      </c>
      <c r="E2106" s="3">
        <v>-8739.772</v>
      </c>
      <c r="F2106" s="4" t="str">
        <f>HYPERLINK("http://141.218.60.56/~jnz1568/getInfo.php?workbook=18_08.xlsx&amp;sheet=A0&amp;row=2106&amp;col=6&amp;number=9.572e-11&amp;sourceID=14","9.572e-11")</f>
        <v>9.572e-11</v>
      </c>
      <c r="G2106" s="4" t="str">
        <f>HYPERLINK("http://141.218.60.56/~jnz1568/getInfo.php?workbook=18_08.xlsx&amp;sheet=A0&amp;row=2106&amp;col=7&amp;number=0&amp;sourceID=14","0")</f>
        <v>0</v>
      </c>
    </row>
    <row r="2107" spans="1:7">
      <c r="A2107" s="3">
        <v>18</v>
      </c>
      <c r="B2107" s="3">
        <v>8</v>
      </c>
      <c r="C2107" s="3">
        <v>50</v>
      </c>
      <c r="D2107" s="3">
        <v>38</v>
      </c>
      <c r="E2107" s="3">
        <v>-6971.991</v>
      </c>
      <c r="F2107" s="4" t="str">
        <f>HYPERLINK("http://141.218.60.56/~jnz1568/getInfo.php?workbook=18_08.xlsx&amp;sheet=A0&amp;row=2107&amp;col=6&amp;number=29.41&amp;sourceID=14","29.41")</f>
        <v>29.41</v>
      </c>
      <c r="G2107" s="4" t="str">
        <f>HYPERLINK("http://141.218.60.56/~jnz1568/getInfo.php?workbook=18_08.xlsx&amp;sheet=A0&amp;row=2107&amp;col=7&amp;number=0&amp;sourceID=14","0")</f>
        <v>0</v>
      </c>
    </row>
    <row r="2108" spans="1:7">
      <c r="A2108" s="3">
        <v>18</v>
      </c>
      <c r="B2108" s="3">
        <v>8</v>
      </c>
      <c r="C2108" s="3">
        <v>51</v>
      </c>
      <c r="D2108" s="3">
        <v>38</v>
      </c>
      <c r="E2108" s="3">
        <v>-2699.617</v>
      </c>
      <c r="F2108" s="4" t="str">
        <f>HYPERLINK("http://141.218.60.56/~jnz1568/getInfo.php?workbook=18_08.xlsx&amp;sheet=A0&amp;row=2108&amp;col=6&amp;number=0.0007762&amp;sourceID=14","0.0007762")</f>
        <v>0.0007762</v>
      </c>
      <c r="G2108" s="4" t="str">
        <f>HYPERLINK("http://141.218.60.56/~jnz1568/getInfo.php?workbook=18_08.xlsx&amp;sheet=A0&amp;row=2108&amp;col=7&amp;number=0&amp;sourceID=14","0")</f>
        <v>0</v>
      </c>
    </row>
    <row r="2109" spans="1:7">
      <c r="A2109" s="3">
        <v>18</v>
      </c>
      <c r="B2109" s="3">
        <v>8</v>
      </c>
      <c r="C2109" s="3">
        <v>52</v>
      </c>
      <c r="D2109" s="3">
        <v>38</v>
      </c>
      <c r="E2109" s="3">
        <v>-2629.286</v>
      </c>
      <c r="F2109" s="4" t="str">
        <f>HYPERLINK("http://141.218.60.56/~jnz1568/getInfo.php?workbook=18_08.xlsx&amp;sheet=A0&amp;row=2109&amp;col=6&amp;number=2.358&amp;sourceID=14","2.358")</f>
        <v>2.358</v>
      </c>
      <c r="G2109" s="4" t="str">
        <f>HYPERLINK("http://141.218.60.56/~jnz1568/getInfo.php?workbook=18_08.xlsx&amp;sheet=A0&amp;row=2109&amp;col=7&amp;number=0&amp;sourceID=14","0")</f>
        <v>0</v>
      </c>
    </row>
    <row r="2110" spans="1:7">
      <c r="A2110" s="3">
        <v>18</v>
      </c>
      <c r="B2110" s="3">
        <v>8</v>
      </c>
      <c r="C2110" s="3">
        <v>55</v>
      </c>
      <c r="D2110" s="3">
        <v>38</v>
      </c>
      <c r="E2110" s="3">
        <v>-2205.056</v>
      </c>
      <c r="F2110" s="4" t="str">
        <f>HYPERLINK("http://141.218.60.56/~jnz1568/getInfo.php?workbook=18_08.xlsx&amp;sheet=A0&amp;row=2110&amp;col=6&amp;number=5.476e-10&amp;sourceID=14","5.476e-10")</f>
        <v>5.476e-10</v>
      </c>
      <c r="G2110" s="4" t="str">
        <f>HYPERLINK("http://141.218.60.56/~jnz1568/getInfo.php?workbook=18_08.xlsx&amp;sheet=A0&amp;row=2110&amp;col=7&amp;number=0&amp;sourceID=14","0")</f>
        <v>0</v>
      </c>
    </row>
    <row r="2111" spans="1:7">
      <c r="A2111" s="3">
        <v>18</v>
      </c>
      <c r="B2111" s="3">
        <v>8</v>
      </c>
      <c r="C2111" s="3">
        <v>56</v>
      </c>
      <c r="D2111" s="3">
        <v>38</v>
      </c>
      <c r="E2111" s="3">
        <v>-1071.626</v>
      </c>
      <c r="F2111" s="4" t="str">
        <f>HYPERLINK("http://141.218.60.56/~jnz1568/getInfo.php?workbook=18_08.xlsx&amp;sheet=A0&amp;row=2111&amp;col=6&amp;number=0.007364&amp;sourceID=14","0.007364")</f>
        <v>0.007364</v>
      </c>
      <c r="G2111" s="4" t="str">
        <f>HYPERLINK("http://141.218.60.56/~jnz1568/getInfo.php?workbook=18_08.xlsx&amp;sheet=A0&amp;row=2111&amp;col=7&amp;number=0&amp;sourceID=14","0")</f>
        <v>0</v>
      </c>
    </row>
    <row r="2112" spans="1:7">
      <c r="A2112" s="3">
        <v>18</v>
      </c>
      <c r="B2112" s="3">
        <v>8</v>
      </c>
      <c r="C2112" s="3">
        <v>64</v>
      </c>
      <c r="D2112" s="3">
        <v>38</v>
      </c>
      <c r="E2112" s="3">
        <v>-793.306</v>
      </c>
      <c r="F2112" s="4" t="str">
        <f>HYPERLINK("http://141.218.60.56/~jnz1568/getInfo.php?workbook=18_08.xlsx&amp;sheet=A0&amp;row=2112&amp;col=6&amp;number=2.123&amp;sourceID=14","2.123")</f>
        <v>2.123</v>
      </c>
      <c r="G2112" s="4" t="str">
        <f>HYPERLINK("http://141.218.60.56/~jnz1568/getInfo.php?workbook=18_08.xlsx&amp;sheet=A0&amp;row=2112&amp;col=7&amp;number=0&amp;sourceID=14","0")</f>
        <v>0</v>
      </c>
    </row>
    <row r="2113" spans="1:7">
      <c r="A2113" s="3">
        <v>18</v>
      </c>
      <c r="B2113" s="3">
        <v>8</v>
      </c>
      <c r="C2113" s="3">
        <v>66</v>
      </c>
      <c r="D2113" s="3">
        <v>38</v>
      </c>
      <c r="E2113" s="3">
        <v>-804.995</v>
      </c>
      <c r="F2113" s="4" t="str">
        <f>HYPERLINK("http://141.218.60.56/~jnz1568/getInfo.php?workbook=18_08.xlsx&amp;sheet=A0&amp;row=2113&amp;col=6&amp;number=0.009498&amp;sourceID=14","0.009498")</f>
        <v>0.009498</v>
      </c>
      <c r="G2113" s="4" t="str">
        <f>HYPERLINK("http://141.218.60.56/~jnz1568/getInfo.php?workbook=18_08.xlsx&amp;sheet=A0&amp;row=2113&amp;col=7&amp;number=0&amp;sourceID=14","0")</f>
        <v>0</v>
      </c>
    </row>
    <row r="2114" spans="1:7">
      <c r="A2114" s="3">
        <v>18</v>
      </c>
      <c r="B2114" s="3">
        <v>8</v>
      </c>
      <c r="C2114" s="3">
        <v>67</v>
      </c>
      <c r="D2114" s="3">
        <v>38</v>
      </c>
      <c r="E2114" s="3">
        <v>-857.182</v>
      </c>
      <c r="F2114" s="4" t="str">
        <f>HYPERLINK("http://141.218.60.56/~jnz1568/getInfo.php?workbook=18_08.xlsx&amp;sheet=A0&amp;row=2114&amp;col=6&amp;number=44.92&amp;sourceID=14","44.92")</f>
        <v>44.92</v>
      </c>
      <c r="G2114" s="4" t="str">
        <f>HYPERLINK("http://141.218.60.56/~jnz1568/getInfo.php?workbook=18_08.xlsx&amp;sheet=A0&amp;row=2114&amp;col=7&amp;number=0&amp;sourceID=14","0")</f>
        <v>0</v>
      </c>
    </row>
    <row r="2115" spans="1:7">
      <c r="A2115" s="3">
        <v>18</v>
      </c>
      <c r="B2115" s="3">
        <v>8</v>
      </c>
      <c r="C2115" s="3">
        <v>69</v>
      </c>
      <c r="D2115" s="3">
        <v>38</v>
      </c>
      <c r="E2115" s="3">
        <v>-743.535</v>
      </c>
      <c r="F2115" s="4" t="str">
        <f>HYPERLINK("http://141.218.60.56/~jnz1568/getInfo.php?workbook=18_08.xlsx&amp;sheet=A0&amp;row=2115&amp;col=6&amp;number=0.02304&amp;sourceID=14","0.02304")</f>
        <v>0.02304</v>
      </c>
      <c r="G2115" s="4" t="str">
        <f>HYPERLINK("http://141.218.60.56/~jnz1568/getInfo.php?workbook=18_08.xlsx&amp;sheet=A0&amp;row=2115&amp;col=7&amp;number=0&amp;sourceID=14","0")</f>
        <v>0</v>
      </c>
    </row>
    <row r="2116" spans="1:7">
      <c r="A2116" s="3">
        <v>18</v>
      </c>
      <c r="B2116" s="3">
        <v>8</v>
      </c>
      <c r="C2116" s="3">
        <v>71</v>
      </c>
      <c r="D2116" s="3">
        <v>38</v>
      </c>
      <c r="E2116" s="3">
        <v>-718.426</v>
      </c>
      <c r="F2116" s="4" t="str">
        <f>HYPERLINK("http://141.218.60.56/~jnz1568/getInfo.php?workbook=18_08.xlsx&amp;sheet=A0&amp;row=2116&amp;col=6&amp;number=0.6618&amp;sourceID=14","0.6618")</f>
        <v>0.6618</v>
      </c>
      <c r="G2116" s="4" t="str">
        <f>HYPERLINK("http://141.218.60.56/~jnz1568/getInfo.php?workbook=18_08.xlsx&amp;sheet=A0&amp;row=2116&amp;col=7&amp;number=0&amp;sourceID=14","0")</f>
        <v>0</v>
      </c>
    </row>
    <row r="2117" spans="1:7">
      <c r="A2117" s="3">
        <v>18</v>
      </c>
      <c r="B2117" s="3">
        <v>8</v>
      </c>
      <c r="C2117" s="3">
        <v>72</v>
      </c>
      <c r="D2117" s="3">
        <v>38</v>
      </c>
      <c r="E2117" s="3">
        <v>-755.045</v>
      </c>
      <c r="F2117" s="4" t="str">
        <f>HYPERLINK("http://141.218.60.56/~jnz1568/getInfo.php?workbook=18_08.xlsx&amp;sheet=A0&amp;row=2117&amp;col=6&amp;number=0.0002644&amp;sourceID=14","0.0002644")</f>
        <v>0.0002644</v>
      </c>
      <c r="G2117" s="4" t="str">
        <f>HYPERLINK("http://141.218.60.56/~jnz1568/getInfo.php?workbook=18_08.xlsx&amp;sheet=A0&amp;row=2117&amp;col=7&amp;number=0&amp;sourceID=14","0")</f>
        <v>0</v>
      </c>
    </row>
    <row r="2118" spans="1:7">
      <c r="A2118" s="3">
        <v>18</v>
      </c>
      <c r="B2118" s="3">
        <v>8</v>
      </c>
      <c r="C2118" s="3">
        <v>73</v>
      </c>
      <c r="D2118" s="3">
        <v>38</v>
      </c>
      <c r="E2118" s="3">
        <v>-695.637</v>
      </c>
      <c r="F2118" s="4" t="str">
        <f>HYPERLINK("http://141.218.60.56/~jnz1568/getInfo.php?workbook=18_08.xlsx&amp;sheet=A0&amp;row=2118&amp;col=6&amp;number=24.8&amp;sourceID=14","24.8")</f>
        <v>24.8</v>
      </c>
      <c r="G2118" s="4" t="str">
        <f>HYPERLINK("http://141.218.60.56/~jnz1568/getInfo.php?workbook=18_08.xlsx&amp;sheet=A0&amp;row=2118&amp;col=7&amp;number=0&amp;sourceID=14","0")</f>
        <v>0</v>
      </c>
    </row>
    <row r="2119" spans="1:7">
      <c r="A2119" s="3">
        <v>18</v>
      </c>
      <c r="B2119" s="3">
        <v>8</v>
      </c>
      <c r="C2119" s="3">
        <v>75</v>
      </c>
      <c r="D2119" s="3">
        <v>38</v>
      </c>
      <c r="E2119" s="3">
        <v>-618.738</v>
      </c>
      <c r="F2119" s="4" t="str">
        <f>HYPERLINK("http://141.218.60.56/~jnz1568/getInfo.php?workbook=18_08.xlsx&amp;sheet=A0&amp;row=2119&amp;col=6&amp;number=0.01424&amp;sourceID=14","0.01424")</f>
        <v>0.01424</v>
      </c>
      <c r="G2119" s="4" t="str">
        <f>HYPERLINK("http://141.218.60.56/~jnz1568/getInfo.php?workbook=18_08.xlsx&amp;sheet=A0&amp;row=2119&amp;col=7&amp;number=0&amp;sourceID=14","0")</f>
        <v>0</v>
      </c>
    </row>
    <row r="2120" spans="1:7">
      <c r="A2120" s="3">
        <v>18</v>
      </c>
      <c r="B2120" s="3">
        <v>8</v>
      </c>
      <c r="C2120" s="3">
        <v>79</v>
      </c>
      <c r="D2120" s="3">
        <v>38</v>
      </c>
      <c r="E2120" s="3">
        <v>-604.49</v>
      </c>
      <c r="F2120" s="4" t="str">
        <f>HYPERLINK("http://141.218.60.56/~jnz1568/getInfo.php?workbook=18_08.xlsx&amp;sheet=A0&amp;row=2120&amp;col=6&amp;number=69.8&amp;sourceID=14","69.8")</f>
        <v>69.8</v>
      </c>
      <c r="G2120" s="4" t="str">
        <f>HYPERLINK("http://141.218.60.56/~jnz1568/getInfo.php?workbook=18_08.xlsx&amp;sheet=A0&amp;row=2120&amp;col=7&amp;number=0&amp;sourceID=14","0")</f>
        <v>0</v>
      </c>
    </row>
    <row r="2121" spans="1:7">
      <c r="A2121" s="3">
        <v>18</v>
      </c>
      <c r="B2121" s="3">
        <v>8</v>
      </c>
      <c r="C2121" s="3">
        <v>80</v>
      </c>
      <c r="D2121" s="3">
        <v>38</v>
      </c>
      <c r="E2121" s="3">
        <v>-597.493</v>
      </c>
      <c r="F2121" s="4" t="str">
        <f>HYPERLINK("http://141.218.60.56/~jnz1568/getInfo.php?workbook=18_08.xlsx&amp;sheet=A0&amp;row=2121&amp;col=6&amp;number=0.005994&amp;sourceID=14","0.005994")</f>
        <v>0.005994</v>
      </c>
      <c r="G2121" s="4" t="str">
        <f>HYPERLINK("http://141.218.60.56/~jnz1568/getInfo.php?workbook=18_08.xlsx&amp;sheet=A0&amp;row=2121&amp;col=7&amp;number=0&amp;sourceID=14","0")</f>
        <v>0</v>
      </c>
    </row>
    <row r="2122" spans="1:7">
      <c r="A2122" s="3">
        <v>18</v>
      </c>
      <c r="B2122" s="3">
        <v>8</v>
      </c>
      <c r="C2122" s="3">
        <v>81</v>
      </c>
      <c r="D2122" s="3">
        <v>38</v>
      </c>
      <c r="E2122" s="3">
        <v>-562.76</v>
      </c>
      <c r="F2122" s="4" t="str">
        <f>HYPERLINK("http://141.218.60.56/~jnz1568/getInfo.php?workbook=18_08.xlsx&amp;sheet=A0&amp;row=2122&amp;col=6&amp;number=0.03463&amp;sourceID=14","0.03463")</f>
        <v>0.03463</v>
      </c>
      <c r="G2122" s="4" t="str">
        <f>HYPERLINK("http://141.218.60.56/~jnz1568/getInfo.php?workbook=18_08.xlsx&amp;sheet=A0&amp;row=2122&amp;col=7&amp;number=0&amp;sourceID=14","0")</f>
        <v>0</v>
      </c>
    </row>
    <row r="2123" spans="1:7">
      <c r="A2123" s="3">
        <v>18</v>
      </c>
      <c r="B2123" s="3">
        <v>8</v>
      </c>
      <c r="C2123" s="3">
        <v>83</v>
      </c>
      <c r="D2123" s="3">
        <v>38</v>
      </c>
      <c r="E2123" s="3">
        <v>-551.939</v>
      </c>
      <c r="F2123" s="4" t="str">
        <f>HYPERLINK("http://141.218.60.56/~jnz1568/getInfo.php?workbook=18_08.xlsx&amp;sheet=A0&amp;row=2123&amp;col=6&amp;number=398.5&amp;sourceID=14","398.5")</f>
        <v>398.5</v>
      </c>
      <c r="G2123" s="4" t="str">
        <f>HYPERLINK("http://141.218.60.56/~jnz1568/getInfo.php?workbook=18_08.xlsx&amp;sheet=A0&amp;row=2123&amp;col=7&amp;number=0&amp;sourceID=14","0")</f>
        <v>0</v>
      </c>
    </row>
    <row r="2124" spans="1:7">
      <c r="A2124" s="3">
        <v>18</v>
      </c>
      <c r="B2124" s="3">
        <v>8</v>
      </c>
      <c r="C2124" s="3">
        <v>84</v>
      </c>
      <c r="D2124" s="3">
        <v>38</v>
      </c>
      <c r="E2124" s="3">
        <v>-515.657</v>
      </c>
      <c r="F2124" s="4" t="str">
        <f>HYPERLINK("http://141.218.60.56/~jnz1568/getInfo.php?workbook=18_08.xlsx&amp;sheet=A0&amp;row=2124&amp;col=6&amp;number=5.41e-06&amp;sourceID=14","5.41e-06")</f>
        <v>5.41e-06</v>
      </c>
      <c r="G2124" s="4" t="str">
        <f>HYPERLINK("http://141.218.60.56/~jnz1568/getInfo.php?workbook=18_08.xlsx&amp;sheet=A0&amp;row=2124&amp;col=7&amp;number=0&amp;sourceID=14","0")</f>
        <v>0</v>
      </c>
    </row>
    <row r="2125" spans="1:7">
      <c r="A2125" s="3">
        <v>18</v>
      </c>
      <c r="B2125" s="3">
        <v>8</v>
      </c>
      <c r="C2125" s="3">
        <v>86</v>
      </c>
      <c r="D2125" s="3">
        <v>38</v>
      </c>
      <c r="E2125" s="3">
        <v>-437.516</v>
      </c>
      <c r="F2125" s="4" t="str">
        <f>HYPERLINK("http://141.218.60.56/~jnz1568/getInfo.php?workbook=18_08.xlsx&amp;sheet=A0&amp;row=2125&amp;col=6&amp;number=2.969&amp;sourceID=14","2.969")</f>
        <v>2.969</v>
      </c>
      <c r="G2125" s="4" t="str">
        <f>HYPERLINK("http://141.218.60.56/~jnz1568/getInfo.php?workbook=18_08.xlsx&amp;sheet=A0&amp;row=2125&amp;col=7&amp;number=0&amp;sourceID=14","0")</f>
        <v>0</v>
      </c>
    </row>
    <row r="2126" spans="1:7">
      <c r="A2126" s="3">
        <v>18</v>
      </c>
      <c r="B2126" s="3">
        <v>8</v>
      </c>
      <c r="C2126" s="3">
        <v>40</v>
      </c>
      <c r="D2126" s="3">
        <v>39</v>
      </c>
      <c r="E2126" s="3">
        <v>-610213.75</v>
      </c>
      <c r="F2126" s="4" t="str">
        <f>HYPERLINK("http://141.218.60.56/~jnz1568/getInfo.php?workbook=18_08.xlsx&amp;sheet=A0&amp;row=2126&amp;col=6&amp;number=0.0002471&amp;sourceID=14","0.0002471")</f>
        <v>0.0002471</v>
      </c>
      <c r="G2126" s="4" t="str">
        <f>HYPERLINK("http://141.218.60.56/~jnz1568/getInfo.php?workbook=18_08.xlsx&amp;sheet=A0&amp;row=2126&amp;col=7&amp;number=0&amp;sourceID=14","0")</f>
        <v>0</v>
      </c>
    </row>
    <row r="2127" spans="1:7">
      <c r="A2127" s="3">
        <v>18</v>
      </c>
      <c r="B2127" s="3">
        <v>8</v>
      </c>
      <c r="C2127" s="3">
        <v>41</v>
      </c>
      <c r="D2127" s="3">
        <v>39</v>
      </c>
      <c r="E2127" s="3">
        <v>-250125.062</v>
      </c>
      <c r="F2127" s="4" t="str">
        <f>HYPERLINK("http://141.218.60.56/~jnz1568/getInfo.php?workbook=18_08.xlsx&amp;sheet=A0&amp;row=2127&amp;col=6&amp;number=4.534e-11&amp;sourceID=14","4.534e-11")</f>
        <v>4.534e-11</v>
      </c>
      <c r="G2127" s="4" t="str">
        <f>HYPERLINK("http://141.218.60.56/~jnz1568/getInfo.php?workbook=18_08.xlsx&amp;sheet=A0&amp;row=2127&amp;col=7&amp;number=0&amp;sourceID=14","0")</f>
        <v>0</v>
      </c>
    </row>
    <row r="2128" spans="1:7">
      <c r="A2128" s="3">
        <v>18</v>
      </c>
      <c r="B2128" s="3">
        <v>8</v>
      </c>
      <c r="C2128" s="3">
        <v>48</v>
      </c>
      <c r="D2128" s="3">
        <v>39</v>
      </c>
      <c r="E2128" s="3">
        <v>-118515.852</v>
      </c>
      <c r="F2128" s="4" t="str">
        <f>HYPERLINK("http://141.218.60.56/~jnz1568/getInfo.php?workbook=18_08.xlsx&amp;sheet=A0&amp;row=2128&amp;col=6&amp;number=1.163e-05&amp;sourceID=14","1.163e-05")</f>
        <v>1.163e-05</v>
      </c>
      <c r="G2128" s="4" t="str">
        <f>HYPERLINK("http://141.218.60.56/~jnz1568/getInfo.php?workbook=18_08.xlsx&amp;sheet=A0&amp;row=2128&amp;col=7&amp;number=0&amp;sourceID=14","0")</f>
        <v>0</v>
      </c>
    </row>
    <row r="2129" spans="1:7">
      <c r="A2129" s="3">
        <v>18</v>
      </c>
      <c r="B2129" s="3">
        <v>8</v>
      </c>
      <c r="C2129" s="3">
        <v>49</v>
      </c>
      <c r="D2129" s="3">
        <v>39</v>
      </c>
      <c r="E2129" s="3">
        <v>-8811.638</v>
      </c>
      <c r="F2129" s="4" t="str">
        <f>HYPERLINK("http://141.218.60.56/~jnz1568/getInfo.php?workbook=18_08.xlsx&amp;sheet=A0&amp;row=2129&amp;col=6&amp;number=5.702&amp;sourceID=14","5.702")</f>
        <v>5.702</v>
      </c>
      <c r="G2129" s="4" t="str">
        <f>HYPERLINK("http://141.218.60.56/~jnz1568/getInfo.php?workbook=18_08.xlsx&amp;sheet=A0&amp;row=2129&amp;col=7&amp;number=0&amp;sourceID=14","0")</f>
        <v>0</v>
      </c>
    </row>
    <row r="2130" spans="1:7">
      <c r="A2130" s="3">
        <v>18</v>
      </c>
      <c r="B2130" s="3">
        <v>8</v>
      </c>
      <c r="C2130" s="3">
        <v>50</v>
      </c>
      <c r="D2130" s="3">
        <v>39</v>
      </c>
      <c r="E2130" s="3">
        <v>-7017.649</v>
      </c>
      <c r="F2130" s="4" t="str">
        <f>HYPERLINK("http://141.218.60.56/~jnz1568/getInfo.php?workbook=18_08.xlsx&amp;sheet=A0&amp;row=2130&amp;col=6&amp;number=24.94&amp;sourceID=14","24.94")</f>
        <v>24.94</v>
      </c>
      <c r="G2130" s="4" t="str">
        <f>HYPERLINK("http://141.218.60.56/~jnz1568/getInfo.php?workbook=18_08.xlsx&amp;sheet=A0&amp;row=2130&amp;col=7&amp;number=0&amp;sourceID=14","0")</f>
        <v>0</v>
      </c>
    </row>
    <row r="2131" spans="1:7">
      <c r="A2131" s="3">
        <v>18</v>
      </c>
      <c r="B2131" s="3">
        <v>8</v>
      </c>
      <c r="C2131" s="3">
        <v>51</v>
      </c>
      <c r="D2131" s="3">
        <v>39</v>
      </c>
      <c r="E2131" s="3">
        <v>-2706.435</v>
      </c>
      <c r="F2131" s="4" t="str">
        <f>HYPERLINK("http://141.218.60.56/~jnz1568/getInfo.php?workbook=18_08.xlsx&amp;sheet=A0&amp;row=2131&amp;col=6&amp;number=3.189&amp;sourceID=14","3.189")</f>
        <v>3.189</v>
      </c>
      <c r="G2131" s="4" t="str">
        <f>HYPERLINK("http://141.218.60.56/~jnz1568/getInfo.php?workbook=18_08.xlsx&amp;sheet=A0&amp;row=2131&amp;col=7&amp;number=0&amp;sourceID=14","0")</f>
        <v>0</v>
      </c>
    </row>
    <row r="2132" spans="1:7">
      <c r="A2132" s="3">
        <v>18</v>
      </c>
      <c r="B2132" s="3">
        <v>8</v>
      </c>
      <c r="C2132" s="3">
        <v>52</v>
      </c>
      <c r="D2132" s="3">
        <v>39</v>
      </c>
      <c r="E2132" s="3">
        <v>-2635.753</v>
      </c>
      <c r="F2132" s="4" t="str">
        <f>HYPERLINK("http://141.218.60.56/~jnz1568/getInfo.php?workbook=18_08.xlsx&amp;sheet=A0&amp;row=2132&amp;col=6&amp;number=2.503&amp;sourceID=14","2.503")</f>
        <v>2.503</v>
      </c>
      <c r="G2132" s="4" t="str">
        <f>HYPERLINK("http://141.218.60.56/~jnz1568/getInfo.php?workbook=18_08.xlsx&amp;sheet=A0&amp;row=2132&amp;col=7&amp;number=0&amp;sourceID=14","0")</f>
        <v>0</v>
      </c>
    </row>
    <row r="2133" spans="1:7">
      <c r="A2133" s="3">
        <v>18</v>
      </c>
      <c r="B2133" s="3">
        <v>8</v>
      </c>
      <c r="C2133" s="3">
        <v>53</v>
      </c>
      <c r="D2133" s="3">
        <v>39</v>
      </c>
      <c r="E2133" s="3">
        <v>-6400.543</v>
      </c>
      <c r="F2133" s="4" t="str">
        <f>HYPERLINK("http://141.218.60.56/~jnz1568/getInfo.php?workbook=18_08.xlsx&amp;sheet=A0&amp;row=2133&amp;col=6&amp;number=92.29&amp;sourceID=14","92.29")</f>
        <v>92.29</v>
      </c>
      <c r="G2133" s="4" t="str">
        <f>HYPERLINK("http://141.218.60.56/~jnz1568/getInfo.php?workbook=18_08.xlsx&amp;sheet=A0&amp;row=2133&amp;col=7&amp;number=0&amp;sourceID=14","0")</f>
        <v>0</v>
      </c>
    </row>
    <row r="2134" spans="1:7">
      <c r="A2134" s="3">
        <v>18</v>
      </c>
      <c r="B2134" s="3">
        <v>8</v>
      </c>
      <c r="C2134" s="3">
        <v>54</v>
      </c>
      <c r="D2134" s="3">
        <v>39</v>
      </c>
      <c r="E2134" s="3">
        <v>-2575.394</v>
      </c>
      <c r="F2134" s="4" t="str">
        <f>HYPERLINK("http://141.218.60.56/~jnz1568/getInfo.php?workbook=18_08.xlsx&amp;sheet=A0&amp;row=2134&amp;col=6&amp;number=0.0008002&amp;sourceID=14","0.0008002")</f>
        <v>0.0008002</v>
      </c>
      <c r="G2134" s="4" t="str">
        <f>HYPERLINK("http://141.218.60.56/~jnz1568/getInfo.php?workbook=18_08.xlsx&amp;sheet=A0&amp;row=2134&amp;col=7&amp;number=0&amp;sourceID=14","0")</f>
        <v>0</v>
      </c>
    </row>
    <row r="2135" spans="1:7">
      <c r="A2135" s="3">
        <v>18</v>
      </c>
      <c r="B2135" s="3">
        <v>8</v>
      </c>
      <c r="C2135" s="3">
        <v>55</v>
      </c>
      <c r="D2135" s="3">
        <v>39</v>
      </c>
      <c r="E2135" s="3">
        <v>-2209.602</v>
      </c>
      <c r="F2135" s="4" t="str">
        <f>HYPERLINK("http://141.218.60.56/~jnz1568/getInfo.php?workbook=18_08.xlsx&amp;sheet=A0&amp;row=2135&amp;col=6&amp;number=0.03137&amp;sourceID=14","0.03137")</f>
        <v>0.03137</v>
      </c>
      <c r="G2135" s="4" t="str">
        <f>HYPERLINK("http://141.218.60.56/~jnz1568/getInfo.php?workbook=18_08.xlsx&amp;sheet=A0&amp;row=2135&amp;col=7&amp;number=0&amp;sourceID=14","0")</f>
        <v>0</v>
      </c>
    </row>
    <row r="2136" spans="1:7">
      <c r="A2136" s="3">
        <v>18</v>
      </c>
      <c r="B2136" s="3">
        <v>8</v>
      </c>
      <c r="C2136" s="3">
        <v>56</v>
      </c>
      <c r="D2136" s="3">
        <v>39</v>
      </c>
      <c r="E2136" s="3">
        <v>-1072.699</v>
      </c>
      <c r="F2136" s="4" t="str">
        <f>HYPERLINK("http://141.218.60.56/~jnz1568/getInfo.php?workbook=18_08.xlsx&amp;sheet=A0&amp;row=2136&amp;col=6&amp;number=19.76&amp;sourceID=14","19.76")</f>
        <v>19.76</v>
      </c>
      <c r="G2136" s="4" t="str">
        <f>HYPERLINK("http://141.218.60.56/~jnz1568/getInfo.php?workbook=18_08.xlsx&amp;sheet=A0&amp;row=2136&amp;col=7&amp;number=0&amp;sourceID=14","0")</f>
        <v>0</v>
      </c>
    </row>
    <row r="2137" spans="1:7">
      <c r="A2137" s="3">
        <v>18</v>
      </c>
      <c r="B2137" s="3">
        <v>8</v>
      </c>
      <c r="C2137" s="3">
        <v>57</v>
      </c>
      <c r="D2137" s="3">
        <v>39</v>
      </c>
      <c r="E2137" s="3">
        <v>-1033.603</v>
      </c>
      <c r="F2137" s="4" t="str">
        <f>HYPERLINK("http://141.218.60.56/~jnz1568/getInfo.php?workbook=18_08.xlsx&amp;sheet=A0&amp;row=2137&amp;col=6&amp;number=0.002569&amp;sourceID=14","0.002569")</f>
        <v>0.002569</v>
      </c>
      <c r="G2137" s="4" t="str">
        <f>HYPERLINK("http://141.218.60.56/~jnz1568/getInfo.php?workbook=18_08.xlsx&amp;sheet=A0&amp;row=2137&amp;col=7&amp;number=0&amp;sourceID=14","0")</f>
        <v>0</v>
      </c>
    </row>
    <row r="2138" spans="1:7">
      <c r="A2138" s="3">
        <v>18</v>
      </c>
      <c r="B2138" s="3">
        <v>8</v>
      </c>
      <c r="C2138" s="3">
        <v>58</v>
      </c>
      <c r="D2138" s="3">
        <v>39</v>
      </c>
      <c r="E2138" s="3">
        <v>-1005.283</v>
      </c>
      <c r="F2138" s="4" t="str">
        <f>HYPERLINK("http://141.218.60.56/~jnz1568/getInfo.php?workbook=18_08.xlsx&amp;sheet=A0&amp;row=2138&amp;col=6&amp;number=35.59&amp;sourceID=14","35.59")</f>
        <v>35.59</v>
      </c>
      <c r="G2138" s="4" t="str">
        <f>HYPERLINK("http://141.218.60.56/~jnz1568/getInfo.php?workbook=18_08.xlsx&amp;sheet=A0&amp;row=2138&amp;col=7&amp;number=0&amp;sourceID=14","0")</f>
        <v>0</v>
      </c>
    </row>
    <row r="2139" spans="1:7">
      <c r="A2139" s="3">
        <v>18</v>
      </c>
      <c r="B2139" s="3">
        <v>8</v>
      </c>
      <c r="C2139" s="3">
        <v>60</v>
      </c>
      <c r="D2139" s="3">
        <v>39</v>
      </c>
      <c r="E2139" s="3">
        <v>-927.191</v>
      </c>
      <c r="F2139" s="4" t="str">
        <f>HYPERLINK("http://141.218.60.56/~jnz1568/getInfo.php?workbook=18_08.xlsx&amp;sheet=A0&amp;row=2139&amp;col=6&amp;number=0.01489&amp;sourceID=14","0.01489")</f>
        <v>0.01489</v>
      </c>
      <c r="G2139" s="4" t="str">
        <f>HYPERLINK("http://141.218.60.56/~jnz1568/getInfo.php?workbook=18_08.xlsx&amp;sheet=A0&amp;row=2139&amp;col=7&amp;number=0&amp;sourceID=14","0")</f>
        <v>0</v>
      </c>
    </row>
    <row r="2140" spans="1:7">
      <c r="A2140" s="3">
        <v>18</v>
      </c>
      <c r="B2140" s="3">
        <v>8</v>
      </c>
      <c r="C2140" s="3">
        <v>64</v>
      </c>
      <c r="D2140" s="3">
        <v>39</v>
      </c>
      <c r="E2140" s="3">
        <v>-793.894</v>
      </c>
      <c r="F2140" s="4" t="str">
        <f>HYPERLINK("http://141.218.60.56/~jnz1568/getInfo.php?workbook=18_08.xlsx&amp;sheet=A0&amp;row=2140&amp;col=6&amp;number=9.331&amp;sourceID=14","9.331")</f>
        <v>9.331</v>
      </c>
      <c r="G2140" s="4" t="str">
        <f>HYPERLINK("http://141.218.60.56/~jnz1568/getInfo.php?workbook=18_08.xlsx&amp;sheet=A0&amp;row=2140&amp;col=7&amp;number=0&amp;sourceID=14","0")</f>
        <v>0</v>
      </c>
    </row>
    <row r="2141" spans="1:7">
      <c r="A2141" s="3">
        <v>18</v>
      </c>
      <c r="B2141" s="3">
        <v>8</v>
      </c>
      <c r="C2141" s="3">
        <v>65</v>
      </c>
      <c r="D2141" s="3">
        <v>39</v>
      </c>
      <c r="E2141" s="3">
        <v>-1038.499</v>
      </c>
      <c r="F2141" s="4" t="str">
        <f>HYPERLINK("http://141.218.60.56/~jnz1568/getInfo.php?workbook=18_08.xlsx&amp;sheet=A0&amp;row=2141&amp;col=6&amp;number=248&amp;sourceID=14","248")</f>
        <v>248</v>
      </c>
      <c r="G2141" s="4" t="str">
        <f>HYPERLINK("http://141.218.60.56/~jnz1568/getInfo.php?workbook=18_08.xlsx&amp;sheet=A0&amp;row=2141&amp;col=7&amp;number=0&amp;sourceID=14","0")</f>
        <v>0</v>
      </c>
    </row>
    <row r="2142" spans="1:7">
      <c r="A2142" s="3">
        <v>18</v>
      </c>
      <c r="B2142" s="3">
        <v>8</v>
      </c>
      <c r="C2142" s="3">
        <v>66</v>
      </c>
      <c r="D2142" s="3">
        <v>39</v>
      </c>
      <c r="E2142" s="3">
        <v>-805.6</v>
      </c>
      <c r="F2142" s="4" t="str">
        <f>HYPERLINK("http://141.218.60.56/~jnz1568/getInfo.php?workbook=18_08.xlsx&amp;sheet=A0&amp;row=2142&amp;col=6&amp;number=12.05&amp;sourceID=14","12.05")</f>
        <v>12.05</v>
      </c>
      <c r="G2142" s="4" t="str">
        <f>HYPERLINK("http://141.218.60.56/~jnz1568/getInfo.php?workbook=18_08.xlsx&amp;sheet=A0&amp;row=2142&amp;col=7&amp;number=0&amp;sourceID=14","0")</f>
        <v>0</v>
      </c>
    </row>
    <row r="2143" spans="1:7">
      <c r="A2143" s="3">
        <v>18</v>
      </c>
      <c r="B2143" s="3">
        <v>8</v>
      </c>
      <c r="C2143" s="3">
        <v>67</v>
      </c>
      <c r="D2143" s="3">
        <v>39</v>
      </c>
      <c r="E2143" s="3">
        <v>-857.868</v>
      </c>
      <c r="F2143" s="4" t="str">
        <f>HYPERLINK("http://141.218.60.56/~jnz1568/getInfo.php?workbook=18_08.xlsx&amp;sheet=A0&amp;row=2143&amp;col=6&amp;number=20.32&amp;sourceID=14","20.32")</f>
        <v>20.32</v>
      </c>
      <c r="G2143" s="4" t="str">
        <f>HYPERLINK("http://141.218.60.56/~jnz1568/getInfo.php?workbook=18_08.xlsx&amp;sheet=A0&amp;row=2143&amp;col=7&amp;number=0&amp;sourceID=14","0")</f>
        <v>0</v>
      </c>
    </row>
    <row r="2144" spans="1:7">
      <c r="A2144" s="3">
        <v>18</v>
      </c>
      <c r="B2144" s="3">
        <v>8</v>
      </c>
      <c r="C2144" s="3">
        <v>68</v>
      </c>
      <c r="D2144" s="3">
        <v>39</v>
      </c>
      <c r="E2144" s="3">
        <v>-788.801</v>
      </c>
      <c r="F2144" s="4" t="str">
        <f>HYPERLINK("http://141.218.60.56/~jnz1568/getInfo.php?workbook=18_08.xlsx&amp;sheet=A0&amp;row=2144&amp;col=6&amp;number=0.0142&amp;sourceID=14","0.0142")</f>
        <v>0.0142</v>
      </c>
      <c r="G2144" s="4" t="str">
        <f>HYPERLINK("http://141.218.60.56/~jnz1568/getInfo.php?workbook=18_08.xlsx&amp;sheet=A0&amp;row=2144&amp;col=7&amp;number=0&amp;sourceID=14","0")</f>
        <v>0</v>
      </c>
    </row>
    <row r="2145" spans="1:7">
      <c r="A2145" s="3">
        <v>18</v>
      </c>
      <c r="B2145" s="3">
        <v>8</v>
      </c>
      <c r="C2145" s="3">
        <v>69</v>
      </c>
      <c r="D2145" s="3">
        <v>39</v>
      </c>
      <c r="E2145" s="3">
        <v>-744.052</v>
      </c>
      <c r="F2145" s="4" t="str">
        <f>HYPERLINK("http://141.218.60.56/~jnz1568/getInfo.php?workbook=18_08.xlsx&amp;sheet=A0&amp;row=2145&amp;col=6&amp;number=11.56&amp;sourceID=14","11.56")</f>
        <v>11.56</v>
      </c>
      <c r="G2145" s="4" t="str">
        <f>HYPERLINK("http://141.218.60.56/~jnz1568/getInfo.php?workbook=18_08.xlsx&amp;sheet=A0&amp;row=2145&amp;col=7&amp;number=0&amp;sourceID=14","0")</f>
        <v>0</v>
      </c>
    </row>
    <row r="2146" spans="1:7">
      <c r="A2146" s="3">
        <v>18</v>
      </c>
      <c r="B2146" s="3">
        <v>8</v>
      </c>
      <c r="C2146" s="3">
        <v>70</v>
      </c>
      <c r="D2146" s="3">
        <v>39</v>
      </c>
      <c r="E2146" s="3">
        <v>-722.325</v>
      </c>
      <c r="F2146" s="4" t="str">
        <f>HYPERLINK("http://141.218.60.56/~jnz1568/getInfo.php?workbook=18_08.xlsx&amp;sheet=A0&amp;row=2146&amp;col=6&amp;number=68.06&amp;sourceID=14","68.06")</f>
        <v>68.06</v>
      </c>
      <c r="G2146" s="4" t="str">
        <f>HYPERLINK("http://141.218.60.56/~jnz1568/getInfo.php?workbook=18_08.xlsx&amp;sheet=A0&amp;row=2146&amp;col=7&amp;number=0&amp;sourceID=14","0")</f>
        <v>0</v>
      </c>
    </row>
    <row r="2147" spans="1:7">
      <c r="A2147" s="3">
        <v>18</v>
      </c>
      <c r="B2147" s="3">
        <v>8</v>
      </c>
      <c r="C2147" s="3">
        <v>71</v>
      </c>
      <c r="D2147" s="3">
        <v>39</v>
      </c>
      <c r="E2147" s="3">
        <v>-718.908</v>
      </c>
      <c r="F2147" s="4" t="str">
        <f>HYPERLINK("http://141.218.60.56/~jnz1568/getInfo.php?workbook=18_08.xlsx&amp;sheet=A0&amp;row=2147&amp;col=6&amp;number=0.2391&amp;sourceID=14","0.2391")</f>
        <v>0.2391</v>
      </c>
      <c r="G2147" s="4" t="str">
        <f>HYPERLINK("http://141.218.60.56/~jnz1568/getInfo.php?workbook=18_08.xlsx&amp;sheet=A0&amp;row=2147&amp;col=7&amp;number=0&amp;sourceID=14","0")</f>
        <v>0</v>
      </c>
    </row>
    <row r="2148" spans="1:7">
      <c r="A2148" s="3">
        <v>18</v>
      </c>
      <c r="B2148" s="3">
        <v>8</v>
      </c>
      <c r="C2148" s="3">
        <v>72</v>
      </c>
      <c r="D2148" s="3">
        <v>39</v>
      </c>
      <c r="E2148" s="3">
        <v>-755.577</v>
      </c>
      <c r="F2148" s="4" t="str">
        <f>HYPERLINK("http://141.218.60.56/~jnz1568/getInfo.php?workbook=18_08.xlsx&amp;sheet=A0&amp;row=2148&amp;col=6&amp;number=12.49&amp;sourceID=14","12.49")</f>
        <v>12.49</v>
      </c>
      <c r="G2148" s="4" t="str">
        <f>HYPERLINK("http://141.218.60.56/~jnz1568/getInfo.php?workbook=18_08.xlsx&amp;sheet=A0&amp;row=2148&amp;col=7&amp;number=0&amp;sourceID=14","0")</f>
        <v>0</v>
      </c>
    </row>
    <row r="2149" spans="1:7">
      <c r="A2149" s="3">
        <v>18</v>
      </c>
      <c r="B2149" s="3">
        <v>8</v>
      </c>
      <c r="C2149" s="3">
        <v>73</v>
      </c>
      <c r="D2149" s="3">
        <v>39</v>
      </c>
      <c r="E2149" s="3">
        <v>-696.089</v>
      </c>
      <c r="F2149" s="4" t="str">
        <f>HYPERLINK("http://141.218.60.56/~jnz1568/getInfo.php?workbook=18_08.xlsx&amp;sheet=A0&amp;row=2149&amp;col=6&amp;number=0.5731&amp;sourceID=14","0.5731")</f>
        <v>0.5731</v>
      </c>
      <c r="G2149" s="4" t="str">
        <f>HYPERLINK("http://141.218.60.56/~jnz1568/getInfo.php?workbook=18_08.xlsx&amp;sheet=A0&amp;row=2149&amp;col=7&amp;number=0&amp;sourceID=14","0")</f>
        <v>0</v>
      </c>
    </row>
    <row r="2150" spans="1:7">
      <c r="A2150" s="3">
        <v>18</v>
      </c>
      <c r="B2150" s="3">
        <v>8</v>
      </c>
      <c r="C2150" s="3">
        <v>74</v>
      </c>
      <c r="D2150" s="3">
        <v>39</v>
      </c>
      <c r="E2150" s="3">
        <v>-632.608</v>
      </c>
      <c r="F2150" s="4" t="str">
        <f>HYPERLINK("http://141.218.60.56/~jnz1568/getInfo.php?workbook=18_08.xlsx&amp;sheet=A0&amp;row=2150&amp;col=6&amp;number=0.002622&amp;sourceID=14","0.002622")</f>
        <v>0.002622</v>
      </c>
      <c r="G2150" s="4" t="str">
        <f>HYPERLINK("http://141.218.60.56/~jnz1568/getInfo.php?workbook=18_08.xlsx&amp;sheet=A0&amp;row=2150&amp;col=7&amp;number=0&amp;sourceID=14","0")</f>
        <v>0</v>
      </c>
    </row>
    <row r="2151" spans="1:7">
      <c r="A2151" s="3">
        <v>18</v>
      </c>
      <c r="B2151" s="3">
        <v>8</v>
      </c>
      <c r="C2151" s="3">
        <v>75</v>
      </c>
      <c r="D2151" s="3">
        <v>39</v>
      </c>
      <c r="E2151" s="3">
        <v>-619.095</v>
      </c>
      <c r="F2151" s="4" t="str">
        <f>HYPERLINK("http://141.218.60.56/~jnz1568/getInfo.php?workbook=18_08.xlsx&amp;sheet=A0&amp;row=2151&amp;col=6&amp;number=60.98&amp;sourceID=14","60.98")</f>
        <v>60.98</v>
      </c>
      <c r="G2151" s="4" t="str">
        <f>HYPERLINK("http://141.218.60.56/~jnz1568/getInfo.php?workbook=18_08.xlsx&amp;sheet=A0&amp;row=2151&amp;col=7&amp;number=0&amp;sourceID=14","0")</f>
        <v>0</v>
      </c>
    </row>
    <row r="2152" spans="1:7">
      <c r="A2152" s="3">
        <v>18</v>
      </c>
      <c r="B2152" s="3">
        <v>8</v>
      </c>
      <c r="C2152" s="3">
        <v>77</v>
      </c>
      <c r="D2152" s="3">
        <v>39</v>
      </c>
      <c r="E2152" s="3">
        <v>-610.454</v>
      </c>
      <c r="F2152" s="4" t="str">
        <f>HYPERLINK("http://141.218.60.56/~jnz1568/getInfo.php?workbook=18_08.xlsx&amp;sheet=A0&amp;row=2152&amp;col=6&amp;number=0.02117&amp;sourceID=14","0.02117")</f>
        <v>0.02117</v>
      </c>
      <c r="G2152" s="4" t="str">
        <f>HYPERLINK("http://141.218.60.56/~jnz1568/getInfo.php?workbook=18_08.xlsx&amp;sheet=A0&amp;row=2152&amp;col=7&amp;number=0&amp;sourceID=14","0")</f>
        <v>0</v>
      </c>
    </row>
    <row r="2153" spans="1:7">
      <c r="A2153" s="3">
        <v>18</v>
      </c>
      <c r="B2153" s="3">
        <v>8</v>
      </c>
      <c r="C2153" s="3">
        <v>78</v>
      </c>
      <c r="D2153" s="3">
        <v>39</v>
      </c>
      <c r="E2153" s="3">
        <v>-615.959</v>
      </c>
      <c r="F2153" s="4" t="str">
        <f>HYPERLINK("http://141.218.60.56/~jnz1568/getInfo.php?workbook=18_08.xlsx&amp;sheet=A0&amp;row=2153&amp;col=6&amp;number=1070&amp;sourceID=14","1070")</f>
        <v>1070</v>
      </c>
      <c r="G2153" s="4" t="str">
        <f>HYPERLINK("http://141.218.60.56/~jnz1568/getInfo.php?workbook=18_08.xlsx&amp;sheet=A0&amp;row=2153&amp;col=7&amp;number=0&amp;sourceID=14","0")</f>
        <v>0</v>
      </c>
    </row>
    <row r="2154" spans="1:7">
      <c r="A2154" s="3">
        <v>18</v>
      </c>
      <c r="B2154" s="3">
        <v>8</v>
      </c>
      <c r="C2154" s="3">
        <v>79</v>
      </c>
      <c r="D2154" s="3">
        <v>39</v>
      </c>
      <c r="E2154" s="3">
        <v>-604.832</v>
      </c>
      <c r="F2154" s="4" t="str">
        <f>HYPERLINK("http://141.218.60.56/~jnz1568/getInfo.php?workbook=18_08.xlsx&amp;sheet=A0&amp;row=2154&amp;col=6&amp;number=0.7583&amp;sourceID=14","0.7583")</f>
        <v>0.7583</v>
      </c>
      <c r="G2154" s="4" t="str">
        <f>HYPERLINK("http://141.218.60.56/~jnz1568/getInfo.php?workbook=18_08.xlsx&amp;sheet=A0&amp;row=2154&amp;col=7&amp;number=0&amp;sourceID=14","0")</f>
        <v>0</v>
      </c>
    </row>
    <row r="2155" spans="1:7">
      <c r="A2155" s="3">
        <v>18</v>
      </c>
      <c r="B2155" s="3">
        <v>8</v>
      </c>
      <c r="C2155" s="3">
        <v>80</v>
      </c>
      <c r="D2155" s="3">
        <v>39</v>
      </c>
      <c r="E2155" s="3">
        <v>-597.826</v>
      </c>
      <c r="F2155" s="4" t="str">
        <f>HYPERLINK("http://141.218.60.56/~jnz1568/getInfo.php?workbook=18_08.xlsx&amp;sheet=A0&amp;row=2155&amp;col=6&amp;number=1.507&amp;sourceID=14","1.507")</f>
        <v>1.507</v>
      </c>
      <c r="G2155" s="4" t="str">
        <f>HYPERLINK("http://141.218.60.56/~jnz1568/getInfo.php?workbook=18_08.xlsx&amp;sheet=A0&amp;row=2155&amp;col=7&amp;number=0&amp;sourceID=14","0")</f>
        <v>0</v>
      </c>
    </row>
    <row r="2156" spans="1:7">
      <c r="A2156" s="3">
        <v>18</v>
      </c>
      <c r="B2156" s="3">
        <v>8</v>
      </c>
      <c r="C2156" s="3">
        <v>81</v>
      </c>
      <c r="D2156" s="3">
        <v>39</v>
      </c>
      <c r="E2156" s="3">
        <v>-563.056</v>
      </c>
      <c r="F2156" s="4" t="str">
        <f>HYPERLINK("http://141.218.60.56/~jnz1568/getInfo.php?workbook=18_08.xlsx&amp;sheet=A0&amp;row=2156&amp;col=6&amp;number=280.3&amp;sourceID=14","280.3")</f>
        <v>280.3</v>
      </c>
      <c r="G2156" s="4" t="str">
        <f>HYPERLINK("http://141.218.60.56/~jnz1568/getInfo.php?workbook=18_08.xlsx&amp;sheet=A0&amp;row=2156&amp;col=7&amp;number=0&amp;sourceID=14","0")</f>
        <v>0</v>
      </c>
    </row>
    <row r="2157" spans="1:7">
      <c r="A2157" s="3">
        <v>18</v>
      </c>
      <c r="B2157" s="3">
        <v>8</v>
      </c>
      <c r="C2157" s="3">
        <v>82</v>
      </c>
      <c r="D2157" s="3">
        <v>39</v>
      </c>
      <c r="E2157" s="3">
        <v>-552.876</v>
      </c>
      <c r="F2157" s="4" t="str">
        <f>HYPERLINK("http://141.218.60.56/~jnz1568/getInfo.php?workbook=18_08.xlsx&amp;sheet=A0&amp;row=2157&amp;col=6&amp;number=0.01073&amp;sourceID=14","0.01073")</f>
        <v>0.01073</v>
      </c>
      <c r="G2157" s="4" t="str">
        <f>HYPERLINK("http://141.218.60.56/~jnz1568/getInfo.php?workbook=18_08.xlsx&amp;sheet=A0&amp;row=2157&amp;col=7&amp;number=0&amp;sourceID=14","0")</f>
        <v>0</v>
      </c>
    </row>
    <row r="2158" spans="1:7">
      <c r="A2158" s="3">
        <v>18</v>
      </c>
      <c r="B2158" s="3">
        <v>8</v>
      </c>
      <c r="C2158" s="3">
        <v>83</v>
      </c>
      <c r="D2158" s="3">
        <v>39</v>
      </c>
      <c r="E2158" s="3">
        <v>-552.224</v>
      </c>
      <c r="F2158" s="4" t="str">
        <f>HYPERLINK("http://141.218.60.56/~jnz1568/getInfo.php?workbook=18_08.xlsx&amp;sheet=A0&amp;row=2158&amp;col=6&amp;number=391&amp;sourceID=14","391")</f>
        <v>391</v>
      </c>
      <c r="G2158" s="4" t="str">
        <f>HYPERLINK("http://141.218.60.56/~jnz1568/getInfo.php?workbook=18_08.xlsx&amp;sheet=A0&amp;row=2158&amp;col=7&amp;number=0&amp;sourceID=14","0")</f>
        <v>0</v>
      </c>
    </row>
    <row r="2159" spans="1:7">
      <c r="A2159" s="3">
        <v>18</v>
      </c>
      <c r="B2159" s="3">
        <v>8</v>
      </c>
      <c r="C2159" s="3">
        <v>84</v>
      </c>
      <c r="D2159" s="3">
        <v>39</v>
      </c>
      <c r="E2159" s="3">
        <v>-515.905</v>
      </c>
      <c r="F2159" s="4" t="str">
        <f>HYPERLINK("http://141.218.60.56/~jnz1568/getInfo.php?workbook=18_08.xlsx&amp;sheet=A0&amp;row=2159&amp;col=6&amp;number=75.6&amp;sourceID=14","75.6")</f>
        <v>75.6</v>
      </c>
      <c r="G2159" s="4" t="str">
        <f>HYPERLINK("http://141.218.60.56/~jnz1568/getInfo.php?workbook=18_08.xlsx&amp;sheet=A0&amp;row=2159&amp;col=7&amp;number=0&amp;sourceID=14","0")</f>
        <v>0</v>
      </c>
    </row>
    <row r="2160" spans="1:7">
      <c r="A2160" s="3">
        <v>18</v>
      </c>
      <c r="B2160" s="3">
        <v>8</v>
      </c>
      <c r="C2160" s="3">
        <v>85</v>
      </c>
      <c r="D2160" s="3">
        <v>39</v>
      </c>
      <c r="E2160" s="3">
        <v>-506.363</v>
      </c>
      <c r="F2160" s="4" t="str">
        <f>HYPERLINK("http://141.218.60.56/~jnz1568/getInfo.php?workbook=18_08.xlsx&amp;sheet=A0&amp;row=2160&amp;col=6&amp;number=0.0003414&amp;sourceID=14","0.0003414")</f>
        <v>0.0003414</v>
      </c>
      <c r="G2160" s="4" t="str">
        <f>HYPERLINK("http://141.218.60.56/~jnz1568/getInfo.php?workbook=18_08.xlsx&amp;sheet=A0&amp;row=2160&amp;col=7&amp;number=0&amp;sourceID=14","0")</f>
        <v>0</v>
      </c>
    </row>
    <row r="2161" spans="1:7">
      <c r="A2161" s="3">
        <v>18</v>
      </c>
      <c r="B2161" s="3">
        <v>8</v>
      </c>
      <c r="C2161" s="3">
        <v>86</v>
      </c>
      <c r="D2161" s="3">
        <v>39</v>
      </c>
      <c r="E2161" s="3">
        <v>-437.695</v>
      </c>
      <c r="F2161" s="4" t="str">
        <f>HYPERLINK("http://141.218.60.56/~jnz1568/getInfo.php?workbook=18_08.xlsx&amp;sheet=A0&amp;row=2161&amp;col=6&amp;number=1.395&amp;sourceID=14","1.395")</f>
        <v>1.395</v>
      </c>
      <c r="G2161" s="4" t="str">
        <f>HYPERLINK("http://141.218.60.56/~jnz1568/getInfo.php?workbook=18_08.xlsx&amp;sheet=A0&amp;row=2161&amp;col=7&amp;number=0&amp;sourceID=14","0")</f>
        <v>0</v>
      </c>
    </row>
    <row r="2162" spans="1:7">
      <c r="A2162" s="3">
        <v>18</v>
      </c>
      <c r="B2162" s="3">
        <v>8</v>
      </c>
      <c r="C2162" s="3">
        <v>41</v>
      </c>
      <c r="D2162" s="3">
        <v>40</v>
      </c>
      <c r="E2162" s="3">
        <v>-423867.094</v>
      </c>
      <c r="F2162" s="4" t="str">
        <f>HYPERLINK("http://141.218.60.56/~jnz1568/getInfo.php?workbook=18_08.xlsx&amp;sheet=A0&amp;row=2162&amp;col=6&amp;number=0.0006014&amp;sourceID=14","0.0006014")</f>
        <v>0.0006014</v>
      </c>
      <c r="G2162" s="4" t="str">
        <f>HYPERLINK("http://141.218.60.56/~jnz1568/getInfo.php?workbook=18_08.xlsx&amp;sheet=A0&amp;row=2162&amp;col=7&amp;number=0&amp;sourceID=14","0")</f>
        <v>0</v>
      </c>
    </row>
    <row r="2163" spans="1:7">
      <c r="A2163" s="3">
        <v>18</v>
      </c>
      <c r="B2163" s="3">
        <v>8</v>
      </c>
      <c r="C2163" s="3">
        <v>42</v>
      </c>
      <c r="D2163" s="3">
        <v>40</v>
      </c>
      <c r="E2163" s="3">
        <v>-159310</v>
      </c>
      <c r="F2163" s="4" t="str">
        <f>HYPERLINK("http://141.218.60.56/~jnz1568/getInfo.php?workbook=18_08.xlsx&amp;sheet=A0&amp;row=2163&amp;col=6&amp;number=2.064e-10&amp;sourceID=14","2.064e-10")</f>
        <v>2.064e-10</v>
      </c>
      <c r="G2163" s="4" t="str">
        <f>HYPERLINK("http://141.218.60.56/~jnz1568/getInfo.php?workbook=18_08.xlsx&amp;sheet=A0&amp;row=2163&amp;col=7&amp;number=0&amp;sourceID=14","0")</f>
        <v>0</v>
      </c>
    </row>
    <row r="2164" spans="1:7">
      <c r="A2164" s="3">
        <v>18</v>
      </c>
      <c r="B2164" s="3">
        <v>8</v>
      </c>
      <c r="C2164" s="3">
        <v>48</v>
      </c>
      <c r="D2164" s="3">
        <v>40</v>
      </c>
      <c r="E2164" s="3">
        <v>-147082.188</v>
      </c>
      <c r="F2164" s="4" t="str">
        <f>HYPERLINK("http://141.218.60.56/~jnz1568/getInfo.php?workbook=18_08.xlsx&amp;sheet=A0&amp;row=2164&amp;col=6&amp;number=0.00147&amp;sourceID=14","0.00147")</f>
        <v>0.00147</v>
      </c>
      <c r="G2164" s="4" t="str">
        <f>HYPERLINK("http://141.218.60.56/~jnz1568/getInfo.php?workbook=18_08.xlsx&amp;sheet=A0&amp;row=2164&amp;col=7&amp;number=0&amp;sourceID=14","0")</f>
        <v>0</v>
      </c>
    </row>
    <row r="2165" spans="1:7">
      <c r="A2165" s="3">
        <v>18</v>
      </c>
      <c r="B2165" s="3">
        <v>8</v>
      </c>
      <c r="C2165" s="3">
        <v>49</v>
      </c>
      <c r="D2165" s="3">
        <v>40</v>
      </c>
      <c r="E2165" s="3">
        <v>-8940.744</v>
      </c>
      <c r="F2165" s="4" t="str">
        <f>HYPERLINK("http://141.218.60.56/~jnz1568/getInfo.php?workbook=18_08.xlsx&amp;sheet=A0&amp;row=2165&amp;col=6&amp;number=18.03&amp;sourceID=14","18.03")</f>
        <v>18.03</v>
      </c>
      <c r="G2165" s="4" t="str">
        <f>HYPERLINK("http://141.218.60.56/~jnz1568/getInfo.php?workbook=18_08.xlsx&amp;sheet=A0&amp;row=2165&amp;col=7&amp;number=0&amp;sourceID=14","0")</f>
        <v>0</v>
      </c>
    </row>
    <row r="2166" spans="1:7">
      <c r="A2166" s="3">
        <v>18</v>
      </c>
      <c r="B2166" s="3">
        <v>8</v>
      </c>
      <c r="C2166" s="3">
        <v>50</v>
      </c>
      <c r="D2166" s="3">
        <v>40</v>
      </c>
      <c r="E2166" s="3">
        <v>-7099.293</v>
      </c>
      <c r="F2166" s="4" t="str">
        <f>HYPERLINK("http://141.218.60.56/~jnz1568/getInfo.php?workbook=18_08.xlsx&amp;sheet=A0&amp;row=2166&amp;col=6&amp;number=5.944&amp;sourceID=14","5.944")</f>
        <v>5.944</v>
      </c>
      <c r="G2166" s="4" t="str">
        <f>HYPERLINK("http://141.218.60.56/~jnz1568/getInfo.php?workbook=18_08.xlsx&amp;sheet=A0&amp;row=2166&amp;col=7&amp;number=0&amp;sourceID=14","0")</f>
        <v>0</v>
      </c>
    </row>
    <row r="2167" spans="1:7">
      <c r="A2167" s="3">
        <v>18</v>
      </c>
      <c r="B2167" s="3">
        <v>8</v>
      </c>
      <c r="C2167" s="3">
        <v>51</v>
      </c>
      <c r="D2167" s="3">
        <v>40</v>
      </c>
      <c r="E2167" s="3">
        <v>2205.169</v>
      </c>
      <c r="F2167" s="4" t="str">
        <f>HYPERLINK("http://141.218.60.56/~jnz1568/getInfo.php?workbook=18_08.xlsx&amp;sheet=A0&amp;row=2167&amp;col=6&amp;number=2.794&amp;sourceID=14","2.794")</f>
        <v>2.794</v>
      </c>
      <c r="G2167" s="4" t="str">
        <f>HYPERLINK("http://141.218.60.56/~jnz1568/getInfo.php?workbook=18_08.xlsx&amp;sheet=A0&amp;row=2167&amp;col=7&amp;number=0&amp;sourceID=14","0")</f>
        <v>0</v>
      </c>
    </row>
    <row r="2168" spans="1:7">
      <c r="A2168" s="3">
        <v>18</v>
      </c>
      <c r="B2168" s="3">
        <v>8</v>
      </c>
      <c r="C2168" s="3">
        <v>52</v>
      </c>
      <c r="D2168" s="3">
        <v>40</v>
      </c>
      <c r="E2168" s="3">
        <v>2264.749</v>
      </c>
      <c r="F2168" s="4" t="str">
        <f>HYPERLINK("http://141.218.60.56/~jnz1568/getInfo.php?workbook=18_08.xlsx&amp;sheet=A0&amp;row=2168&amp;col=6&amp;number=0.2232&amp;sourceID=14","0.2232")</f>
        <v>0.2232</v>
      </c>
      <c r="G2168" s="4" t="str">
        <f>HYPERLINK("http://141.218.60.56/~jnz1568/getInfo.php?workbook=18_08.xlsx&amp;sheet=A0&amp;row=2168&amp;col=7&amp;number=0&amp;sourceID=14","0")</f>
        <v>0</v>
      </c>
    </row>
    <row r="2169" spans="1:7">
      <c r="A2169" s="3">
        <v>18</v>
      </c>
      <c r="B2169" s="3">
        <v>8</v>
      </c>
      <c r="C2169" s="3">
        <v>53</v>
      </c>
      <c r="D2169" s="3">
        <v>40</v>
      </c>
      <c r="E2169" s="3">
        <v>-6468.391</v>
      </c>
      <c r="F2169" s="4" t="str">
        <f>HYPERLINK("http://141.218.60.56/~jnz1568/getInfo.php?workbook=18_08.xlsx&amp;sheet=A0&amp;row=2169&amp;col=6&amp;number=2.18e-07&amp;sourceID=14","2.18e-07")</f>
        <v>2.18e-07</v>
      </c>
      <c r="G2169" s="4" t="str">
        <f>HYPERLINK("http://141.218.60.56/~jnz1568/getInfo.php?workbook=18_08.xlsx&amp;sheet=A0&amp;row=2169&amp;col=7&amp;number=0&amp;sourceID=14","0")</f>
        <v>0</v>
      </c>
    </row>
    <row r="2170" spans="1:7">
      <c r="A2170" s="3">
        <v>18</v>
      </c>
      <c r="B2170" s="3">
        <v>8</v>
      </c>
      <c r="C2170" s="3">
        <v>54</v>
      </c>
      <c r="D2170" s="3">
        <v>40</v>
      </c>
      <c r="E2170" s="3">
        <v>2205.169</v>
      </c>
      <c r="F2170" s="4" t="str">
        <f>HYPERLINK("http://141.218.60.56/~jnz1568/getInfo.php?workbook=18_08.xlsx&amp;sheet=A0&amp;row=2170&amp;col=6&amp;number=2.79&amp;sourceID=14","2.79")</f>
        <v>2.79</v>
      </c>
      <c r="G2170" s="4" t="str">
        <f>HYPERLINK("http://141.218.60.56/~jnz1568/getInfo.php?workbook=18_08.xlsx&amp;sheet=A0&amp;row=2170&amp;col=7&amp;number=0&amp;sourceID=14","0")</f>
        <v>0</v>
      </c>
    </row>
    <row r="2171" spans="1:7">
      <c r="A2171" s="3">
        <v>18</v>
      </c>
      <c r="B2171" s="3">
        <v>8</v>
      </c>
      <c r="C2171" s="3">
        <v>55</v>
      </c>
      <c r="D2171" s="3">
        <v>40</v>
      </c>
      <c r="E2171" s="3">
        <v>-2217.632</v>
      </c>
      <c r="F2171" s="4" t="str">
        <f>HYPERLINK("http://141.218.60.56/~jnz1568/getInfo.php?workbook=18_08.xlsx&amp;sheet=A0&amp;row=2171&amp;col=6&amp;number=0.06675&amp;sourceID=14","0.06675")</f>
        <v>0.06675</v>
      </c>
      <c r="G2171" s="4" t="str">
        <f>HYPERLINK("http://141.218.60.56/~jnz1568/getInfo.php?workbook=18_08.xlsx&amp;sheet=A0&amp;row=2171&amp;col=7&amp;number=0&amp;sourceID=14","0")</f>
        <v>0</v>
      </c>
    </row>
    <row r="2172" spans="1:7">
      <c r="A2172" s="3">
        <v>18</v>
      </c>
      <c r="B2172" s="3">
        <v>8</v>
      </c>
      <c r="C2172" s="3">
        <v>56</v>
      </c>
      <c r="D2172" s="3">
        <v>40</v>
      </c>
      <c r="E2172" s="3">
        <v>933.271</v>
      </c>
      <c r="F2172" s="4" t="str">
        <f>HYPERLINK("http://141.218.60.56/~jnz1568/getInfo.php?workbook=18_08.xlsx&amp;sheet=A0&amp;row=2172&amp;col=6&amp;number=37.04&amp;sourceID=14","37.04")</f>
        <v>37.04</v>
      </c>
      <c r="G2172" s="4" t="str">
        <f>HYPERLINK("http://141.218.60.56/~jnz1568/getInfo.php?workbook=18_08.xlsx&amp;sheet=A0&amp;row=2172&amp;col=7&amp;number=0&amp;sourceID=14","0")</f>
        <v>0</v>
      </c>
    </row>
    <row r="2173" spans="1:7">
      <c r="A2173" s="3">
        <v>18</v>
      </c>
      <c r="B2173" s="3">
        <v>8</v>
      </c>
      <c r="C2173" s="3">
        <v>57</v>
      </c>
      <c r="D2173" s="3">
        <v>40</v>
      </c>
      <c r="E2173" s="3">
        <v>-1035.357</v>
      </c>
      <c r="F2173" s="4" t="str">
        <f>HYPERLINK("http://141.218.60.56/~jnz1568/getInfo.php?workbook=18_08.xlsx&amp;sheet=A0&amp;row=2173&amp;col=6&amp;number=17.89&amp;sourceID=14","17.89")</f>
        <v>17.89</v>
      </c>
      <c r="G2173" s="4" t="str">
        <f>HYPERLINK("http://141.218.60.56/~jnz1568/getInfo.php?workbook=18_08.xlsx&amp;sheet=A0&amp;row=2173&amp;col=7&amp;number=0&amp;sourceID=14","0")</f>
        <v>0</v>
      </c>
    </row>
    <row r="2174" spans="1:7">
      <c r="A2174" s="3">
        <v>18</v>
      </c>
      <c r="B2174" s="3">
        <v>8</v>
      </c>
      <c r="C2174" s="3">
        <v>58</v>
      </c>
      <c r="D2174" s="3">
        <v>40</v>
      </c>
      <c r="E2174" s="3">
        <v>-1006.942</v>
      </c>
      <c r="F2174" s="4" t="str">
        <f>HYPERLINK("http://141.218.60.56/~jnz1568/getInfo.php?workbook=18_08.xlsx&amp;sheet=A0&amp;row=2174&amp;col=6&amp;number=0.0001245&amp;sourceID=14","0.0001245")</f>
        <v>0.0001245</v>
      </c>
      <c r="G2174" s="4" t="str">
        <f>HYPERLINK("http://141.218.60.56/~jnz1568/getInfo.php?workbook=18_08.xlsx&amp;sheet=A0&amp;row=2174&amp;col=7&amp;number=0&amp;sourceID=14","0")</f>
        <v>0</v>
      </c>
    </row>
    <row r="2175" spans="1:7">
      <c r="A2175" s="3">
        <v>18</v>
      </c>
      <c r="B2175" s="3">
        <v>8</v>
      </c>
      <c r="C2175" s="3">
        <v>59</v>
      </c>
      <c r="D2175" s="3">
        <v>40</v>
      </c>
      <c r="E2175" s="3">
        <v>-992.88</v>
      </c>
      <c r="F2175" s="4" t="str">
        <f>HYPERLINK("http://141.218.60.56/~jnz1568/getInfo.php?workbook=18_08.xlsx&amp;sheet=A0&amp;row=2175&amp;col=6&amp;number=0.0009468&amp;sourceID=14","0.0009468")</f>
        <v>0.0009468</v>
      </c>
      <c r="G2175" s="4" t="str">
        <f>HYPERLINK("http://141.218.60.56/~jnz1568/getInfo.php?workbook=18_08.xlsx&amp;sheet=A0&amp;row=2175&amp;col=7&amp;number=0&amp;sourceID=14","0")</f>
        <v>0</v>
      </c>
    </row>
    <row r="2176" spans="1:7">
      <c r="A2176" s="3">
        <v>18</v>
      </c>
      <c r="B2176" s="3">
        <v>8</v>
      </c>
      <c r="C2176" s="3">
        <v>60</v>
      </c>
      <c r="D2176" s="3">
        <v>40</v>
      </c>
      <c r="E2176" s="3">
        <v>-928.602</v>
      </c>
      <c r="F2176" s="4" t="str">
        <f>HYPERLINK("http://141.218.60.56/~jnz1568/getInfo.php?workbook=18_08.xlsx&amp;sheet=A0&amp;row=2176&amp;col=6&amp;number=1.709&amp;sourceID=14","1.709")</f>
        <v>1.709</v>
      </c>
      <c r="G2176" s="4" t="str">
        <f>HYPERLINK("http://141.218.60.56/~jnz1568/getInfo.php?workbook=18_08.xlsx&amp;sheet=A0&amp;row=2176&amp;col=7&amp;number=0&amp;sourceID=14","0")</f>
        <v>0</v>
      </c>
    </row>
    <row r="2177" spans="1:7">
      <c r="A2177" s="3">
        <v>18</v>
      </c>
      <c r="B2177" s="3">
        <v>8</v>
      </c>
      <c r="C2177" s="3">
        <v>61</v>
      </c>
      <c r="D2177" s="3">
        <v>40</v>
      </c>
      <c r="E2177" s="3">
        <v>-914.977</v>
      </c>
      <c r="F2177" s="4" t="str">
        <f>HYPERLINK("http://141.218.60.56/~jnz1568/getInfo.php?workbook=18_08.xlsx&amp;sheet=A0&amp;row=2177&amp;col=6&amp;number=0.03377&amp;sourceID=14","0.03377")</f>
        <v>0.03377</v>
      </c>
      <c r="G2177" s="4" t="str">
        <f>HYPERLINK("http://141.218.60.56/~jnz1568/getInfo.php?workbook=18_08.xlsx&amp;sheet=A0&amp;row=2177&amp;col=7&amp;number=0&amp;sourceID=14","0")</f>
        <v>0</v>
      </c>
    </row>
    <row r="2178" spans="1:7">
      <c r="A2178" s="3">
        <v>18</v>
      </c>
      <c r="B2178" s="3">
        <v>8</v>
      </c>
      <c r="C2178" s="3">
        <v>63</v>
      </c>
      <c r="D2178" s="3">
        <v>40</v>
      </c>
      <c r="E2178" s="3">
        <v>-873.639</v>
      </c>
      <c r="F2178" s="4" t="str">
        <f>HYPERLINK("http://141.218.60.56/~jnz1568/getInfo.php?workbook=18_08.xlsx&amp;sheet=A0&amp;row=2178&amp;col=6&amp;number=0.005376&amp;sourceID=14","0.005376")</f>
        <v>0.005376</v>
      </c>
      <c r="G2178" s="4" t="str">
        <f>HYPERLINK("http://141.218.60.56/~jnz1568/getInfo.php?workbook=18_08.xlsx&amp;sheet=A0&amp;row=2178&amp;col=7&amp;number=0&amp;sourceID=14","0")</f>
        <v>0</v>
      </c>
    </row>
    <row r="2179" spans="1:7">
      <c r="A2179" s="3">
        <v>18</v>
      </c>
      <c r="B2179" s="3">
        <v>8</v>
      </c>
      <c r="C2179" s="3">
        <v>64</v>
      </c>
      <c r="D2179" s="3">
        <v>40</v>
      </c>
      <c r="E2179" s="3">
        <v>764.339</v>
      </c>
      <c r="F2179" s="4" t="str">
        <f>HYPERLINK("http://141.218.60.56/~jnz1568/getInfo.php?workbook=18_08.xlsx&amp;sheet=A0&amp;row=2179&amp;col=6&amp;number=8.271&amp;sourceID=14","8.271")</f>
        <v>8.271</v>
      </c>
      <c r="G2179" s="4" t="str">
        <f>HYPERLINK("http://141.218.60.56/~jnz1568/getInfo.php?workbook=18_08.xlsx&amp;sheet=A0&amp;row=2179&amp;col=7&amp;number=0&amp;sourceID=14","0")</f>
        <v>0</v>
      </c>
    </row>
    <row r="2180" spans="1:7">
      <c r="A2180" s="3">
        <v>18</v>
      </c>
      <c r="B2180" s="3">
        <v>8</v>
      </c>
      <c r="C2180" s="3">
        <v>65</v>
      </c>
      <c r="D2180" s="3">
        <v>40</v>
      </c>
      <c r="E2180" s="3">
        <v>-1040.27</v>
      </c>
      <c r="F2180" s="4" t="str">
        <f>HYPERLINK("http://141.218.60.56/~jnz1568/getInfo.php?workbook=18_08.xlsx&amp;sheet=A0&amp;row=2180&amp;col=6&amp;number=1.376e-06&amp;sourceID=14","1.376e-06")</f>
        <v>1.376e-06</v>
      </c>
      <c r="G2180" s="4" t="str">
        <f>HYPERLINK("http://141.218.60.56/~jnz1568/getInfo.php?workbook=18_08.xlsx&amp;sheet=A0&amp;row=2180&amp;col=7&amp;number=0&amp;sourceID=14","0")</f>
        <v>0</v>
      </c>
    </row>
    <row r="2181" spans="1:7">
      <c r="A2181" s="3">
        <v>18</v>
      </c>
      <c r="B2181" s="3">
        <v>8</v>
      </c>
      <c r="C2181" s="3">
        <v>66</v>
      </c>
      <c r="D2181" s="3">
        <v>40</v>
      </c>
      <c r="E2181" s="3">
        <v>766.53</v>
      </c>
      <c r="F2181" s="4" t="str">
        <f>HYPERLINK("http://141.218.60.56/~jnz1568/getInfo.php?workbook=18_08.xlsx&amp;sheet=A0&amp;row=2181&amp;col=6&amp;number=8.825&amp;sourceID=14","8.825")</f>
        <v>8.825</v>
      </c>
      <c r="G2181" s="4" t="str">
        <f>HYPERLINK("http://141.218.60.56/~jnz1568/getInfo.php?workbook=18_08.xlsx&amp;sheet=A0&amp;row=2181&amp;col=7&amp;number=0&amp;sourceID=14","0")</f>
        <v>0</v>
      </c>
    </row>
    <row r="2182" spans="1:7">
      <c r="A2182" s="3">
        <v>18</v>
      </c>
      <c r="B2182" s="3">
        <v>8</v>
      </c>
      <c r="C2182" s="3">
        <v>67</v>
      </c>
      <c r="D2182" s="3">
        <v>40</v>
      </c>
      <c r="E2182" s="3">
        <v>821.274</v>
      </c>
      <c r="F2182" s="4" t="str">
        <f>HYPERLINK("http://141.218.60.56/~jnz1568/getInfo.php?workbook=18_08.xlsx&amp;sheet=A0&amp;row=2182&amp;col=6&amp;number=41.53&amp;sourceID=14","41.53")</f>
        <v>41.53</v>
      </c>
      <c r="G2182" s="4" t="str">
        <f>HYPERLINK("http://141.218.60.56/~jnz1568/getInfo.php?workbook=18_08.xlsx&amp;sheet=A0&amp;row=2182&amp;col=7&amp;number=0&amp;sourceID=14","0")</f>
        <v>0</v>
      </c>
    </row>
    <row r="2183" spans="1:7">
      <c r="A2183" s="3">
        <v>18</v>
      </c>
      <c r="B2183" s="3">
        <v>8</v>
      </c>
      <c r="C2183" s="3">
        <v>68</v>
      </c>
      <c r="D2183" s="3">
        <v>40</v>
      </c>
      <c r="E2183" s="3">
        <v>757.369</v>
      </c>
      <c r="F2183" s="4" t="str">
        <f>HYPERLINK("http://141.218.60.56/~jnz1568/getInfo.php?workbook=18_08.xlsx&amp;sheet=A0&amp;row=2183&amp;col=6&amp;number=2.496&amp;sourceID=14","2.496")</f>
        <v>2.496</v>
      </c>
      <c r="G2183" s="4" t="str">
        <f>HYPERLINK("http://141.218.60.56/~jnz1568/getInfo.php?workbook=18_08.xlsx&amp;sheet=A0&amp;row=2183&amp;col=7&amp;number=0&amp;sourceID=14","0")</f>
        <v>0</v>
      </c>
    </row>
    <row r="2184" spans="1:7">
      <c r="A2184" s="3">
        <v>18</v>
      </c>
      <c r="B2184" s="3">
        <v>8</v>
      </c>
      <c r="C2184" s="3">
        <v>69</v>
      </c>
      <c r="D2184" s="3">
        <v>40</v>
      </c>
      <c r="E2184" s="3">
        <v>708.973</v>
      </c>
      <c r="F2184" s="4" t="str">
        <f>HYPERLINK("http://141.218.60.56/~jnz1568/getInfo.php?workbook=18_08.xlsx&amp;sheet=A0&amp;row=2184&amp;col=6&amp;number=0.1831&amp;sourceID=14","0.1831")</f>
        <v>0.1831</v>
      </c>
      <c r="G2184" s="4" t="str">
        <f>HYPERLINK("http://141.218.60.56/~jnz1568/getInfo.php?workbook=18_08.xlsx&amp;sheet=A0&amp;row=2184&amp;col=7&amp;number=0&amp;sourceID=14","0")</f>
        <v>0</v>
      </c>
    </row>
    <row r="2185" spans="1:7">
      <c r="A2185" s="3">
        <v>18</v>
      </c>
      <c r="B2185" s="3">
        <v>8</v>
      </c>
      <c r="C2185" s="3">
        <v>70</v>
      </c>
      <c r="D2185" s="3">
        <v>40</v>
      </c>
      <c r="E2185" s="3">
        <v>-723.181</v>
      </c>
      <c r="F2185" s="4" t="str">
        <f>HYPERLINK("http://141.218.60.56/~jnz1568/getInfo.php?workbook=18_08.xlsx&amp;sheet=A0&amp;row=2185&amp;col=6&amp;number=0.7708&amp;sourceID=14","0.7708")</f>
        <v>0.7708</v>
      </c>
      <c r="G2185" s="4" t="str">
        <f>HYPERLINK("http://141.218.60.56/~jnz1568/getInfo.php?workbook=18_08.xlsx&amp;sheet=A0&amp;row=2185&amp;col=7&amp;number=0&amp;sourceID=14","0")</f>
        <v>0</v>
      </c>
    </row>
    <row r="2186" spans="1:7">
      <c r="A2186" s="3">
        <v>18</v>
      </c>
      <c r="B2186" s="3">
        <v>8</v>
      </c>
      <c r="C2186" s="3">
        <v>71</v>
      </c>
      <c r="D2186" s="3">
        <v>40</v>
      </c>
      <c r="E2186" s="3">
        <v>655.918</v>
      </c>
      <c r="F2186" s="4" t="str">
        <f>HYPERLINK("http://141.218.60.56/~jnz1568/getInfo.php?workbook=18_08.xlsx&amp;sheet=A0&amp;row=2186&amp;col=6&amp;number=6.256&amp;sourceID=14","6.256")</f>
        <v>6.256</v>
      </c>
      <c r="G2186" s="4" t="str">
        <f>HYPERLINK("http://141.218.60.56/~jnz1568/getInfo.php?workbook=18_08.xlsx&amp;sheet=A0&amp;row=2186&amp;col=7&amp;number=0&amp;sourceID=14","0")</f>
        <v>0</v>
      </c>
    </row>
    <row r="2187" spans="1:7">
      <c r="A2187" s="3">
        <v>18</v>
      </c>
      <c r="B2187" s="3">
        <v>8</v>
      </c>
      <c r="C2187" s="3">
        <v>72</v>
      </c>
      <c r="D2187" s="3">
        <v>40</v>
      </c>
      <c r="E2187" s="3">
        <v>708.973</v>
      </c>
      <c r="F2187" s="4" t="str">
        <f>HYPERLINK("http://141.218.60.56/~jnz1568/getInfo.php?workbook=18_08.xlsx&amp;sheet=A0&amp;row=2187&amp;col=6&amp;number=0.5249&amp;sourceID=14","0.5249")</f>
        <v>0.5249</v>
      </c>
      <c r="G2187" s="4" t="str">
        <f>HYPERLINK("http://141.218.60.56/~jnz1568/getInfo.php?workbook=18_08.xlsx&amp;sheet=A0&amp;row=2187&amp;col=7&amp;number=0&amp;sourceID=14","0")</f>
        <v>0</v>
      </c>
    </row>
    <row r="2188" spans="1:7">
      <c r="A2188" s="3">
        <v>18</v>
      </c>
      <c r="B2188" s="3">
        <v>8</v>
      </c>
      <c r="C2188" s="3">
        <v>73</v>
      </c>
      <c r="D2188" s="3">
        <v>40</v>
      </c>
      <c r="E2188" s="3">
        <v>655.918</v>
      </c>
      <c r="F2188" s="4" t="str">
        <f>HYPERLINK("http://141.218.60.56/~jnz1568/getInfo.php?workbook=18_08.xlsx&amp;sheet=A0&amp;row=2188&amp;col=6&amp;number=127.4&amp;sourceID=14","127.4")</f>
        <v>127.4</v>
      </c>
      <c r="G2188" s="4" t="str">
        <f>HYPERLINK("http://141.218.60.56/~jnz1568/getInfo.php?workbook=18_08.xlsx&amp;sheet=A0&amp;row=2188&amp;col=7&amp;number=0&amp;sourceID=14","0")</f>
        <v>0</v>
      </c>
    </row>
    <row r="2189" spans="1:7">
      <c r="A2189" s="3">
        <v>18</v>
      </c>
      <c r="B2189" s="3">
        <v>8</v>
      </c>
      <c r="C2189" s="3">
        <v>74</v>
      </c>
      <c r="D2189" s="3">
        <v>40</v>
      </c>
      <c r="E2189" s="3">
        <v>607.796</v>
      </c>
      <c r="F2189" s="4" t="str">
        <f>HYPERLINK("http://141.218.60.56/~jnz1568/getInfo.php?workbook=18_08.xlsx&amp;sheet=A0&amp;row=2189&amp;col=6&amp;number=133.1&amp;sourceID=14","133.1")</f>
        <v>133.1</v>
      </c>
      <c r="G2189" s="4" t="str">
        <f>HYPERLINK("http://141.218.60.56/~jnz1568/getInfo.php?workbook=18_08.xlsx&amp;sheet=A0&amp;row=2189&amp;col=7&amp;number=0&amp;sourceID=14","0")</f>
        <v>0</v>
      </c>
    </row>
    <row r="2190" spans="1:7">
      <c r="A2190" s="3">
        <v>18</v>
      </c>
      <c r="B2190" s="3">
        <v>8</v>
      </c>
      <c r="C2190" s="3">
        <v>75</v>
      </c>
      <c r="D2190" s="3">
        <v>40</v>
      </c>
      <c r="E2190" s="3">
        <v>-619.724</v>
      </c>
      <c r="F2190" s="4" t="str">
        <f>HYPERLINK("http://141.218.60.56/~jnz1568/getInfo.php?workbook=18_08.xlsx&amp;sheet=A0&amp;row=2190&amp;col=6&amp;number=122.5&amp;sourceID=14","122.5")</f>
        <v>122.5</v>
      </c>
      <c r="G2190" s="4" t="str">
        <f>HYPERLINK("http://141.218.60.56/~jnz1568/getInfo.php?workbook=18_08.xlsx&amp;sheet=A0&amp;row=2190&amp;col=7&amp;number=0&amp;sourceID=14","0")</f>
        <v>0</v>
      </c>
    </row>
    <row r="2191" spans="1:7">
      <c r="A2191" s="3">
        <v>18</v>
      </c>
      <c r="B2191" s="3">
        <v>8</v>
      </c>
      <c r="C2191" s="3">
        <v>76</v>
      </c>
      <c r="D2191" s="3">
        <v>40</v>
      </c>
      <c r="E2191" s="3">
        <v>-618.762</v>
      </c>
      <c r="F2191" s="4" t="str">
        <f>HYPERLINK("http://141.218.60.56/~jnz1568/getInfo.php?workbook=18_08.xlsx&amp;sheet=A0&amp;row=2191&amp;col=6&amp;number=0.004269&amp;sourceID=14","0.004269")</f>
        <v>0.004269</v>
      </c>
      <c r="G2191" s="4" t="str">
        <f>HYPERLINK("http://141.218.60.56/~jnz1568/getInfo.php?workbook=18_08.xlsx&amp;sheet=A0&amp;row=2191&amp;col=7&amp;number=0&amp;sourceID=14","0")</f>
        <v>0</v>
      </c>
    </row>
    <row r="2192" spans="1:7">
      <c r="A2192" s="3">
        <v>18</v>
      </c>
      <c r="B2192" s="3">
        <v>8</v>
      </c>
      <c r="C2192" s="3">
        <v>77</v>
      </c>
      <c r="D2192" s="3">
        <v>40</v>
      </c>
      <c r="E2192" s="3">
        <v>607.674</v>
      </c>
      <c r="F2192" s="4" t="str">
        <f>HYPERLINK("http://141.218.60.56/~jnz1568/getInfo.php?workbook=18_08.xlsx&amp;sheet=A0&amp;row=2192&amp;col=6&amp;number=2.63&amp;sourceID=14","2.63")</f>
        <v>2.63</v>
      </c>
      <c r="G2192" s="4" t="str">
        <f>HYPERLINK("http://141.218.60.56/~jnz1568/getInfo.php?workbook=18_08.xlsx&amp;sheet=A0&amp;row=2192&amp;col=7&amp;number=0&amp;sourceID=14","0")</f>
        <v>0</v>
      </c>
    </row>
    <row r="2193" spans="1:7">
      <c r="A2193" s="3">
        <v>18</v>
      </c>
      <c r="B2193" s="3">
        <v>8</v>
      </c>
      <c r="C2193" s="3">
        <v>78</v>
      </c>
      <c r="D2193" s="3">
        <v>40</v>
      </c>
      <c r="E2193" s="3">
        <v>-616.581</v>
      </c>
      <c r="F2193" s="4" t="str">
        <f>HYPERLINK("http://141.218.60.56/~jnz1568/getInfo.php?workbook=18_08.xlsx&amp;sheet=A0&amp;row=2193&amp;col=6&amp;number=0.007416&amp;sourceID=14","0.007416")</f>
        <v>0.007416</v>
      </c>
      <c r="G2193" s="4" t="str">
        <f>HYPERLINK("http://141.218.60.56/~jnz1568/getInfo.php?workbook=18_08.xlsx&amp;sheet=A0&amp;row=2193&amp;col=7&amp;number=0&amp;sourceID=14","0")</f>
        <v>0</v>
      </c>
    </row>
    <row r="2194" spans="1:7">
      <c r="A2194" s="3">
        <v>18</v>
      </c>
      <c r="B2194" s="3">
        <v>8</v>
      </c>
      <c r="C2194" s="3">
        <v>79</v>
      </c>
      <c r="D2194" s="3">
        <v>40</v>
      </c>
      <c r="E2194" s="3">
        <v>-605.432</v>
      </c>
      <c r="F2194" s="4" t="str">
        <f>HYPERLINK("http://141.218.60.56/~jnz1568/getInfo.php?workbook=18_08.xlsx&amp;sheet=A0&amp;row=2194&amp;col=6&amp;number=716.1&amp;sourceID=14","716.1")</f>
        <v>716.1</v>
      </c>
      <c r="G2194" s="4" t="str">
        <f>HYPERLINK("http://141.218.60.56/~jnz1568/getInfo.php?workbook=18_08.xlsx&amp;sheet=A0&amp;row=2194&amp;col=7&amp;number=0&amp;sourceID=14","0")</f>
        <v>0</v>
      </c>
    </row>
    <row r="2195" spans="1:7">
      <c r="A2195" s="3">
        <v>18</v>
      </c>
      <c r="B2195" s="3">
        <v>8</v>
      </c>
      <c r="C2195" s="3">
        <v>80</v>
      </c>
      <c r="D2195" s="3">
        <v>40</v>
      </c>
      <c r="E2195" s="3">
        <v>-598.413</v>
      </c>
      <c r="F2195" s="4" t="str">
        <f>HYPERLINK("http://141.218.60.56/~jnz1568/getInfo.php?workbook=18_08.xlsx&amp;sheet=A0&amp;row=2195&amp;col=6&amp;number=19.63&amp;sourceID=14","19.63")</f>
        <v>19.63</v>
      </c>
      <c r="G2195" s="4" t="str">
        <f>HYPERLINK("http://141.218.60.56/~jnz1568/getInfo.php?workbook=18_08.xlsx&amp;sheet=A0&amp;row=2195&amp;col=7&amp;number=0&amp;sourceID=14","0")</f>
        <v>0</v>
      </c>
    </row>
    <row r="2196" spans="1:7">
      <c r="A2196" s="3">
        <v>18</v>
      </c>
      <c r="B2196" s="3">
        <v>8</v>
      </c>
      <c r="C2196" s="3">
        <v>81</v>
      </c>
      <c r="D2196" s="3">
        <v>40</v>
      </c>
      <c r="E2196" s="3">
        <v>542.117</v>
      </c>
      <c r="F2196" s="4" t="str">
        <f>HYPERLINK("http://141.218.60.56/~jnz1568/getInfo.php?workbook=18_08.xlsx&amp;sheet=A0&amp;row=2196&amp;col=6&amp;number=277.1&amp;sourceID=14","277.1")</f>
        <v>277.1</v>
      </c>
      <c r="G2196" s="4" t="str">
        <f>HYPERLINK("http://141.218.60.56/~jnz1568/getInfo.php?workbook=18_08.xlsx&amp;sheet=A0&amp;row=2196&amp;col=7&amp;number=0&amp;sourceID=14","0")</f>
        <v>0</v>
      </c>
    </row>
    <row r="2197" spans="1:7">
      <c r="A2197" s="3">
        <v>18</v>
      </c>
      <c r="B2197" s="3">
        <v>8</v>
      </c>
      <c r="C2197" s="3">
        <v>82</v>
      </c>
      <c r="D2197" s="3">
        <v>40</v>
      </c>
      <c r="E2197" s="3">
        <v>530.952</v>
      </c>
      <c r="F2197" s="4" t="str">
        <f>HYPERLINK("http://141.218.60.56/~jnz1568/getInfo.php?workbook=18_08.xlsx&amp;sheet=A0&amp;row=2197&amp;col=6&amp;number=169.4&amp;sourceID=14","169.4")</f>
        <v>169.4</v>
      </c>
      <c r="G2197" s="4" t="str">
        <f>HYPERLINK("http://141.218.60.56/~jnz1568/getInfo.php?workbook=18_08.xlsx&amp;sheet=A0&amp;row=2197&amp;col=7&amp;number=0&amp;sourceID=14","0")</f>
        <v>0</v>
      </c>
    </row>
    <row r="2198" spans="1:7">
      <c r="A2198" s="3">
        <v>18</v>
      </c>
      <c r="B2198" s="3">
        <v>8</v>
      </c>
      <c r="C2198" s="3">
        <v>83</v>
      </c>
      <c r="D2198" s="3">
        <v>40</v>
      </c>
      <c r="E2198" s="3">
        <v>504.714</v>
      </c>
      <c r="F2198" s="4" t="str">
        <f>HYPERLINK("http://141.218.60.56/~jnz1568/getInfo.php?workbook=18_08.xlsx&amp;sheet=A0&amp;row=2198&amp;col=6&amp;number=0.6192&amp;sourceID=14","0.6192")</f>
        <v>0.6192</v>
      </c>
      <c r="G2198" s="4" t="str">
        <f>HYPERLINK("http://141.218.60.56/~jnz1568/getInfo.php?workbook=18_08.xlsx&amp;sheet=A0&amp;row=2198&amp;col=7&amp;number=0&amp;sourceID=14","0")</f>
        <v>0</v>
      </c>
    </row>
    <row r="2199" spans="1:7">
      <c r="A2199" s="3">
        <v>18</v>
      </c>
      <c r="B2199" s="3">
        <v>8</v>
      </c>
      <c r="C2199" s="3">
        <v>84</v>
      </c>
      <c r="D2199" s="3">
        <v>40</v>
      </c>
      <c r="E2199" s="3">
        <v>530.133</v>
      </c>
      <c r="F2199" s="4" t="str">
        <f>HYPERLINK("http://141.218.60.56/~jnz1568/getInfo.php?workbook=18_08.xlsx&amp;sheet=A0&amp;row=2199&amp;col=6&amp;number=73.56&amp;sourceID=14","73.56")</f>
        <v>73.56</v>
      </c>
      <c r="G2199" s="4" t="str">
        <f>HYPERLINK("http://141.218.60.56/~jnz1568/getInfo.php?workbook=18_08.xlsx&amp;sheet=A0&amp;row=2199&amp;col=7&amp;number=0&amp;sourceID=14","0")</f>
        <v>0</v>
      </c>
    </row>
    <row r="2200" spans="1:7">
      <c r="A2200" s="3">
        <v>18</v>
      </c>
      <c r="B2200" s="3">
        <v>8</v>
      </c>
      <c r="C2200" s="3">
        <v>85</v>
      </c>
      <c r="D2200" s="3">
        <v>40</v>
      </c>
      <c r="E2200" s="3">
        <v>490.528</v>
      </c>
      <c r="F2200" s="4" t="str">
        <f>HYPERLINK("http://141.218.60.56/~jnz1568/getInfo.php?workbook=18_08.xlsx&amp;sheet=A0&amp;row=2200&amp;col=6&amp;number=13.4&amp;sourceID=14","13.4")</f>
        <v>13.4</v>
      </c>
      <c r="G2200" s="4" t="str">
        <f>HYPERLINK("http://141.218.60.56/~jnz1568/getInfo.php?workbook=18_08.xlsx&amp;sheet=A0&amp;row=2200&amp;col=7&amp;number=0&amp;sourceID=14","0")</f>
        <v>0</v>
      </c>
    </row>
    <row r="2201" spans="1:7">
      <c r="A2201" s="3">
        <v>18</v>
      </c>
      <c r="B2201" s="3">
        <v>8</v>
      </c>
      <c r="C2201" s="3">
        <v>86</v>
      </c>
      <c r="D2201" s="3">
        <v>40</v>
      </c>
      <c r="E2201" s="3">
        <v>426.327</v>
      </c>
      <c r="F2201" s="4" t="str">
        <f>HYPERLINK("http://141.218.60.56/~jnz1568/getInfo.php?workbook=18_08.xlsx&amp;sheet=A0&amp;row=2201&amp;col=6&amp;number=2.494&amp;sourceID=14","2.494")</f>
        <v>2.494</v>
      </c>
      <c r="G2201" s="4" t="str">
        <f>HYPERLINK("http://141.218.60.56/~jnz1568/getInfo.php?workbook=18_08.xlsx&amp;sheet=A0&amp;row=2201&amp;col=7&amp;number=0&amp;sourceID=14","0")</f>
        <v>0</v>
      </c>
    </row>
    <row r="2202" spans="1:7">
      <c r="A2202" s="3">
        <v>18</v>
      </c>
      <c r="B2202" s="3">
        <v>8</v>
      </c>
      <c r="C2202" s="3">
        <v>42</v>
      </c>
      <c r="D2202" s="3">
        <v>41</v>
      </c>
      <c r="E2202" s="3">
        <v>-255242.688</v>
      </c>
      <c r="F2202" s="4" t="str">
        <f>HYPERLINK("http://141.218.60.56/~jnz1568/getInfo.php?workbook=18_08.xlsx&amp;sheet=A0&amp;row=2202&amp;col=6&amp;number=0.001606&amp;sourceID=14","0.001606")</f>
        <v>0.001606</v>
      </c>
      <c r="G2202" s="4" t="str">
        <f>HYPERLINK("http://141.218.60.56/~jnz1568/getInfo.php?workbook=18_08.xlsx&amp;sheet=A0&amp;row=2202&amp;col=7&amp;number=0&amp;sourceID=14","0")</f>
        <v>0</v>
      </c>
    </row>
    <row r="2203" spans="1:7">
      <c r="A2203" s="3">
        <v>18</v>
      </c>
      <c r="B2203" s="3">
        <v>8</v>
      </c>
      <c r="C2203" s="3">
        <v>48</v>
      </c>
      <c r="D2203" s="3">
        <v>41</v>
      </c>
      <c r="E2203" s="3">
        <v>-225240.953</v>
      </c>
      <c r="F2203" s="4" t="str">
        <f>HYPERLINK("http://141.218.60.56/~jnz1568/getInfo.php?workbook=18_08.xlsx&amp;sheet=A0&amp;row=2203&amp;col=6&amp;number=7.705e-16&amp;sourceID=14","7.705e-16")</f>
        <v>7.705e-16</v>
      </c>
      <c r="G2203" s="4" t="str">
        <f>HYPERLINK("http://141.218.60.56/~jnz1568/getInfo.php?workbook=18_08.xlsx&amp;sheet=A0&amp;row=2203&amp;col=7&amp;number=0&amp;sourceID=14","0")</f>
        <v>0</v>
      </c>
    </row>
    <row r="2204" spans="1:7">
      <c r="A2204" s="3">
        <v>18</v>
      </c>
      <c r="B2204" s="3">
        <v>8</v>
      </c>
      <c r="C2204" s="3">
        <v>49</v>
      </c>
      <c r="D2204" s="3">
        <v>41</v>
      </c>
      <c r="E2204" s="3">
        <v>-9133.397</v>
      </c>
      <c r="F2204" s="4" t="str">
        <f>HYPERLINK("http://141.218.60.56/~jnz1568/getInfo.php?workbook=18_08.xlsx&amp;sheet=A0&amp;row=2204&amp;col=6&amp;number=9.502&amp;sourceID=14","9.502")</f>
        <v>9.502</v>
      </c>
      <c r="G2204" s="4" t="str">
        <f>HYPERLINK("http://141.218.60.56/~jnz1568/getInfo.php?workbook=18_08.xlsx&amp;sheet=A0&amp;row=2204&amp;col=7&amp;number=0&amp;sourceID=14","0")</f>
        <v>0</v>
      </c>
    </row>
    <row r="2205" spans="1:7">
      <c r="A2205" s="3">
        <v>18</v>
      </c>
      <c r="B2205" s="3">
        <v>8</v>
      </c>
      <c r="C2205" s="3">
        <v>50</v>
      </c>
      <c r="D2205" s="3">
        <v>41</v>
      </c>
      <c r="E2205" s="3">
        <v>-7220.223</v>
      </c>
      <c r="F2205" s="4" t="str">
        <f>HYPERLINK("http://141.218.60.56/~jnz1568/getInfo.php?workbook=18_08.xlsx&amp;sheet=A0&amp;row=2205&amp;col=6&amp;number=1.066e-07&amp;sourceID=14","1.066e-07")</f>
        <v>1.066e-07</v>
      </c>
      <c r="G2205" s="4" t="str">
        <f>HYPERLINK("http://141.218.60.56/~jnz1568/getInfo.php?workbook=18_08.xlsx&amp;sheet=A0&amp;row=2205&amp;col=7&amp;number=0&amp;sourceID=14","0")</f>
        <v>0</v>
      </c>
    </row>
    <row r="2206" spans="1:7">
      <c r="A2206" s="3">
        <v>18</v>
      </c>
      <c r="B2206" s="3">
        <v>8</v>
      </c>
      <c r="C2206" s="3">
        <v>51</v>
      </c>
      <c r="D2206" s="3">
        <v>41</v>
      </c>
      <c r="E2206" s="3">
        <v>-2736.04</v>
      </c>
      <c r="F2206" s="4" t="str">
        <f>HYPERLINK("http://141.218.60.56/~jnz1568/getInfo.php?workbook=18_08.xlsx&amp;sheet=A0&amp;row=2206&amp;col=6&amp;number=0.2287&amp;sourceID=14","0.2287")</f>
        <v>0.2287</v>
      </c>
      <c r="G2206" s="4" t="str">
        <f>HYPERLINK("http://141.218.60.56/~jnz1568/getInfo.php?workbook=18_08.xlsx&amp;sheet=A0&amp;row=2206&amp;col=7&amp;number=0&amp;sourceID=14","0")</f>
        <v>0</v>
      </c>
    </row>
    <row r="2207" spans="1:7">
      <c r="A2207" s="3">
        <v>18</v>
      </c>
      <c r="B2207" s="3">
        <v>8</v>
      </c>
      <c r="C2207" s="3">
        <v>52</v>
      </c>
      <c r="D2207" s="3">
        <v>41</v>
      </c>
      <c r="E2207" s="3">
        <v>-2663.824</v>
      </c>
      <c r="F2207" s="4" t="str">
        <f>HYPERLINK("http://141.218.60.56/~jnz1568/getInfo.php?workbook=18_08.xlsx&amp;sheet=A0&amp;row=2207&amp;col=6&amp;number=5.507e-05&amp;sourceID=14","5.507e-05")</f>
        <v>5.507e-05</v>
      </c>
      <c r="G2207" s="4" t="str">
        <f>HYPERLINK("http://141.218.60.56/~jnz1568/getInfo.php?workbook=18_08.xlsx&amp;sheet=A0&amp;row=2207&amp;col=7&amp;number=0&amp;sourceID=14","0")</f>
        <v>0</v>
      </c>
    </row>
    <row r="2208" spans="1:7">
      <c r="A2208" s="3">
        <v>18</v>
      </c>
      <c r="B2208" s="3">
        <v>8</v>
      </c>
      <c r="C2208" s="3">
        <v>54</v>
      </c>
      <c r="D2208" s="3">
        <v>41</v>
      </c>
      <c r="E2208" s="3">
        <v>-2602.187</v>
      </c>
      <c r="F2208" s="4" t="str">
        <f>HYPERLINK("http://141.218.60.56/~jnz1568/getInfo.php?workbook=18_08.xlsx&amp;sheet=A0&amp;row=2208&amp;col=6&amp;number=2.535&amp;sourceID=14","2.535")</f>
        <v>2.535</v>
      </c>
      <c r="G2208" s="4" t="str">
        <f>HYPERLINK("http://141.218.60.56/~jnz1568/getInfo.php?workbook=18_08.xlsx&amp;sheet=A0&amp;row=2208&amp;col=7&amp;number=0&amp;sourceID=14","0")</f>
        <v>0</v>
      </c>
    </row>
    <row r="2209" spans="1:7">
      <c r="A2209" s="3">
        <v>18</v>
      </c>
      <c r="B2209" s="3">
        <v>8</v>
      </c>
      <c r="C2209" s="3">
        <v>55</v>
      </c>
      <c r="D2209" s="3">
        <v>41</v>
      </c>
      <c r="E2209" s="3">
        <v>-2229.296</v>
      </c>
      <c r="F2209" s="4" t="str">
        <f>HYPERLINK("http://141.218.60.56/~jnz1568/getInfo.php?workbook=18_08.xlsx&amp;sheet=A0&amp;row=2209&amp;col=6&amp;number=5.619&amp;sourceID=14","5.619")</f>
        <v>5.619</v>
      </c>
      <c r="G2209" s="4" t="str">
        <f>HYPERLINK("http://141.218.60.56/~jnz1568/getInfo.php?workbook=18_08.xlsx&amp;sheet=A0&amp;row=2209&amp;col=7&amp;number=0&amp;sourceID=14","0")</f>
        <v>0</v>
      </c>
    </row>
    <row r="2210" spans="1:7">
      <c r="A2210" s="3">
        <v>18</v>
      </c>
      <c r="B2210" s="3">
        <v>8</v>
      </c>
      <c r="C2210" s="3">
        <v>56</v>
      </c>
      <c r="D2210" s="3">
        <v>41</v>
      </c>
      <c r="E2210" s="3">
        <v>-1077.319</v>
      </c>
      <c r="F2210" s="4" t="str">
        <f>HYPERLINK("http://141.218.60.56/~jnz1568/getInfo.php?workbook=18_08.xlsx&amp;sheet=A0&amp;row=2210&amp;col=6&amp;number=0.499&amp;sourceID=14","0.499")</f>
        <v>0.499</v>
      </c>
      <c r="G2210" s="4" t="str">
        <f>HYPERLINK("http://141.218.60.56/~jnz1568/getInfo.php?workbook=18_08.xlsx&amp;sheet=A0&amp;row=2210&amp;col=7&amp;number=0&amp;sourceID=14","0")</f>
        <v>0</v>
      </c>
    </row>
    <row r="2211" spans="1:7">
      <c r="A2211" s="3">
        <v>18</v>
      </c>
      <c r="B2211" s="3">
        <v>8</v>
      </c>
      <c r="C2211" s="3">
        <v>57</v>
      </c>
      <c r="D2211" s="3">
        <v>41</v>
      </c>
      <c r="E2211" s="3">
        <v>-1037.892</v>
      </c>
      <c r="F2211" s="4" t="str">
        <f>HYPERLINK("http://141.218.60.56/~jnz1568/getInfo.php?workbook=18_08.xlsx&amp;sheet=A0&amp;row=2211&amp;col=6&amp;number=63.7&amp;sourceID=14","63.7")</f>
        <v>63.7</v>
      </c>
      <c r="G2211" s="4" t="str">
        <f>HYPERLINK("http://141.218.60.56/~jnz1568/getInfo.php?workbook=18_08.xlsx&amp;sheet=A0&amp;row=2211&amp;col=7&amp;number=0&amp;sourceID=14","0")</f>
        <v>0</v>
      </c>
    </row>
    <row r="2212" spans="1:7">
      <c r="A2212" s="3">
        <v>18</v>
      </c>
      <c r="B2212" s="3">
        <v>8</v>
      </c>
      <c r="C2212" s="3">
        <v>59</v>
      </c>
      <c r="D2212" s="3">
        <v>41</v>
      </c>
      <c r="E2212" s="3">
        <v>-995.212</v>
      </c>
      <c r="F2212" s="4" t="str">
        <f>HYPERLINK("http://141.218.60.56/~jnz1568/getInfo.php?workbook=18_08.xlsx&amp;sheet=A0&amp;row=2212&amp;col=6&amp;number=3.717&amp;sourceID=14","3.717")</f>
        <v>3.717</v>
      </c>
      <c r="G2212" s="4" t="str">
        <f>HYPERLINK("http://141.218.60.56/~jnz1568/getInfo.php?workbook=18_08.xlsx&amp;sheet=A0&amp;row=2212&amp;col=7&amp;number=0&amp;sourceID=14","0")</f>
        <v>0</v>
      </c>
    </row>
    <row r="2213" spans="1:7">
      <c r="A2213" s="3">
        <v>18</v>
      </c>
      <c r="B2213" s="3">
        <v>8</v>
      </c>
      <c r="C2213" s="3">
        <v>60</v>
      </c>
      <c r="D2213" s="3">
        <v>41</v>
      </c>
      <c r="E2213" s="3">
        <v>-930.641</v>
      </c>
      <c r="F2213" s="4" t="str">
        <f>HYPERLINK("http://141.218.60.56/~jnz1568/getInfo.php?workbook=18_08.xlsx&amp;sheet=A0&amp;row=2213&amp;col=6&amp;number=6.573&amp;sourceID=14","6.573")</f>
        <v>6.573</v>
      </c>
      <c r="G2213" s="4" t="str">
        <f>HYPERLINK("http://141.218.60.56/~jnz1568/getInfo.php?workbook=18_08.xlsx&amp;sheet=A0&amp;row=2213&amp;col=7&amp;number=0&amp;sourceID=14","0")</f>
        <v>0</v>
      </c>
    </row>
    <row r="2214" spans="1:7">
      <c r="A2214" s="3">
        <v>18</v>
      </c>
      <c r="B2214" s="3">
        <v>8</v>
      </c>
      <c r="C2214" s="3">
        <v>61</v>
      </c>
      <c r="D2214" s="3">
        <v>41</v>
      </c>
      <c r="E2214" s="3">
        <v>-916.957</v>
      </c>
      <c r="F2214" s="4" t="str">
        <f>HYPERLINK("http://141.218.60.56/~jnz1568/getInfo.php?workbook=18_08.xlsx&amp;sheet=A0&amp;row=2214&amp;col=6&amp;number=4.57&amp;sourceID=14","4.57")</f>
        <v>4.57</v>
      </c>
      <c r="G2214" s="4" t="str">
        <f>HYPERLINK("http://141.218.60.56/~jnz1568/getInfo.php?workbook=18_08.xlsx&amp;sheet=A0&amp;row=2214&amp;col=7&amp;number=0&amp;sourceID=14","0")</f>
        <v>0</v>
      </c>
    </row>
    <row r="2215" spans="1:7">
      <c r="A2215" s="3">
        <v>18</v>
      </c>
      <c r="B2215" s="3">
        <v>8</v>
      </c>
      <c r="C2215" s="3">
        <v>62</v>
      </c>
      <c r="D2215" s="3">
        <v>41</v>
      </c>
      <c r="E2215" s="3">
        <v>-900.349</v>
      </c>
      <c r="F2215" s="4" t="str">
        <f>HYPERLINK("http://141.218.60.56/~jnz1568/getInfo.php?workbook=18_08.xlsx&amp;sheet=A0&amp;row=2215&amp;col=6&amp;number=0.05061&amp;sourceID=14","0.05061")</f>
        <v>0.05061</v>
      </c>
      <c r="G2215" s="4" t="str">
        <f>HYPERLINK("http://141.218.60.56/~jnz1568/getInfo.php?workbook=18_08.xlsx&amp;sheet=A0&amp;row=2215&amp;col=7&amp;number=0&amp;sourceID=14","0")</f>
        <v>0</v>
      </c>
    </row>
    <row r="2216" spans="1:7">
      <c r="A2216" s="3">
        <v>18</v>
      </c>
      <c r="B2216" s="3">
        <v>8</v>
      </c>
      <c r="C2216" s="3">
        <v>63</v>
      </c>
      <c r="D2216" s="3">
        <v>41</v>
      </c>
      <c r="E2216" s="3">
        <v>-875.443</v>
      </c>
      <c r="F2216" s="4" t="str">
        <f>HYPERLINK("http://141.218.60.56/~jnz1568/getInfo.php?workbook=18_08.xlsx&amp;sheet=A0&amp;row=2216&amp;col=6&amp;number=5.6&amp;sourceID=14","5.6")</f>
        <v>5.6</v>
      </c>
      <c r="G2216" s="4" t="str">
        <f>HYPERLINK("http://141.218.60.56/~jnz1568/getInfo.php?workbook=18_08.xlsx&amp;sheet=A0&amp;row=2216&amp;col=7&amp;number=0&amp;sourceID=14","0")</f>
        <v>0</v>
      </c>
    </row>
    <row r="2217" spans="1:7">
      <c r="A2217" s="3">
        <v>18</v>
      </c>
      <c r="B2217" s="3">
        <v>8</v>
      </c>
      <c r="C2217" s="3">
        <v>64</v>
      </c>
      <c r="D2217" s="3">
        <v>41</v>
      </c>
      <c r="E2217" s="3">
        <v>-796.422</v>
      </c>
      <c r="F2217" s="4" t="str">
        <f>HYPERLINK("http://141.218.60.56/~jnz1568/getInfo.php?workbook=18_08.xlsx&amp;sheet=A0&amp;row=2217&amp;col=6&amp;number=0.06788&amp;sourceID=14","0.06788")</f>
        <v>0.06788</v>
      </c>
      <c r="G2217" s="4" t="str">
        <f>HYPERLINK("http://141.218.60.56/~jnz1568/getInfo.php?workbook=18_08.xlsx&amp;sheet=A0&amp;row=2217&amp;col=7&amp;number=0&amp;sourceID=14","0")</f>
        <v>0</v>
      </c>
    </row>
    <row r="2218" spans="1:7">
      <c r="A2218" s="3">
        <v>18</v>
      </c>
      <c r="B2218" s="3">
        <v>8</v>
      </c>
      <c r="C2218" s="3">
        <v>66</v>
      </c>
      <c r="D2218" s="3">
        <v>41</v>
      </c>
      <c r="E2218" s="3">
        <v>-808.203</v>
      </c>
      <c r="F2218" s="4" t="str">
        <f>HYPERLINK("http://141.218.60.56/~jnz1568/getInfo.php?workbook=18_08.xlsx&amp;sheet=A0&amp;row=2218&amp;col=6&amp;number=48.54&amp;sourceID=14","48.54")</f>
        <v>48.54</v>
      </c>
      <c r="G2218" s="4" t="str">
        <f>HYPERLINK("http://141.218.60.56/~jnz1568/getInfo.php?workbook=18_08.xlsx&amp;sheet=A0&amp;row=2218&amp;col=7&amp;number=0&amp;sourceID=14","0")</f>
        <v>0</v>
      </c>
    </row>
    <row r="2219" spans="1:7">
      <c r="A2219" s="3">
        <v>18</v>
      </c>
      <c r="B2219" s="3">
        <v>8</v>
      </c>
      <c r="C2219" s="3">
        <v>67</v>
      </c>
      <c r="D2219" s="3">
        <v>41</v>
      </c>
      <c r="E2219" s="3">
        <v>-860.821</v>
      </c>
      <c r="F2219" s="4" t="str">
        <f>HYPERLINK("http://141.218.60.56/~jnz1568/getInfo.php?workbook=18_08.xlsx&amp;sheet=A0&amp;row=2219&amp;col=6&amp;number=0.03148&amp;sourceID=14","0.03148")</f>
        <v>0.03148</v>
      </c>
      <c r="G2219" s="4" t="str">
        <f>HYPERLINK("http://141.218.60.56/~jnz1568/getInfo.php?workbook=18_08.xlsx&amp;sheet=A0&amp;row=2219&amp;col=7&amp;number=0&amp;sourceID=14","0")</f>
        <v>0</v>
      </c>
    </row>
    <row r="2220" spans="1:7">
      <c r="A2220" s="3">
        <v>18</v>
      </c>
      <c r="B2220" s="3">
        <v>8</v>
      </c>
      <c r="C2220" s="3">
        <v>68</v>
      </c>
      <c r="D2220" s="3">
        <v>41</v>
      </c>
      <c r="E2220" s="3">
        <v>-791.297</v>
      </c>
      <c r="F2220" s="4" t="str">
        <f>HYPERLINK("http://141.218.60.56/~jnz1568/getInfo.php?workbook=18_08.xlsx&amp;sheet=A0&amp;row=2220&amp;col=6&amp;number=0.08193&amp;sourceID=14","0.08193")</f>
        <v>0.08193</v>
      </c>
      <c r="G2220" s="4" t="str">
        <f>HYPERLINK("http://141.218.60.56/~jnz1568/getInfo.php?workbook=18_08.xlsx&amp;sheet=A0&amp;row=2220&amp;col=7&amp;number=0&amp;sourceID=14","0")</f>
        <v>0</v>
      </c>
    </row>
    <row r="2221" spans="1:7">
      <c r="A2221" s="3">
        <v>18</v>
      </c>
      <c r="B2221" s="3">
        <v>8</v>
      </c>
      <c r="C2221" s="3">
        <v>69</v>
      </c>
      <c r="D2221" s="3">
        <v>41</v>
      </c>
      <c r="E2221" s="3">
        <v>-746.272</v>
      </c>
      <c r="F2221" s="4" t="str">
        <f>HYPERLINK("http://141.218.60.56/~jnz1568/getInfo.php?workbook=18_08.xlsx&amp;sheet=A0&amp;row=2221&amp;col=6&amp;number=34.83&amp;sourceID=14","34.83")</f>
        <v>34.83</v>
      </c>
      <c r="G2221" s="4" t="str">
        <f>HYPERLINK("http://141.218.60.56/~jnz1568/getInfo.php?workbook=18_08.xlsx&amp;sheet=A0&amp;row=2221&amp;col=7&amp;number=0&amp;sourceID=14","0")</f>
        <v>0</v>
      </c>
    </row>
    <row r="2222" spans="1:7">
      <c r="A2222" s="3">
        <v>18</v>
      </c>
      <c r="B2222" s="3">
        <v>8</v>
      </c>
      <c r="C2222" s="3">
        <v>71</v>
      </c>
      <c r="D2222" s="3">
        <v>41</v>
      </c>
      <c r="E2222" s="3">
        <v>-720.98</v>
      </c>
      <c r="F2222" s="4" t="str">
        <f>HYPERLINK("http://141.218.60.56/~jnz1568/getInfo.php?workbook=18_08.xlsx&amp;sheet=A0&amp;row=2222&amp;col=6&amp;number=0.2042&amp;sourceID=14","0.2042")</f>
        <v>0.2042</v>
      </c>
      <c r="G2222" s="4" t="str">
        <f>HYPERLINK("http://141.218.60.56/~jnz1568/getInfo.php?workbook=18_08.xlsx&amp;sheet=A0&amp;row=2222&amp;col=7&amp;number=0&amp;sourceID=14","0")</f>
        <v>0</v>
      </c>
    </row>
    <row r="2223" spans="1:7">
      <c r="A2223" s="3">
        <v>18</v>
      </c>
      <c r="B2223" s="3">
        <v>8</v>
      </c>
      <c r="C2223" s="3">
        <v>72</v>
      </c>
      <c r="D2223" s="3">
        <v>41</v>
      </c>
      <c r="E2223" s="3">
        <v>-757.867</v>
      </c>
      <c r="F2223" s="4" t="str">
        <f>HYPERLINK("http://141.218.60.56/~jnz1568/getInfo.php?workbook=18_08.xlsx&amp;sheet=A0&amp;row=2223&amp;col=6&amp;number=95.62&amp;sourceID=14","95.62")</f>
        <v>95.62</v>
      </c>
      <c r="G2223" s="4" t="str">
        <f>HYPERLINK("http://141.218.60.56/~jnz1568/getInfo.php?workbook=18_08.xlsx&amp;sheet=A0&amp;row=2223&amp;col=7&amp;number=0&amp;sourceID=14","0")</f>
        <v>0</v>
      </c>
    </row>
    <row r="2224" spans="1:7">
      <c r="A2224" s="3">
        <v>18</v>
      </c>
      <c r="B2224" s="3">
        <v>8</v>
      </c>
      <c r="C2224" s="3">
        <v>73</v>
      </c>
      <c r="D2224" s="3">
        <v>41</v>
      </c>
      <c r="E2224" s="3">
        <v>-698.032</v>
      </c>
      <c r="F2224" s="4" t="str">
        <f>HYPERLINK("http://141.218.60.56/~jnz1568/getInfo.php?workbook=18_08.xlsx&amp;sheet=A0&amp;row=2224&amp;col=6&amp;number=0.5828&amp;sourceID=14","0.5828")</f>
        <v>0.5828</v>
      </c>
      <c r="G2224" s="4" t="str">
        <f>HYPERLINK("http://141.218.60.56/~jnz1568/getInfo.php?workbook=18_08.xlsx&amp;sheet=A0&amp;row=2224&amp;col=7&amp;number=0&amp;sourceID=14","0")</f>
        <v>0</v>
      </c>
    </row>
    <row r="2225" spans="1:7">
      <c r="A2225" s="3">
        <v>18</v>
      </c>
      <c r="B2225" s="3">
        <v>8</v>
      </c>
      <c r="C2225" s="3">
        <v>74</v>
      </c>
      <c r="D2225" s="3">
        <v>41</v>
      </c>
      <c r="E2225" s="3">
        <v>-634.212</v>
      </c>
      <c r="F2225" s="4" t="str">
        <f>HYPERLINK("http://141.218.60.56/~jnz1568/getInfo.php?workbook=18_08.xlsx&amp;sheet=A0&amp;row=2225&amp;col=6&amp;number=334.7&amp;sourceID=14","334.7")</f>
        <v>334.7</v>
      </c>
      <c r="G2225" s="4" t="str">
        <f>HYPERLINK("http://141.218.60.56/~jnz1568/getInfo.php?workbook=18_08.xlsx&amp;sheet=A0&amp;row=2225&amp;col=7&amp;number=0&amp;sourceID=14","0")</f>
        <v>0</v>
      </c>
    </row>
    <row r="2226" spans="1:7">
      <c r="A2226" s="3">
        <v>18</v>
      </c>
      <c r="B2226" s="3">
        <v>8</v>
      </c>
      <c r="C2226" s="3">
        <v>75</v>
      </c>
      <c r="D2226" s="3">
        <v>41</v>
      </c>
      <c r="E2226" s="3">
        <v>-620.631</v>
      </c>
      <c r="F2226" s="4" t="str">
        <f>HYPERLINK("http://141.218.60.56/~jnz1568/getInfo.php?workbook=18_08.xlsx&amp;sheet=A0&amp;row=2226&amp;col=6&amp;number=28.22&amp;sourceID=14","28.22")</f>
        <v>28.22</v>
      </c>
      <c r="G2226" s="4" t="str">
        <f>HYPERLINK("http://141.218.60.56/~jnz1568/getInfo.php?workbook=18_08.xlsx&amp;sheet=A0&amp;row=2226&amp;col=7&amp;number=0&amp;sourceID=14","0")</f>
        <v>0</v>
      </c>
    </row>
    <row r="2227" spans="1:7">
      <c r="A2227" s="3">
        <v>18</v>
      </c>
      <c r="B2227" s="3">
        <v>8</v>
      </c>
      <c r="C2227" s="3">
        <v>76</v>
      </c>
      <c r="D2227" s="3">
        <v>41</v>
      </c>
      <c r="E2227" s="3">
        <v>-619.667</v>
      </c>
      <c r="F2227" s="4" t="str">
        <f>HYPERLINK("http://141.218.60.56/~jnz1568/getInfo.php?workbook=18_08.xlsx&amp;sheet=A0&amp;row=2227&amp;col=6&amp;number=158&amp;sourceID=14","158")</f>
        <v>158</v>
      </c>
      <c r="G2227" s="4" t="str">
        <f>HYPERLINK("http://141.218.60.56/~jnz1568/getInfo.php?workbook=18_08.xlsx&amp;sheet=A0&amp;row=2227&amp;col=7&amp;number=0&amp;sourceID=14","0")</f>
        <v>0</v>
      </c>
    </row>
    <row r="2228" spans="1:7">
      <c r="A2228" s="3">
        <v>18</v>
      </c>
      <c r="B2228" s="3">
        <v>8</v>
      </c>
      <c r="C2228" s="3">
        <v>77</v>
      </c>
      <c r="D2228" s="3">
        <v>41</v>
      </c>
      <c r="E2228" s="3">
        <v>-611.948</v>
      </c>
      <c r="F2228" s="4" t="str">
        <f>HYPERLINK("http://141.218.60.56/~jnz1568/getInfo.php?workbook=18_08.xlsx&amp;sheet=A0&amp;row=2228&amp;col=6&amp;number=41.69&amp;sourceID=14","41.69")</f>
        <v>41.69</v>
      </c>
      <c r="G2228" s="4" t="str">
        <f>HYPERLINK("http://141.218.60.56/~jnz1568/getInfo.php?workbook=18_08.xlsx&amp;sheet=A0&amp;row=2228&amp;col=7&amp;number=0&amp;sourceID=14","0")</f>
        <v>0</v>
      </c>
    </row>
    <row r="2229" spans="1:7">
      <c r="A2229" s="3">
        <v>18</v>
      </c>
      <c r="B2229" s="3">
        <v>8</v>
      </c>
      <c r="C2229" s="3">
        <v>79</v>
      </c>
      <c r="D2229" s="3">
        <v>41</v>
      </c>
      <c r="E2229" s="3">
        <v>-606.298</v>
      </c>
      <c r="F2229" s="4" t="str">
        <f>HYPERLINK("http://141.218.60.56/~jnz1568/getInfo.php?workbook=18_08.xlsx&amp;sheet=A0&amp;row=2229&amp;col=6&amp;number=0.1402&amp;sourceID=14","0.1402")</f>
        <v>0.1402</v>
      </c>
      <c r="G2229" s="4" t="str">
        <f>HYPERLINK("http://141.218.60.56/~jnz1568/getInfo.php?workbook=18_08.xlsx&amp;sheet=A0&amp;row=2229&amp;col=7&amp;number=0&amp;sourceID=14","0")</f>
        <v>0</v>
      </c>
    </row>
    <row r="2230" spans="1:7">
      <c r="A2230" s="3">
        <v>18</v>
      </c>
      <c r="B2230" s="3">
        <v>8</v>
      </c>
      <c r="C2230" s="3">
        <v>80</v>
      </c>
      <c r="D2230" s="3">
        <v>41</v>
      </c>
      <c r="E2230" s="3">
        <v>-599.259</v>
      </c>
      <c r="F2230" s="4" t="str">
        <f>HYPERLINK("http://141.218.60.56/~jnz1568/getInfo.php?workbook=18_08.xlsx&amp;sheet=A0&amp;row=2230&amp;col=6&amp;number=452.5&amp;sourceID=14","452.5")</f>
        <v>452.5</v>
      </c>
      <c r="G2230" s="4" t="str">
        <f>HYPERLINK("http://141.218.60.56/~jnz1568/getInfo.php?workbook=18_08.xlsx&amp;sheet=A0&amp;row=2230&amp;col=7&amp;number=0&amp;sourceID=14","0")</f>
        <v>0</v>
      </c>
    </row>
    <row r="2231" spans="1:7">
      <c r="A2231" s="3">
        <v>18</v>
      </c>
      <c r="B2231" s="3">
        <v>8</v>
      </c>
      <c r="C2231" s="3">
        <v>81</v>
      </c>
      <c r="D2231" s="3">
        <v>41</v>
      </c>
      <c r="E2231" s="3">
        <v>-564.327</v>
      </c>
      <c r="F2231" s="4" t="str">
        <f>HYPERLINK("http://141.218.60.56/~jnz1568/getInfo.php?workbook=18_08.xlsx&amp;sheet=A0&amp;row=2231&amp;col=6&amp;number=115.1&amp;sourceID=14","115.1")</f>
        <v>115.1</v>
      </c>
      <c r="G2231" s="4" t="str">
        <f>HYPERLINK("http://141.218.60.56/~jnz1568/getInfo.php?workbook=18_08.xlsx&amp;sheet=A0&amp;row=2231&amp;col=7&amp;number=0&amp;sourceID=14","0")</f>
        <v>0</v>
      </c>
    </row>
    <row r="2232" spans="1:7">
      <c r="A2232" s="3">
        <v>18</v>
      </c>
      <c r="B2232" s="3">
        <v>8</v>
      </c>
      <c r="C2232" s="3">
        <v>82</v>
      </c>
      <c r="D2232" s="3">
        <v>41</v>
      </c>
      <c r="E2232" s="3">
        <v>-554.101</v>
      </c>
      <c r="F2232" s="4" t="str">
        <f>HYPERLINK("http://141.218.60.56/~jnz1568/getInfo.php?workbook=18_08.xlsx&amp;sheet=A0&amp;row=2232&amp;col=6&amp;number=243.3&amp;sourceID=14","243.3")</f>
        <v>243.3</v>
      </c>
      <c r="G2232" s="4" t="str">
        <f>HYPERLINK("http://141.218.60.56/~jnz1568/getInfo.php?workbook=18_08.xlsx&amp;sheet=A0&amp;row=2232&amp;col=7&amp;number=0&amp;sourceID=14","0")</f>
        <v>0</v>
      </c>
    </row>
    <row r="2233" spans="1:7">
      <c r="A2233" s="3">
        <v>18</v>
      </c>
      <c r="B2233" s="3">
        <v>8</v>
      </c>
      <c r="C2233" s="3">
        <v>83</v>
      </c>
      <c r="D2233" s="3">
        <v>41</v>
      </c>
      <c r="E2233" s="3">
        <v>-553.446</v>
      </c>
      <c r="F2233" s="4" t="str">
        <f>HYPERLINK("http://141.218.60.56/~jnz1568/getInfo.php?workbook=18_08.xlsx&amp;sheet=A0&amp;row=2233&amp;col=6&amp;number=0.02298&amp;sourceID=14","0.02298")</f>
        <v>0.02298</v>
      </c>
      <c r="G2233" s="4" t="str">
        <f>HYPERLINK("http://141.218.60.56/~jnz1568/getInfo.php?workbook=18_08.xlsx&amp;sheet=A0&amp;row=2233&amp;col=7&amp;number=0&amp;sourceID=14","0")</f>
        <v>0</v>
      </c>
    </row>
    <row r="2234" spans="1:7">
      <c r="A2234" s="3">
        <v>18</v>
      </c>
      <c r="B2234" s="3">
        <v>8</v>
      </c>
      <c r="C2234" s="3">
        <v>84</v>
      </c>
      <c r="D2234" s="3">
        <v>41</v>
      </c>
      <c r="E2234" s="3">
        <v>-516.972</v>
      </c>
      <c r="F2234" s="4" t="str">
        <f>HYPERLINK("http://141.218.60.56/~jnz1568/getInfo.php?workbook=18_08.xlsx&amp;sheet=A0&amp;row=2234&amp;col=6&amp;number=36.91&amp;sourceID=14","36.91")</f>
        <v>36.91</v>
      </c>
      <c r="G2234" s="4" t="str">
        <f>HYPERLINK("http://141.218.60.56/~jnz1568/getInfo.php?workbook=18_08.xlsx&amp;sheet=A0&amp;row=2234&amp;col=7&amp;number=0&amp;sourceID=14","0")</f>
        <v>0</v>
      </c>
    </row>
    <row r="2235" spans="1:7">
      <c r="A2235" s="3">
        <v>18</v>
      </c>
      <c r="B2235" s="3">
        <v>8</v>
      </c>
      <c r="C2235" s="3">
        <v>85</v>
      </c>
      <c r="D2235" s="3">
        <v>41</v>
      </c>
      <c r="E2235" s="3">
        <v>-507.39</v>
      </c>
      <c r="F2235" s="4" t="str">
        <f>HYPERLINK("http://141.218.60.56/~jnz1568/getInfo.php?workbook=18_08.xlsx&amp;sheet=A0&amp;row=2235&amp;col=6&amp;number=22.74&amp;sourceID=14","22.74")</f>
        <v>22.74</v>
      </c>
      <c r="G2235" s="4" t="str">
        <f>HYPERLINK("http://141.218.60.56/~jnz1568/getInfo.php?workbook=18_08.xlsx&amp;sheet=A0&amp;row=2235&amp;col=7&amp;number=0&amp;sourceID=14","0")</f>
        <v>0</v>
      </c>
    </row>
    <row r="2236" spans="1:7">
      <c r="A2236" s="3">
        <v>18</v>
      </c>
      <c r="B2236" s="3">
        <v>8</v>
      </c>
      <c r="C2236" s="3">
        <v>86</v>
      </c>
      <c r="D2236" s="3">
        <v>41</v>
      </c>
      <c r="E2236" s="3">
        <v>-438.462</v>
      </c>
      <c r="F2236" s="4" t="str">
        <f>HYPERLINK("http://141.218.60.56/~jnz1568/getInfo.php?workbook=18_08.xlsx&amp;sheet=A0&amp;row=2236&amp;col=6&amp;number=2.922e-05&amp;sourceID=14","2.922e-05")</f>
        <v>2.922e-05</v>
      </c>
      <c r="G2236" s="4" t="str">
        <f>HYPERLINK("http://141.218.60.56/~jnz1568/getInfo.php?workbook=18_08.xlsx&amp;sheet=A0&amp;row=2236&amp;col=7&amp;number=0&amp;sourceID=14","0")</f>
        <v>0</v>
      </c>
    </row>
    <row r="2237" spans="1:7">
      <c r="A2237" s="3">
        <v>18</v>
      </c>
      <c r="B2237" s="3">
        <v>8</v>
      </c>
      <c r="C2237" s="3">
        <v>49</v>
      </c>
      <c r="D2237" s="3">
        <v>42</v>
      </c>
      <c r="E2237" s="3">
        <v>-9472.349</v>
      </c>
      <c r="F2237" s="4" t="str">
        <f>HYPERLINK("http://141.218.60.56/~jnz1568/getInfo.php?workbook=18_08.xlsx&amp;sheet=A0&amp;row=2237&amp;col=6&amp;number=6.652e-09&amp;sourceID=14","6.652e-09")</f>
        <v>6.652e-09</v>
      </c>
      <c r="G2237" s="4" t="str">
        <f>HYPERLINK("http://141.218.60.56/~jnz1568/getInfo.php?workbook=18_08.xlsx&amp;sheet=A0&amp;row=2237&amp;col=7&amp;number=0&amp;sourceID=14","0")</f>
        <v>0</v>
      </c>
    </row>
    <row r="2238" spans="1:7">
      <c r="A2238" s="3">
        <v>18</v>
      </c>
      <c r="B2238" s="3">
        <v>8</v>
      </c>
      <c r="C2238" s="3">
        <v>51</v>
      </c>
      <c r="D2238" s="3">
        <v>42</v>
      </c>
      <c r="E2238" s="3">
        <v>-2765.686</v>
      </c>
      <c r="F2238" s="4" t="str">
        <f>HYPERLINK("http://141.218.60.56/~jnz1568/getInfo.php?workbook=18_08.xlsx&amp;sheet=A0&amp;row=2238&amp;col=6&amp;number=0.0006486&amp;sourceID=14","0.0006486")</f>
        <v>0.0006486</v>
      </c>
      <c r="G2238" s="4" t="str">
        <f>HYPERLINK("http://141.218.60.56/~jnz1568/getInfo.php?workbook=18_08.xlsx&amp;sheet=A0&amp;row=2238&amp;col=7&amp;number=0&amp;sourceID=14","0")</f>
        <v>0</v>
      </c>
    </row>
    <row r="2239" spans="1:7">
      <c r="A2239" s="3">
        <v>18</v>
      </c>
      <c r="B2239" s="3">
        <v>8</v>
      </c>
      <c r="C2239" s="3">
        <v>54</v>
      </c>
      <c r="D2239" s="3">
        <v>42</v>
      </c>
      <c r="E2239" s="3">
        <v>-2628.99</v>
      </c>
      <c r="F2239" s="4" t="str">
        <f>HYPERLINK("http://141.218.60.56/~jnz1568/getInfo.php?workbook=18_08.xlsx&amp;sheet=A0&amp;row=2239&amp;col=6&amp;number=6.562&amp;sourceID=14","6.562")</f>
        <v>6.562</v>
      </c>
      <c r="G2239" s="4" t="str">
        <f>HYPERLINK("http://141.218.60.56/~jnz1568/getInfo.php?workbook=18_08.xlsx&amp;sheet=A0&amp;row=2239&amp;col=7&amp;number=0&amp;sourceID=14","0")</f>
        <v>0</v>
      </c>
    </row>
    <row r="2240" spans="1:7">
      <c r="A2240" s="3">
        <v>18</v>
      </c>
      <c r="B2240" s="3">
        <v>8</v>
      </c>
      <c r="C2240" s="3">
        <v>55</v>
      </c>
      <c r="D2240" s="3">
        <v>42</v>
      </c>
      <c r="E2240" s="3">
        <v>-2248.938</v>
      </c>
      <c r="F2240" s="4" t="str">
        <f>HYPERLINK("http://141.218.60.56/~jnz1568/getInfo.php?workbook=18_08.xlsx&amp;sheet=A0&amp;row=2240&amp;col=6&amp;number=5.363e-07&amp;sourceID=14","5.363e-07")</f>
        <v>5.363e-07</v>
      </c>
      <c r="G2240" s="4" t="str">
        <f>HYPERLINK("http://141.218.60.56/~jnz1568/getInfo.php?workbook=18_08.xlsx&amp;sheet=A0&amp;row=2240&amp;col=7&amp;number=0&amp;sourceID=14","0")</f>
        <v>0</v>
      </c>
    </row>
    <row r="2241" spans="1:7">
      <c r="A2241" s="3">
        <v>18</v>
      </c>
      <c r="B2241" s="3">
        <v>8</v>
      </c>
      <c r="C2241" s="3">
        <v>56</v>
      </c>
      <c r="D2241" s="3">
        <v>42</v>
      </c>
      <c r="E2241" s="3">
        <v>-1081.885</v>
      </c>
      <c r="F2241" s="4" t="str">
        <f>HYPERLINK("http://141.218.60.56/~jnz1568/getInfo.php?workbook=18_08.xlsx&amp;sheet=A0&amp;row=2241&amp;col=6&amp;number=0.0008365&amp;sourceID=14","0.0008365")</f>
        <v>0.0008365</v>
      </c>
      <c r="G2241" s="4" t="str">
        <f>HYPERLINK("http://141.218.60.56/~jnz1568/getInfo.php?workbook=18_08.xlsx&amp;sheet=A0&amp;row=2241&amp;col=7&amp;number=0&amp;sourceID=14","0")</f>
        <v>0</v>
      </c>
    </row>
    <row r="2242" spans="1:7">
      <c r="A2242" s="3">
        <v>18</v>
      </c>
      <c r="B2242" s="3">
        <v>8</v>
      </c>
      <c r="C2242" s="3">
        <v>57</v>
      </c>
      <c r="D2242" s="3">
        <v>42</v>
      </c>
      <c r="E2242" s="3">
        <v>-1042.13</v>
      </c>
      <c r="F2242" s="4" t="str">
        <f>HYPERLINK("http://141.218.60.56/~jnz1568/getInfo.php?workbook=18_08.xlsx&amp;sheet=A0&amp;row=2242&amp;col=6&amp;number=0.08975&amp;sourceID=14","0.08975")</f>
        <v>0.08975</v>
      </c>
      <c r="G2242" s="4" t="str">
        <f>HYPERLINK("http://141.218.60.56/~jnz1568/getInfo.php?workbook=18_08.xlsx&amp;sheet=A0&amp;row=2242&amp;col=7&amp;number=0&amp;sourceID=14","0")</f>
        <v>0</v>
      </c>
    </row>
    <row r="2243" spans="1:7">
      <c r="A2243" s="3">
        <v>18</v>
      </c>
      <c r="B2243" s="3">
        <v>8</v>
      </c>
      <c r="C2243" s="3">
        <v>59</v>
      </c>
      <c r="D2243" s="3">
        <v>42</v>
      </c>
      <c r="E2243" s="3">
        <v>-999.107</v>
      </c>
      <c r="F2243" s="4" t="str">
        <f>HYPERLINK("http://141.218.60.56/~jnz1568/getInfo.php?workbook=18_08.xlsx&amp;sheet=A0&amp;row=2243&amp;col=6&amp;number=60.61&amp;sourceID=14","60.61")</f>
        <v>60.61</v>
      </c>
      <c r="G2243" s="4" t="str">
        <f>HYPERLINK("http://141.218.60.56/~jnz1568/getInfo.php?workbook=18_08.xlsx&amp;sheet=A0&amp;row=2243&amp;col=7&amp;number=0&amp;sourceID=14","0")</f>
        <v>0</v>
      </c>
    </row>
    <row r="2244" spans="1:7">
      <c r="A2244" s="3">
        <v>18</v>
      </c>
      <c r="B2244" s="3">
        <v>8</v>
      </c>
      <c r="C2244" s="3">
        <v>60</v>
      </c>
      <c r="D2244" s="3">
        <v>42</v>
      </c>
      <c r="E2244" s="3">
        <v>-934.046</v>
      </c>
      <c r="F2244" s="4" t="str">
        <f>HYPERLINK("http://141.218.60.56/~jnz1568/getInfo.php?workbook=18_08.xlsx&amp;sheet=A0&amp;row=2244&amp;col=6&amp;number=4.443&amp;sourceID=14","4.443")</f>
        <v>4.443</v>
      </c>
      <c r="G2244" s="4" t="str">
        <f>HYPERLINK("http://141.218.60.56/~jnz1568/getInfo.php?workbook=18_08.xlsx&amp;sheet=A0&amp;row=2244&amp;col=7&amp;number=0&amp;sourceID=14","0")</f>
        <v>0</v>
      </c>
    </row>
    <row r="2245" spans="1:7">
      <c r="A2245" s="3">
        <v>18</v>
      </c>
      <c r="B2245" s="3">
        <v>8</v>
      </c>
      <c r="C2245" s="3">
        <v>61</v>
      </c>
      <c r="D2245" s="3">
        <v>42</v>
      </c>
      <c r="E2245" s="3">
        <v>-920.263</v>
      </c>
      <c r="F2245" s="4" t="str">
        <f>HYPERLINK("http://141.218.60.56/~jnz1568/getInfo.php?workbook=18_08.xlsx&amp;sheet=A0&amp;row=2245&amp;col=6&amp;number=26.55&amp;sourceID=14","26.55")</f>
        <v>26.55</v>
      </c>
      <c r="G2245" s="4" t="str">
        <f>HYPERLINK("http://141.218.60.56/~jnz1568/getInfo.php?workbook=18_08.xlsx&amp;sheet=A0&amp;row=2245&amp;col=7&amp;number=0&amp;sourceID=14","0")</f>
        <v>0</v>
      </c>
    </row>
    <row r="2246" spans="1:7">
      <c r="A2246" s="3">
        <v>18</v>
      </c>
      <c r="B2246" s="3">
        <v>8</v>
      </c>
      <c r="C2246" s="3">
        <v>62</v>
      </c>
      <c r="D2246" s="3">
        <v>42</v>
      </c>
      <c r="E2246" s="3">
        <v>-903.536</v>
      </c>
      <c r="F2246" s="4" t="str">
        <f>HYPERLINK("http://141.218.60.56/~jnz1568/getInfo.php?workbook=18_08.xlsx&amp;sheet=A0&amp;row=2246&amp;col=6&amp;number=2.257&amp;sourceID=14","2.257")</f>
        <v>2.257</v>
      </c>
      <c r="G2246" s="4" t="str">
        <f>HYPERLINK("http://141.218.60.56/~jnz1568/getInfo.php?workbook=18_08.xlsx&amp;sheet=A0&amp;row=2246&amp;col=7&amp;number=0&amp;sourceID=14","0")</f>
        <v>0</v>
      </c>
    </row>
    <row r="2247" spans="1:7">
      <c r="A2247" s="3">
        <v>18</v>
      </c>
      <c r="B2247" s="3">
        <v>8</v>
      </c>
      <c r="C2247" s="3">
        <v>63</v>
      </c>
      <c r="D2247" s="3">
        <v>42</v>
      </c>
      <c r="E2247" s="3">
        <v>-878.456</v>
      </c>
      <c r="F2247" s="4" t="str">
        <f>HYPERLINK("http://141.218.60.56/~jnz1568/getInfo.php?workbook=18_08.xlsx&amp;sheet=A0&amp;row=2247&amp;col=6&amp;number=20.65&amp;sourceID=14","20.65")</f>
        <v>20.65</v>
      </c>
      <c r="G2247" s="4" t="str">
        <f>HYPERLINK("http://141.218.60.56/~jnz1568/getInfo.php?workbook=18_08.xlsx&amp;sheet=A0&amp;row=2247&amp;col=7&amp;number=0&amp;sourceID=14","0")</f>
        <v>0</v>
      </c>
    </row>
    <row r="2248" spans="1:7">
      <c r="A2248" s="3">
        <v>18</v>
      </c>
      <c r="B2248" s="3">
        <v>8</v>
      </c>
      <c r="C2248" s="3">
        <v>66</v>
      </c>
      <c r="D2248" s="3">
        <v>42</v>
      </c>
      <c r="E2248" s="3">
        <v>-810.77</v>
      </c>
      <c r="F2248" s="4" t="str">
        <f>HYPERLINK("http://141.218.60.56/~jnz1568/getInfo.php?workbook=18_08.xlsx&amp;sheet=A0&amp;row=2248&amp;col=6&amp;number=0.1003&amp;sourceID=14","0.1003")</f>
        <v>0.1003</v>
      </c>
      <c r="G2248" s="4" t="str">
        <f>HYPERLINK("http://141.218.60.56/~jnz1568/getInfo.php?workbook=18_08.xlsx&amp;sheet=A0&amp;row=2248&amp;col=7&amp;number=0&amp;sourceID=14","0")</f>
        <v>0</v>
      </c>
    </row>
    <row r="2249" spans="1:7">
      <c r="A2249" s="3">
        <v>18</v>
      </c>
      <c r="B2249" s="3">
        <v>8</v>
      </c>
      <c r="C2249" s="3">
        <v>68</v>
      </c>
      <c r="D2249" s="3">
        <v>42</v>
      </c>
      <c r="E2249" s="3">
        <v>-793.758</v>
      </c>
      <c r="F2249" s="4" t="str">
        <f>HYPERLINK("http://141.218.60.56/~jnz1568/getInfo.php?workbook=18_08.xlsx&amp;sheet=A0&amp;row=2249&amp;col=6&amp;number=0.2952&amp;sourceID=14","0.2952")</f>
        <v>0.2952</v>
      </c>
      <c r="G2249" s="4" t="str">
        <f>HYPERLINK("http://141.218.60.56/~jnz1568/getInfo.php?workbook=18_08.xlsx&amp;sheet=A0&amp;row=2249&amp;col=7&amp;number=0&amp;sourceID=14","0")</f>
        <v>0</v>
      </c>
    </row>
    <row r="2250" spans="1:7">
      <c r="A2250" s="3">
        <v>18</v>
      </c>
      <c r="B2250" s="3">
        <v>8</v>
      </c>
      <c r="C2250" s="3">
        <v>69</v>
      </c>
      <c r="D2250" s="3">
        <v>42</v>
      </c>
      <c r="E2250" s="3">
        <v>-748.46</v>
      </c>
      <c r="F2250" s="4" t="str">
        <f>HYPERLINK("http://141.218.60.56/~jnz1568/getInfo.php?workbook=18_08.xlsx&amp;sheet=A0&amp;row=2250&amp;col=6&amp;number=0.008608&amp;sourceID=14","0.008608")</f>
        <v>0.008608</v>
      </c>
      <c r="G2250" s="4" t="str">
        <f>HYPERLINK("http://141.218.60.56/~jnz1568/getInfo.php?workbook=18_08.xlsx&amp;sheet=A0&amp;row=2250&amp;col=7&amp;number=0&amp;sourceID=14","0")</f>
        <v>0</v>
      </c>
    </row>
    <row r="2251" spans="1:7">
      <c r="A2251" s="3">
        <v>18</v>
      </c>
      <c r="B2251" s="3">
        <v>8</v>
      </c>
      <c r="C2251" s="3">
        <v>72</v>
      </c>
      <c r="D2251" s="3">
        <v>42</v>
      </c>
      <c r="E2251" s="3">
        <v>-760.124</v>
      </c>
      <c r="F2251" s="4" t="str">
        <f>HYPERLINK("http://141.218.60.56/~jnz1568/getInfo.php?workbook=18_08.xlsx&amp;sheet=A0&amp;row=2251&amp;col=6&amp;number=0.01293&amp;sourceID=14","0.01293")</f>
        <v>0.01293</v>
      </c>
      <c r="G2251" s="4" t="str">
        <f>HYPERLINK("http://141.218.60.56/~jnz1568/getInfo.php?workbook=18_08.xlsx&amp;sheet=A0&amp;row=2251&amp;col=7&amp;number=0&amp;sourceID=14","0")</f>
        <v>0</v>
      </c>
    </row>
    <row r="2252" spans="1:7">
      <c r="A2252" s="3">
        <v>18</v>
      </c>
      <c r="B2252" s="3">
        <v>8</v>
      </c>
      <c r="C2252" s="3">
        <v>74</v>
      </c>
      <c r="D2252" s="3">
        <v>42</v>
      </c>
      <c r="E2252" s="3">
        <v>-635.792</v>
      </c>
      <c r="F2252" s="4" t="str">
        <f>HYPERLINK("http://141.218.60.56/~jnz1568/getInfo.php?workbook=18_08.xlsx&amp;sheet=A0&amp;row=2252&amp;col=6&amp;number=14.7&amp;sourceID=14","14.7")</f>
        <v>14.7</v>
      </c>
      <c r="G2252" s="4" t="str">
        <f>HYPERLINK("http://141.218.60.56/~jnz1568/getInfo.php?workbook=18_08.xlsx&amp;sheet=A0&amp;row=2252&amp;col=7&amp;number=0&amp;sourceID=14","0")</f>
        <v>0</v>
      </c>
    </row>
    <row r="2253" spans="1:7">
      <c r="A2253" s="3">
        <v>18</v>
      </c>
      <c r="B2253" s="3">
        <v>8</v>
      </c>
      <c r="C2253" s="3">
        <v>75</v>
      </c>
      <c r="D2253" s="3">
        <v>42</v>
      </c>
      <c r="E2253" s="3">
        <v>-622.144</v>
      </c>
      <c r="F2253" s="4" t="str">
        <f>HYPERLINK("http://141.218.60.56/~jnz1568/getInfo.php?workbook=18_08.xlsx&amp;sheet=A0&amp;row=2253&amp;col=6&amp;number=0.0004552&amp;sourceID=14","0.0004552")</f>
        <v>0.0004552</v>
      </c>
      <c r="G2253" s="4" t="str">
        <f>HYPERLINK("http://141.218.60.56/~jnz1568/getInfo.php?workbook=18_08.xlsx&amp;sheet=A0&amp;row=2253&amp;col=7&amp;number=0&amp;sourceID=14","0")</f>
        <v>0</v>
      </c>
    </row>
    <row r="2254" spans="1:7">
      <c r="A2254" s="3">
        <v>18</v>
      </c>
      <c r="B2254" s="3">
        <v>8</v>
      </c>
      <c r="C2254" s="3">
        <v>76</v>
      </c>
      <c r="D2254" s="3">
        <v>42</v>
      </c>
      <c r="E2254" s="3">
        <v>-621.175</v>
      </c>
      <c r="F2254" s="4" t="str">
        <f>HYPERLINK("http://141.218.60.56/~jnz1568/getInfo.php?workbook=18_08.xlsx&amp;sheet=A0&amp;row=2254&amp;col=6&amp;number=810.9&amp;sourceID=14","810.9")</f>
        <v>810.9</v>
      </c>
      <c r="G2254" s="4" t="str">
        <f>HYPERLINK("http://141.218.60.56/~jnz1568/getInfo.php?workbook=18_08.xlsx&amp;sheet=A0&amp;row=2254&amp;col=7&amp;number=0&amp;sourceID=14","0")</f>
        <v>0</v>
      </c>
    </row>
    <row r="2255" spans="1:7">
      <c r="A2255" s="3">
        <v>18</v>
      </c>
      <c r="B2255" s="3">
        <v>8</v>
      </c>
      <c r="C2255" s="3">
        <v>77</v>
      </c>
      <c r="D2255" s="3">
        <v>42</v>
      </c>
      <c r="E2255" s="3">
        <v>-613.418</v>
      </c>
      <c r="F2255" s="4" t="str">
        <f>HYPERLINK("http://141.218.60.56/~jnz1568/getInfo.php?workbook=18_08.xlsx&amp;sheet=A0&amp;row=2255&amp;col=6&amp;number=349.9&amp;sourceID=14","349.9")</f>
        <v>349.9</v>
      </c>
      <c r="G2255" s="4" t="str">
        <f>HYPERLINK("http://141.218.60.56/~jnz1568/getInfo.php?workbook=18_08.xlsx&amp;sheet=A0&amp;row=2255&amp;col=7&amp;number=0&amp;sourceID=14","0")</f>
        <v>0</v>
      </c>
    </row>
    <row r="2256" spans="1:7">
      <c r="A2256" s="3">
        <v>18</v>
      </c>
      <c r="B2256" s="3">
        <v>8</v>
      </c>
      <c r="C2256" s="3">
        <v>80</v>
      </c>
      <c r="D2256" s="3">
        <v>42</v>
      </c>
      <c r="E2256" s="3">
        <v>-600.669</v>
      </c>
      <c r="F2256" s="4" t="str">
        <f>HYPERLINK("http://141.218.60.56/~jnz1568/getInfo.php?workbook=18_08.xlsx&amp;sheet=A0&amp;row=2256&amp;col=6&amp;number=0.005576&amp;sourceID=14","0.005576")</f>
        <v>0.005576</v>
      </c>
      <c r="G2256" s="4" t="str">
        <f>HYPERLINK("http://141.218.60.56/~jnz1568/getInfo.php?workbook=18_08.xlsx&amp;sheet=A0&amp;row=2256&amp;col=7&amp;number=0&amp;sourceID=14","0")</f>
        <v>0</v>
      </c>
    </row>
    <row r="2257" spans="1:7">
      <c r="A2257" s="3">
        <v>18</v>
      </c>
      <c r="B2257" s="3">
        <v>8</v>
      </c>
      <c r="C2257" s="3">
        <v>81</v>
      </c>
      <c r="D2257" s="3">
        <v>42</v>
      </c>
      <c r="E2257" s="3">
        <v>-565.577</v>
      </c>
      <c r="F2257" s="4" t="str">
        <f>HYPERLINK("http://141.218.60.56/~jnz1568/getInfo.php?workbook=18_08.xlsx&amp;sheet=A0&amp;row=2257&amp;col=6&amp;number=0.09389&amp;sourceID=14","0.09389")</f>
        <v>0.09389</v>
      </c>
      <c r="G2257" s="4" t="str">
        <f>HYPERLINK("http://141.218.60.56/~jnz1568/getInfo.php?workbook=18_08.xlsx&amp;sheet=A0&amp;row=2257&amp;col=7&amp;number=0&amp;sourceID=14","0")</f>
        <v>0</v>
      </c>
    </row>
    <row r="2258" spans="1:7">
      <c r="A2258" s="3">
        <v>18</v>
      </c>
      <c r="B2258" s="3">
        <v>8</v>
      </c>
      <c r="C2258" s="3">
        <v>82</v>
      </c>
      <c r="D2258" s="3">
        <v>42</v>
      </c>
      <c r="E2258" s="3">
        <v>-555.306</v>
      </c>
      <c r="F2258" s="4" t="str">
        <f>HYPERLINK("http://141.218.60.56/~jnz1568/getInfo.php?workbook=18_08.xlsx&amp;sheet=A0&amp;row=2258&amp;col=6&amp;number=410.3&amp;sourceID=14","410.3")</f>
        <v>410.3</v>
      </c>
      <c r="G2258" s="4" t="str">
        <f>HYPERLINK("http://141.218.60.56/~jnz1568/getInfo.php?workbook=18_08.xlsx&amp;sheet=A0&amp;row=2258&amp;col=7&amp;number=0&amp;sourceID=14","0")</f>
        <v>0</v>
      </c>
    </row>
    <row r="2259" spans="1:7">
      <c r="A2259" s="3">
        <v>18</v>
      </c>
      <c r="B2259" s="3">
        <v>8</v>
      </c>
      <c r="C2259" s="3">
        <v>84</v>
      </c>
      <c r="D2259" s="3">
        <v>42</v>
      </c>
      <c r="E2259" s="3">
        <v>-518.021</v>
      </c>
      <c r="F2259" s="4" t="str">
        <f>HYPERLINK("http://141.218.60.56/~jnz1568/getInfo.php?workbook=18_08.xlsx&amp;sheet=A0&amp;row=2259&amp;col=6&amp;number=0.003766&amp;sourceID=14","0.003766")</f>
        <v>0.003766</v>
      </c>
      <c r="G2259" s="4" t="str">
        <f>HYPERLINK("http://141.218.60.56/~jnz1568/getInfo.php?workbook=18_08.xlsx&amp;sheet=A0&amp;row=2259&amp;col=7&amp;number=0&amp;sourceID=14","0")</f>
        <v>0</v>
      </c>
    </row>
    <row r="2260" spans="1:7">
      <c r="A2260" s="3">
        <v>18</v>
      </c>
      <c r="B2260" s="3">
        <v>8</v>
      </c>
      <c r="C2260" s="3">
        <v>85</v>
      </c>
      <c r="D2260" s="3">
        <v>42</v>
      </c>
      <c r="E2260" s="3">
        <v>-508.401</v>
      </c>
      <c r="F2260" s="4" t="str">
        <f>HYPERLINK("http://141.218.60.56/~jnz1568/getInfo.php?workbook=18_08.xlsx&amp;sheet=A0&amp;row=2260&amp;col=6&amp;number=18.63&amp;sourceID=14","18.63")</f>
        <v>18.63</v>
      </c>
      <c r="G2260" s="4" t="str">
        <f>HYPERLINK("http://141.218.60.56/~jnz1568/getInfo.php?workbook=18_08.xlsx&amp;sheet=A0&amp;row=2260&amp;col=7&amp;number=0&amp;sourceID=14","0")</f>
        <v>0</v>
      </c>
    </row>
    <row r="2261" spans="1:7">
      <c r="A2261" s="3">
        <v>18</v>
      </c>
      <c r="B2261" s="3">
        <v>8</v>
      </c>
      <c r="C2261" s="3">
        <v>46</v>
      </c>
      <c r="D2261" s="3">
        <v>43</v>
      </c>
      <c r="E2261" s="3">
        <v>-11232.442</v>
      </c>
      <c r="F2261" s="4" t="str">
        <f>HYPERLINK("http://141.218.60.56/~jnz1568/getInfo.php?workbook=18_08.xlsx&amp;sheet=A0&amp;row=2261&amp;col=6&amp;number=0.02492&amp;sourceID=14","0.02492")</f>
        <v>0.02492</v>
      </c>
      <c r="G2261" s="4" t="str">
        <f>HYPERLINK("http://141.218.60.56/~jnz1568/getInfo.php?workbook=18_08.xlsx&amp;sheet=A0&amp;row=2261&amp;col=7&amp;number=0&amp;sourceID=14","0")</f>
        <v>0</v>
      </c>
    </row>
    <row r="2262" spans="1:7">
      <c r="A2262" s="3">
        <v>18</v>
      </c>
      <c r="B2262" s="3">
        <v>8</v>
      </c>
      <c r="C2262" s="3">
        <v>47</v>
      </c>
      <c r="D2262" s="3">
        <v>43</v>
      </c>
      <c r="E2262" s="3">
        <v>-27843.039</v>
      </c>
      <c r="F2262" s="4" t="str">
        <f>HYPERLINK("http://141.218.60.56/~jnz1568/getInfo.php?workbook=18_08.xlsx&amp;sheet=A0&amp;row=2262&amp;col=6&amp;number=0.6683&amp;sourceID=14","0.6683")</f>
        <v>0.6683</v>
      </c>
      <c r="G2262" s="4" t="str">
        <f>HYPERLINK("http://141.218.60.56/~jnz1568/getInfo.php?workbook=18_08.xlsx&amp;sheet=A0&amp;row=2262&amp;col=7&amp;number=0&amp;sourceID=14","0")</f>
        <v>0</v>
      </c>
    </row>
    <row r="2263" spans="1:7">
      <c r="A2263" s="3">
        <v>18</v>
      </c>
      <c r="B2263" s="3">
        <v>8</v>
      </c>
      <c r="C2263" s="3">
        <v>48</v>
      </c>
      <c r="D2263" s="3">
        <v>43</v>
      </c>
      <c r="E2263" s="3">
        <v>-7610.055</v>
      </c>
      <c r="F2263" s="4" t="str">
        <f>HYPERLINK("http://141.218.60.56/~jnz1568/getInfo.php?workbook=18_08.xlsx&amp;sheet=A0&amp;row=2263&amp;col=6&amp;number=2.987&amp;sourceID=14","2.987")</f>
        <v>2.987</v>
      </c>
      <c r="G2263" s="4" t="str">
        <f>HYPERLINK("http://141.218.60.56/~jnz1568/getInfo.php?workbook=18_08.xlsx&amp;sheet=A0&amp;row=2263&amp;col=7&amp;number=0&amp;sourceID=14","0")</f>
        <v>0</v>
      </c>
    </row>
    <row r="2264" spans="1:7">
      <c r="A2264" s="3">
        <v>18</v>
      </c>
      <c r="B2264" s="3">
        <v>8</v>
      </c>
      <c r="C2264" s="3">
        <v>49</v>
      </c>
      <c r="D2264" s="3">
        <v>43</v>
      </c>
      <c r="E2264" s="3">
        <v>-4229.158</v>
      </c>
      <c r="F2264" s="4" t="str">
        <f>HYPERLINK("http://141.218.60.56/~jnz1568/getInfo.php?workbook=18_08.xlsx&amp;sheet=A0&amp;row=2264&amp;col=6&amp;number=0.1243&amp;sourceID=14","0.1243")</f>
        <v>0.1243</v>
      </c>
      <c r="G2264" s="4" t="str">
        <f>HYPERLINK("http://141.218.60.56/~jnz1568/getInfo.php?workbook=18_08.xlsx&amp;sheet=A0&amp;row=2264&amp;col=7&amp;number=0&amp;sourceID=14","0")</f>
        <v>0</v>
      </c>
    </row>
    <row r="2265" spans="1:7">
      <c r="A2265" s="3">
        <v>18</v>
      </c>
      <c r="B2265" s="3">
        <v>8</v>
      </c>
      <c r="C2265" s="3">
        <v>50</v>
      </c>
      <c r="D2265" s="3">
        <v>43</v>
      </c>
      <c r="E2265" s="3">
        <v>-3766.971</v>
      </c>
      <c r="F2265" s="4" t="str">
        <f>HYPERLINK("http://141.218.60.56/~jnz1568/getInfo.php?workbook=18_08.xlsx&amp;sheet=A0&amp;row=2265&amp;col=6&amp;number=21.75&amp;sourceID=14","21.75")</f>
        <v>21.75</v>
      </c>
      <c r="G2265" s="4" t="str">
        <f>HYPERLINK("http://141.218.60.56/~jnz1568/getInfo.php?workbook=18_08.xlsx&amp;sheet=A0&amp;row=2265&amp;col=7&amp;number=0&amp;sourceID=14","0")</f>
        <v>0</v>
      </c>
    </row>
    <row r="2266" spans="1:7">
      <c r="A2266" s="3">
        <v>18</v>
      </c>
      <c r="B2266" s="3">
        <v>8</v>
      </c>
      <c r="C2266" s="3">
        <v>51</v>
      </c>
      <c r="D2266" s="3">
        <v>43</v>
      </c>
      <c r="E2266" s="3">
        <v>-2030.633</v>
      </c>
      <c r="F2266" s="4" t="str">
        <f>HYPERLINK("http://141.218.60.56/~jnz1568/getInfo.php?workbook=18_08.xlsx&amp;sheet=A0&amp;row=2266&amp;col=6&amp;number=197100&amp;sourceID=14","197100")</f>
        <v>197100</v>
      </c>
      <c r="G2266" s="4" t="str">
        <f>HYPERLINK("http://141.218.60.56/~jnz1568/getInfo.php?workbook=18_08.xlsx&amp;sheet=A0&amp;row=2266&amp;col=7&amp;number=0&amp;sourceID=14","0")</f>
        <v>0</v>
      </c>
    </row>
    <row r="2267" spans="1:7">
      <c r="A2267" s="3">
        <v>18</v>
      </c>
      <c r="B2267" s="3">
        <v>8</v>
      </c>
      <c r="C2267" s="3">
        <v>52</v>
      </c>
      <c r="D2267" s="3">
        <v>43</v>
      </c>
      <c r="E2267" s="3">
        <v>-1990.582</v>
      </c>
      <c r="F2267" s="4" t="str">
        <f>HYPERLINK("http://141.218.60.56/~jnz1568/getInfo.php?workbook=18_08.xlsx&amp;sheet=A0&amp;row=2267&amp;col=6&amp;number=186200&amp;sourceID=14","186200")</f>
        <v>186200</v>
      </c>
      <c r="G2267" s="4" t="str">
        <f>HYPERLINK("http://141.218.60.56/~jnz1568/getInfo.php?workbook=18_08.xlsx&amp;sheet=A0&amp;row=2267&amp;col=7&amp;number=0&amp;sourceID=14","0")</f>
        <v>0</v>
      </c>
    </row>
    <row r="2268" spans="1:7">
      <c r="A2268" s="3">
        <v>18</v>
      </c>
      <c r="B2268" s="3">
        <v>8</v>
      </c>
      <c r="C2268" s="3">
        <v>53</v>
      </c>
      <c r="D2268" s="3">
        <v>43</v>
      </c>
      <c r="E2268" s="3">
        <v>-3581.609</v>
      </c>
      <c r="F2268" s="4" t="str">
        <f>HYPERLINK("http://141.218.60.56/~jnz1568/getInfo.php?workbook=18_08.xlsx&amp;sheet=A0&amp;row=2268&amp;col=6&amp;number=0.5497&amp;sourceID=14","0.5497")</f>
        <v>0.5497</v>
      </c>
      <c r="G2268" s="4" t="str">
        <f>HYPERLINK("http://141.218.60.56/~jnz1568/getInfo.php?workbook=18_08.xlsx&amp;sheet=A0&amp;row=2268&amp;col=7&amp;number=0&amp;sourceID=14","0")</f>
        <v>0</v>
      </c>
    </row>
    <row r="2269" spans="1:7">
      <c r="A2269" s="3">
        <v>18</v>
      </c>
      <c r="B2269" s="3">
        <v>8</v>
      </c>
      <c r="C2269" s="3">
        <v>54</v>
      </c>
      <c r="D2269" s="3">
        <v>43</v>
      </c>
      <c r="E2269" s="3">
        <v>-1955.961</v>
      </c>
      <c r="F2269" s="4" t="str">
        <f>HYPERLINK("http://141.218.60.56/~jnz1568/getInfo.php?workbook=18_08.xlsx&amp;sheet=A0&amp;row=2269&amp;col=6&amp;number=513300&amp;sourceID=14","513300")</f>
        <v>513300</v>
      </c>
      <c r="G2269" s="4" t="str">
        <f>HYPERLINK("http://141.218.60.56/~jnz1568/getInfo.php?workbook=18_08.xlsx&amp;sheet=A0&amp;row=2269&amp;col=7&amp;number=0&amp;sourceID=14","0")</f>
        <v>0</v>
      </c>
    </row>
    <row r="2270" spans="1:7">
      <c r="A2270" s="3">
        <v>18</v>
      </c>
      <c r="B2270" s="3">
        <v>8</v>
      </c>
      <c r="C2270" s="3">
        <v>55</v>
      </c>
      <c r="D2270" s="3">
        <v>43</v>
      </c>
      <c r="E2270" s="3">
        <v>-1737.506</v>
      </c>
      <c r="F2270" s="4" t="str">
        <f>HYPERLINK("http://141.218.60.56/~jnz1568/getInfo.php?workbook=18_08.xlsx&amp;sheet=A0&amp;row=2270&amp;col=6&amp;number=6.185&amp;sourceID=14","6.185")</f>
        <v>6.185</v>
      </c>
      <c r="G2270" s="4" t="str">
        <f>HYPERLINK("http://141.218.60.56/~jnz1568/getInfo.php?workbook=18_08.xlsx&amp;sheet=A0&amp;row=2270&amp;col=7&amp;number=0&amp;sourceID=14","0")</f>
        <v>0</v>
      </c>
    </row>
    <row r="2271" spans="1:7">
      <c r="A2271" s="3">
        <v>18</v>
      </c>
      <c r="B2271" s="3">
        <v>8</v>
      </c>
      <c r="C2271" s="3">
        <v>56</v>
      </c>
      <c r="D2271" s="3">
        <v>43</v>
      </c>
      <c r="E2271" s="3">
        <v>-947.692</v>
      </c>
      <c r="F2271" s="4" t="str">
        <f>HYPERLINK("http://141.218.60.56/~jnz1568/getInfo.php?workbook=18_08.xlsx&amp;sheet=A0&amp;row=2271&amp;col=6&amp;number=64300&amp;sourceID=14","64300")</f>
        <v>64300</v>
      </c>
      <c r="G2271" s="4" t="str">
        <f>HYPERLINK("http://141.218.60.56/~jnz1568/getInfo.php?workbook=18_08.xlsx&amp;sheet=A0&amp;row=2271&amp;col=7&amp;number=0&amp;sourceID=14","0")</f>
        <v>0</v>
      </c>
    </row>
    <row r="2272" spans="1:7">
      <c r="A2272" s="3">
        <v>18</v>
      </c>
      <c r="B2272" s="3">
        <v>8</v>
      </c>
      <c r="C2272" s="3">
        <v>57</v>
      </c>
      <c r="D2272" s="3">
        <v>43</v>
      </c>
      <c r="E2272" s="3">
        <v>-917.047</v>
      </c>
      <c r="F2272" s="4" t="str">
        <f>HYPERLINK("http://141.218.60.56/~jnz1568/getInfo.php?workbook=18_08.xlsx&amp;sheet=A0&amp;row=2272&amp;col=6&amp;number=6054000&amp;sourceID=14","6054000")</f>
        <v>6054000</v>
      </c>
      <c r="G2272" s="4" t="str">
        <f>HYPERLINK("http://141.218.60.56/~jnz1568/getInfo.php?workbook=18_08.xlsx&amp;sheet=A0&amp;row=2272&amp;col=7&amp;number=0&amp;sourceID=14","0")</f>
        <v>0</v>
      </c>
    </row>
    <row r="2273" spans="1:7">
      <c r="A2273" s="3">
        <v>18</v>
      </c>
      <c r="B2273" s="3">
        <v>8</v>
      </c>
      <c r="C2273" s="3">
        <v>58</v>
      </c>
      <c r="D2273" s="3">
        <v>43</v>
      </c>
      <c r="E2273" s="3">
        <v>-894.685</v>
      </c>
      <c r="F2273" s="4" t="str">
        <f>HYPERLINK("http://141.218.60.56/~jnz1568/getInfo.php?workbook=18_08.xlsx&amp;sheet=A0&amp;row=2273&amp;col=6&amp;number=0.01717&amp;sourceID=14","0.01717")</f>
        <v>0.01717</v>
      </c>
      <c r="G2273" s="4" t="str">
        <f>HYPERLINK("http://141.218.60.56/~jnz1568/getInfo.php?workbook=18_08.xlsx&amp;sheet=A0&amp;row=2273&amp;col=7&amp;number=0&amp;sourceID=14","0")</f>
        <v>0</v>
      </c>
    </row>
    <row r="2274" spans="1:7">
      <c r="A2274" s="3">
        <v>18</v>
      </c>
      <c r="B2274" s="3">
        <v>8</v>
      </c>
      <c r="C2274" s="3">
        <v>59</v>
      </c>
      <c r="D2274" s="3">
        <v>43</v>
      </c>
      <c r="E2274" s="3">
        <v>-883.566</v>
      </c>
      <c r="F2274" s="4" t="str">
        <f>HYPERLINK("http://141.218.60.56/~jnz1568/getInfo.php?workbook=18_08.xlsx&amp;sheet=A0&amp;row=2274&amp;col=6&amp;number=0.00114&amp;sourceID=14","0.00114")</f>
        <v>0.00114</v>
      </c>
      <c r="G2274" s="4" t="str">
        <f>HYPERLINK("http://141.218.60.56/~jnz1568/getInfo.php?workbook=18_08.xlsx&amp;sheet=A0&amp;row=2274&amp;col=7&amp;number=0&amp;sourceID=14","0")</f>
        <v>0</v>
      </c>
    </row>
    <row r="2275" spans="1:7">
      <c r="A2275" s="3">
        <v>18</v>
      </c>
      <c r="B2275" s="3">
        <v>8</v>
      </c>
      <c r="C2275" s="3">
        <v>60</v>
      </c>
      <c r="D2275" s="3">
        <v>43</v>
      </c>
      <c r="E2275" s="3">
        <v>-832.297</v>
      </c>
      <c r="F2275" s="4" t="str">
        <f>HYPERLINK("http://141.218.60.56/~jnz1568/getInfo.php?workbook=18_08.xlsx&amp;sheet=A0&amp;row=2275&amp;col=6&amp;number=753700&amp;sourceID=14","753700")</f>
        <v>753700</v>
      </c>
      <c r="G2275" s="4" t="str">
        <f>HYPERLINK("http://141.218.60.56/~jnz1568/getInfo.php?workbook=18_08.xlsx&amp;sheet=A0&amp;row=2275&amp;col=7&amp;number=0&amp;sourceID=14","0")</f>
        <v>0</v>
      </c>
    </row>
    <row r="2276" spans="1:7">
      <c r="A2276" s="3">
        <v>18</v>
      </c>
      <c r="B2276" s="3">
        <v>8</v>
      </c>
      <c r="C2276" s="3">
        <v>61</v>
      </c>
      <c r="D2276" s="3">
        <v>43</v>
      </c>
      <c r="E2276" s="3">
        <v>-821.336</v>
      </c>
      <c r="F2276" s="4" t="str">
        <f>HYPERLINK("http://141.218.60.56/~jnz1568/getInfo.php?workbook=18_08.xlsx&amp;sheet=A0&amp;row=2276&amp;col=6&amp;number=8.643e-06&amp;sourceID=14","8.643e-06")</f>
        <v>8.643e-06</v>
      </c>
      <c r="G2276" s="4" t="str">
        <f>HYPERLINK("http://141.218.60.56/~jnz1568/getInfo.php?workbook=18_08.xlsx&amp;sheet=A0&amp;row=2276&amp;col=7&amp;number=0&amp;sourceID=14","0")</f>
        <v>0</v>
      </c>
    </row>
    <row r="2277" spans="1:7">
      <c r="A2277" s="3">
        <v>18</v>
      </c>
      <c r="B2277" s="3">
        <v>8</v>
      </c>
      <c r="C2277" s="3">
        <v>63</v>
      </c>
      <c r="D2277" s="3">
        <v>43</v>
      </c>
      <c r="E2277" s="3">
        <v>-787.871</v>
      </c>
      <c r="F2277" s="4" t="str">
        <f>HYPERLINK("http://141.218.60.56/~jnz1568/getInfo.php?workbook=18_08.xlsx&amp;sheet=A0&amp;row=2277&amp;col=6&amp;number=0.00336&amp;sourceID=14","0.00336")</f>
        <v>0.00336</v>
      </c>
      <c r="G2277" s="4" t="str">
        <f>HYPERLINK("http://141.218.60.56/~jnz1568/getInfo.php?workbook=18_08.xlsx&amp;sheet=A0&amp;row=2277&amp;col=7&amp;number=0&amp;sourceID=14","0")</f>
        <v>0</v>
      </c>
    </row>
    <row r="2278" spans="1:7">
      <c r="A2278" s="3">
        <v>18</v>
      </c>
      <c r="B2278" s="3">
        <v>8</v>
      </c>
      <c r="C2278" s="3">
        <v>64</v>
      </c>
      <c r="D2278" s="3">
        <v>43</v>
      </c>
      <c r="E2278" s="3">
        <v>-723.285</v>
      </c>
      <c r="F2278" s="4" t="str">
        <f>HYPERLINK("http://141.218.60.56/~jnz1568/getInfo.php?workbook=18_08.xlsx&amp;sheet=A0&amp;row=2278&amp;col=6&amp;number=42110000&amp;sourceID=14","42110000")</f>
        <v>42110000</v>
      </c>
      <c r="G2278" s="4" t="str">
        <f>HYPERLINK("http://141.218.60.56/~jnz1568/getInfo.php?workbook=18_08.xlsx&amp;sheet=A0&amp;row=2278&amp;col=7&amp;number=0&amp;sourceID=14","0")</f>
        <v>0</v>
      </c>
    </row>
    <row r="2279" spans="1:7">
      <c r="A2279" s="3">
        <v>18</v>
      </c>
      <c r="B2279" s="3">
        <v>8</v>
      </c>
      <c r="C2279" s="3">
        <v>65</v>
      </c>
      <c r="D2279" s="3">
        <v>43</v>
      </c>
      <c r="E2279" s="3">
        <v>-920.899</v>
      </c>
      <c r="F2279" s="4" t="str">
        <f>HYPERLINK("http://141.218.60.56/~jnz1568/getInfo.php?workbook=18_08.xlsx&amp;sheet=A0&amp;row=2279&amp;col=6&amp;number=8.504&amp;sourceID=14","8.504")</f>
        <v>8.504</v>
      </c>
      <c r="G2279" s="4" t="str">
        <f>HYPERLINK("http://141.218.60.56/~jnz1568/getInfo.php?workbook=18_08.xlsx&amp;sheet=A0&amp;row=2279&amp;col=7&amp;number=0&amp;sourceID=14","0")</f>
        <v>0</v>
      </c>
    </row>
    <row r="2280" spans="1:7">
      <c r="A2280" s="3">
        <v>18</v>
      </c>
      <c r="B2280" s="3">
        <v>8</v>
      </c>
      <c r="C2280" s="3">
        <v>66</v>
      </c>
      <c r="D2280" s="3">
        <v>43</v>
      </c>
      <c r="E2280" s="3">
        <v>-732.988</v>
      </c>
      <c r="F2280" s="4" t="str">
        <f>HYPERLINK("http://141.218.60.56/~jnz1568/getInfo.php?workbook=18_08.xlsx&amp;sheet=A0&amp;row=2280&amp;col=6&amp;number=24080000&amp;sourceID=14","24080000")</f>
        <v>24080000</v>
      </c>
      <c r="G2280" s="4" t="str">
        <f>HYPERLINK("http://141.218.60.56/~jnz1568/getInfo.php?workbook=18_08.xlsx&amp;sheet=A0&amp;row=2280&amp;col=7&amp;number=0&amp;sourceID=14","0")</f>
        <v>0</v>
      </c>
    </row>
    <row r="2281" spans="1:7">
      <c r="A2281" s="3">
        <v>18</v>
      </c>
      <c r="B2281" s="3">
        <v>8</v>
      </c>
      <c r="C2281" s="3">
        <v>67</v>
      </c>
      <c r="D2281" s="3">
        <v>43</v>
      </c>
      <c r="E2281" s="3">
        <v>-776.008</v>
      </c>
      <c r="F2281" s="4" t="str">
        <f>HYPERLINK("http://141.218.60.56/~jnz1568/getInfo.php?workbook=18_08.xlsx&amp;sheet=A0&amp;row=2281&amp;col=6&amp;number=7172000&amp;sourceID=14","7172000")</f>
        <v>7172000</v>
      </c>
      <c r="G2281" s="4" t="str">
        <f>HYPERLINK("http://141.218.60.56/~jnz1568/getInfo.php?workbook=18_08.xlsx&amp;sheet=A0&amp;row=2281&amp;col=7&amp;number=0&amp;sourceID=14","0")</f>
        <v>0</v>
      </c>
    </row>
    <row r="2282" spans="1:7">
      <c r="A2282" s="3">
        <v>18</v>
      </c>
      <c r="B2282" s="3">
        <v>8</v>
      </c>
      <c r="C2282" s="3">
        <v>68</v>
      </c>
      <c r="D2282" s="3">
        <v>43</v>
      </c>
      <c r="E2282" s="3">
        <v>-719.055</v>
      </c>
      <c r="F2282" s="4" t="str">
        <f>HYPERLINK("http://141.218.60.56/~jnz1568/getInfo.php?workbook=18_08.xlsx&amp;sheet=A0&amp;row=2282&amp;col=6&amp;number=48180000&amp;sourceID=14","48180000")</f>
        <v>48180000</v>
      </c>
      <c r="G2282" s="4" t="str">
        <f>HYPERLINK("http://141.218.60.56/~jnz1568/getInfo.php?workbook=18_08.xlsx&amp;sheet=A0&amp;row=2282&amp;col=7&amp;number=0&amp;sourceID=14","0")</f>
        <v>0</v>
      </c>
    </row>
    <row r="2283" spans="1:7">
      <c r="A2283" s="3">
        <v>18</v>
      </c>
      <c r="B2283" s="3">
        <v>8</v>
      </c>
      <c r="C2283" s="3">
        <v>69</v>
      </c>
      <c r="D2283" s="3">
        <v>43</v>
      </c>
      <c r="E2283" s="3">
        <v>-681.682</v>
      </c>
      <c r="F2283" s="4" t="str">
        <f>HYPERLINK("http://141.218.60.56/~jnz1568/getInfo.php?workbook=18_08.xlsx&amp;sheet=A0&amp;row=2283&amp;col=6&amp;number=43190000&amp;sourceID=14","43190000")</f>
        <v>43190000</v>
      </c>
      <c r="G2283" s="4" t="str">
        <f>HYPERLINK("http://141.218.60.56/~jnz1568/getInfo.php?workbook=18_08.xlsx&amp;sheet=A0&amp;row=2283&amp;col=7&amp;number=0&amp;sourceID=14","0")</f>
        <v>0</v>
      </c>
    </row>
    <row r="2284" spans="1:7">
      <c r="A2284" s="3">
        <v>18</v>
      </c>
      <c r="B2284" s="3">
        <v>8</v>
      </c>
      <c r="C2284" s="3">
        <v>70</v>
      </c>
      <c r="D2284" s="3">
        <v>43</v>
      </c>
      <c r="E2284" s="3">
        <v>-663.4</v>
      </c>
      <c r="F2284" s="4" t="str">
        <f>HYPERLINK("http://141.218.60.56/~jnz1568/getInfo.php?workbook=18_08.xlsx&amp;sheet=A0&amp;row=2284&amp;col=6&amp;number=0.03117&amp;sourceID=14","0.03117")</f>
        <v>0.03117</v>
      </c>
      <c r="G2284" s="4" t="str">
        <f>HYPERLINK("http://141.218.60.56/~jnz1568/getInfo.php?workbook=18_08.xlsx&amp;sheet=A0&amp;row=2284&amp;col=7&amp;number=0&amp;sourceID=14","0")</f>
        <v>0</v>
      </c>
    </row>
    <row r="2285" spans="1:7">
      <c r="A2285" s="3">
        <v>18</v>
      </c>
      <c r="B2285" s="3">
        <v>8</v>
      </c>
      <c r="C2285" s="3">
        <v>71</v>
      </c>
      <c r="D2285" s="3">
        <v>43</v>
      </c>
      <c r="E2285" s="3">
        <v>-660.517</v>
      </c>
      <c r="F2285" s="4" t="str">
        <f>HYPERLINK("http://141.218.60.56/~jnz1568/getInfo.php?workbook=18_08.xlsx&amp;sheet=A0&amp;row=2285&amp;col=6&amp;number=228400000&amp;sourceID=14","228400000")</f>
        <v>228400000</v>
      </c>
      <c r="G2285" s="4" t="str">
        <f>HYPERLINK("http://141.218.60.56/~jnz1568/getInfo.php?workbook=18_08.xlsx&amp;sheet=A0&amp;row=2285&amp;col=7&amp;number=0&amp;sourceID=14","0")</f>
        <v>0</v>
      </c>
    </row>
    <row r="2286" spans="1:7">
      <c r="A2286" s="3">
        <v>18</v>
      </c>
      <c r="B2286" s="3">
        <v>8</v>
      </c>
      <c r="C2286" s="3">
        <v>72</v>
      </c>
      <c r="D2286" s="3">
        <v>43</v>
      </c>
      <c r="E2286" s="3">
        <v>-691.344</v>
      </c>
      <c r="F2286" s="4" t="str">
        <f>HYPERLINK("http://141.218.60.56/~jnz1568/getInfo.php?workbook=18_08.xlsx&amp;sheet=A0&amp;row=2286&amp;col=6&amp;number=42100000&amp;sourceID=14","42100000")</f>
        <v>42100000</v>
      </c>
      <c r="G2286" s="4" t="str">
        <f>HYPERLINK("http://141.218.60.56/~jnz1568/getInfo.php?workbook=18_08.xlsx&amp;sheet=A0&amp;row=2286&amp;col=7&amp;number=0&amp;sourceID=14","0")</f>
        <v>0</v>
      </c>
    </row>
    <row r="2287" spans="1:7">
      <c r="A2287" s="3">
        <v>18</v>
      </c>
      <c r="B2287" s="3">
        <v>8</v>
      </c>
      <c r="C2287" s="3">
        <v>73</v>
      </c>
      <c r="D2287" s="3">
        <v>43</v>
      </c>
      <c r="E2287" s="3">
        <v>-641.204</v>
      </c>
      <c r="F2287" s="4" t="str">
        <f>HYPERLINK("http://141.218.60.56/~jnz1568/getInfo.php?workbook=18_08.xlsx&amp;sheet=A0&amp;row=2287&amp;col=6&amp;number=138900000&amp;sourceID=14","138900000")</f>
        <v>138900000</v>
      </c>
      <c r="G2287" s="4" t="str">
        <f>HYPERLINK("http://141.218.60.56/~jnz1568/getInfo.php?workbook=18_08.xlsx&amp;sheet=A0&amp;row=2287&amp;col=7&amp;number=0&amp;sourceID=14","0")</f>
        <v>0</v>
      </c>
    </row>
    <row r="2288" spans="1:7">
      <c r="A2288" s="3">
        <v>18</v>
      </c>
      <c r="B2288" s="3">
        <v>8</v>
      </c>
      <c r="C2288" s="3">
        <v>74</v>
      </c>
      <c r="D2288" s="3">
        <v>43</v>
      </c>
      <c r="E2288" s="3">
        <v>-586.949</v>
      </c>
      <c r="F2288" s="4" t="str">
        <f>HYPERLINK("http://141.218.60.56/~jnz1568/getInfo.php?workbook=18_08.xlsx&amp;sheet=A0&amp;row=2288&amp;col=6&amp;number=1587000000&amp;sourceID=14","1587000000")</f>
        <v>1587000000</v>
      </c>
      <c r="G2288" s="4" t="str">
        <f>HYPERLINK("http://141.218.60.56/~jnz1568/getInfo.php?workbook=18_08.xlsx&amp;sheet=A0&amp;row=2288&amp;col=7&amp;number=0&amp;sourceID=14","0")</f>
        <v>0</v>
      </c>
    </row>
    <row r="2289" spans="1:7">
      <c r="A2289" s="3">
        <v>18</v>
      </c>
      <c r="B2289" s="3">
        <v>8</v>
      </c>
      <c r="C2289" s="3">
        <v>75</v>
      </c>
      <c r="D2289" s="3">
        <v>43</v>
      </c>
      <c r="E2289" s="3">
        <v>-575.298</v>
      </c>
      <c r="F2289" s="4" t="str">
        <f>HYPERLINK("http://141.218.60.56/~jnz1568/getInfo.php?workbook=18_08.xlsx&amp;sheet=A0&amp;row=2289&amp;col=6&amp;number=282000000&amp;sourceID=14","282000000")</f>
        <v>282000000</v>
      </c>
      <c r="G2289" s="4" t="str">
        <f>HYPERLINK("http://141.218.60.56/~jnz1568/getInfo.php?workbook=18_08.xlsx&amp;sheet=A0&amp;row=2289&amp;col=7&amp;number=0&amp;sourceID=14","0")</f>
        <v>0</v>
      </c>
    </row>
    <row r="2290" spans="1:7">
      <c r="A2290" s="3">
        <v>18</v>
      </c>
      <c r="B2290" s="3">
        <v>8</v>
      </c>
      <c r="C2290" s="3">
        <v>76</v>
      </c>
      <c r="D2290" s="3">
        <v>43</v>
      </c>
      <c r="E2290" s="3">
        <v>-574.469</v>
      </c>
      <c r="F2290" s="4" t="str">
        <f>HYPERLINK("http://141.218.60.56/~jnz1568/getInfo.php?workbook=18_08.xlsx&amp;sheet=A0&amp;row=2290&amp;col=6&amp;number=0.5504&amp;sourceID=14","0.5504")</f>
        <v>0.5504</v>
      </c>
      <c r="G2290" s="4" t="str">
        <f>HYPERLINK("http://141.218.60.56/~jnz1568/getInfo.php?workbook=18_08.xlsx&amp;sheet=A0&amp;row=2290&amp;col=7&amp;number=0&amp;sourceID=14","0")</f>
        <v>0</v>
      </c>
    </row>
    <row r="2291" spans="1:7">
      <c r="A2291" s="3">
        <v>18</v>
      </c>
      <c r="B2291" s="3">
        <v>8</v>
      </c>
      <c r="C2291" s="3">
        <v>77</v>
      </c>
      <c r="D2291" s="3">
        <v>43</v>
      </c>
      <c r="E2291" s="3">
        <v>-567.829</v>
      </c>
      <c r="F2291" s="4" t="str">
        <f>HYPERLINK("http://141.218.60.56/~jnz1568/getInfo.php?workbook=18_08.xlsx&amp;sheet=A0&amp;row=2291&amp;col=6&amp;number=807500000&amp;sourceID=14","807500000")</f>
        <v>807500000</v>
      </c>
      <c r="G2291" s="4" t="str">
        <f>HYPERLINK("http://141.218.60.56/~jnz1568/getInfo.php?workbook=18_08.xlsx&amp;sheet=A0&amp;row=2291&amp;col=7&amp;number=0&amp;sourceID=14","0")</f>
        <v>0</v>
      </c>
    </row>
    <row r="2292" spans="1:7">
      <c r="A2292" s="3">
        <v>18</v>
      </c>
      <c r="B2292" s="3">
        <v>8</v>
      </c>
      <c r="C2292" s="3">
        <v>78</v>
      </c>
      <c r="D2292" s="3">
        <v>43</v>
      </c>
      <c r="E2292" s="3">
        <v>-572.589</v>
      </c>
      <c r="F2292" s="4" t="str">
        <f>HYPERLINK("http://141.218.60.56/~jnz1568/getInfo.php?workbook=18_08.xlsx&amp;sheet=A0&amp;row=2292&amp;col=6&amp;number=0.1252&amp;sourceID=14","0.1252")</f>
        <v>0.1252</v>
      </c>
      <c r="G2292" s="4" t="str">
        <f>HYPERLINK("http://141.218.60.56/~jnz1568/getInfo.php?workbook=18_08.xlsx&amp;sheet=A0&amp;row=2292&amp;col=7&amp;number=0&amp;sourceID=14","0")</f>
        <v>0</v>
      </c>
    </row>
    <row r="2293" spans="1:7">
      <c r="A2293" s="3">
        <v>18</v>
      </c>
      <c r="B2293" s="3">
        <v>8</v>
      </c>
      <c r="C2293" s="3">
        <v>79</v>
      </c>
      <c r="D2293" s="3">
        <v>43</v>
      </c>
      <c r="E2293" s="3">
        <v>-562.962</v>
      </c>
      <c r="F2293" s="4" t="str">
        <f>HYPERLINK("http://141.218.60.56/~jnz1568/getInfo.php?workbook=18_08.xlsx&amp;sheet=A0&amp;row=2293&amp;col=6&amp;number=2303000&amp;sourceID=14","2303000")</f>
        <v>2303000</v>
      </c>
      <c r="G2293" s="4" t="str">
        <f>HYPERLINK("http://141.218.60.56/~jnz1568/getInfo.php?workbook=18_08.xlsx&amp;sheet=A0&amp;row=2293&amp;col=7&amp;number=0&amp;sourceID=14","0")</f>
        <v>0</v>
      </c>
    </row>
    <row r="2294" spans="1:7">
      <c r="A2294" s="3">
        <v>18</v>
      </c>
      <c r="B2294" s="3">
        <v>8</v>
      </c>
      <c r="C2294" s="3">
        <v>80</v>
      </c>
      <c r="D2294" s="3">
        <v>43</v>
      </c>
      <c r="E2294" s="3">
        <v>-556.888</v>
      </c>
      <c r="F2294" s="4" t="str">
        <f>HYPERLINK("http://141.218.60.56/~jnz1568/getInfo.php?workbook=18_08.xlsx&amp;sheet=A0&amp;row=2294&amp;col=6&amp;number=219800000&amp;sourceID=14","219800000")</f>
        <v>219800000</v>
      </c>
      <c r="G2294" s="4" t="str">
        <f>HYPERLINK("http://141.218.60.56/~jnz1568/getInfo.php?workbook=18_08.xlsx&amp;sheet=A0&amp;row=2294&amp;col=7&amp;number=0&amp;sourceID=14","0")</f>
        <v>0</v>
      </c>
    </row>
    <row r="2295" spans="1:7">
      <c r="A2295" s="3">
        <v>18</v>
      </c>
      <c r="B2295" s="3">
        <v>8</v>
      </c>
      <c r="C2295" s="3">
        <v>81</v>
      </c>
      <c r="D2295" s="3">
        <v>43</v>
      </c>
      <c r="E2295" s="3">
        <v>-526.596</v>
      </c>
      <c r="F2295" s="4" t="str">
        <f>HYPERLINK("http://141.218.60.56/~jnz1568/getInfo.php?workbook=18_08.xlsx&amp;sheet=A0&amp;row=2295&amp;col=6&amp;number=495200000&amp;sourceID=14","495200000")</f>
        <v>495200000</v>
      </c>
      <c r="G2295" s="4" t="str">
        <f>HYPERLINK("http://141.218.60.56/~jnz1568/getInfo.php?workbook=18_08.xlsx&amp;sheet=A0&amp;row=2295&amp;col=7&amp;number=0&amp;sourceID=14","0")</f>
        <v>0</v>
      </c>
    </row>
    <row r="2296" spans="1:7">
      <c r="A2296" s="3">
        <v>18</v>
      </c>
      <c r="B2296" s="3">
        <v>8</v>
      </c>
      <c r="C2296" s="3">
        <v>82</v>
      </c>
      <c r="D2296" s="3">
        <v>43</v>
      </c>
      <c r="E2296" s="3">
        <v>-517.681</v>
      </c>
      <c r="F2296" s="4" t="str">
        <f>HYPERLINK("http://141.218.60.56/~jnz1568/getInfo.php?workbook=18_08.xlsx&amp;sheet=A0&amp;row=2296&amp;col=6&amp;number=10600000&amp;sourceID=14","10600000")</f>
        <v>10600000</v>
      </c>
      <c r="G2296" s="4" t="str">
        <f>HYPERLINK("http://141.218.60.56/~jnz1568/getInfo.php?workbook=18_08.xlsx&amp;sheet=A0&amp;row=2296&amp;col=7&amp;number=0&amp;sourceID=14","0")</f>
        <v>0</v>
      </c>
    </row>
    <row r="2297" spans="1:7">
      <c r="A2297" s="3">
        <v>18</v>
      </c>
      <c r="B2297" s="3">
        <v>8</v>
      </c>
      <c r="C2297" s="3">
        <v>83</v>
      </c>
      <c r="D2297" s="3">
        <v>43</v>
      </c>
      <c r="E2297" s="3">
        <v>-517.109</v>
      </c>
      <c r="F2297" s="4" t="str">
        <f>HYPERLINK("http://141.218.60.56/~jnz1568/getInfo.php?workbook=18_08.xlsx&amp;sheet=A0&amp;row=2297&amp;col=6&amp;number=167900000&amp;sourceID=14","167900000")</f>
        <v>167900000</v>
      </c>
      <c r="G2297" s="4" t="str">
        <f>HYPERLINK("http://141.218.60.56/~jnz1568/getInfo.php?workbook=18_08.xlsx&amp;sheet=A0&amp;row=2297&amp;col=7&amp;number=0&amp;sourceID=14","0")</f>
        <v>0</v>
      </c>
    </row>
    <row r="2298" spans="1:7">
      <c r="A2298" s="3">
        <v>18</v>
      </c>
      <c r="B2298" s="3">
        <v>8</v>
      </c>
      <c r="C2298" s="3">
        <v>84</v>
      </c>
      <c r="D2298" s="3">
        <v>43</v>
      </c>
      <c r="E2298" s="3">
        <v>-485.129</v>
      </c>
      <c r="F2298" s="4" t="str">
        <f>HYPERLINK("http://141.218.60.56/~jnz1568/getInfo.php?workbook=18_08.xlsx&amp;sheet=A0&amp;row=2298&amp;col=6&amp;number=121500000&amp;sourceID=14","121500000")</f>
        <v>121500000</v>
      </c>
      <c r="G2298" s="4" t="str">
        <f>HYPERLINK("http://141.218.60.56/~jnz1568/getInfo.php?workbook=18_08.xlsx&amp;sheet=A0&amp;row=2298&amp;col=7&amp;number=0&amp;sourceID=14","0")</f>
        <v>0</v>
      </c>
    </row>
    <row r="2299" spans="1:7">
      <c r="A2299" s="3">
        <v>18</v>
      </c>
      <c r="B2299" s="3">
        <v>8</v>
      </c>
      <c r="C2299" s="3">
        <v>85</v>
      </c>
      <c r="D2299" s="3">
        <v>43</v>
      </c>
      <c r="E2299" s="3">
        <v>-476.682</v>
      </c>
      <c r="F2299" s="4" t="str">
        <f>HYPERLINK("http://141.218.60.56/~jnz1568/getInfo.php?workbook=18_08.xlsx&amp;sheet=A0&amp;row=2299&amp;col=6&amp;number=21650000&amp;sourceID=14","21650000")</f>
        <v>21650000</v>
      </c>
      <c r="G2299" s="4" t="str">
        <f>HYPERLINK("http://141.218.60.56/~jnz1568/getInfo.php?workbook=18_08.xlsx&amp;sheet=A0&amp;row=2299&amp;col=7&amp;number=0&amp;sourceID=14","0")</f>
        <v>0</v>
      </c>
    </row>
    <row r="2300" spans="1:7">
      <c r="A2300" s="3">
        <v>18</v>
      </c>
      <c r="B2300" s="3">
        <v>8</v>
      </c>
      <c r="C2300" s="3">
        <v>86</v>
      </c>
      <c r="D2300" s="3">
        <v>43</v>
      </c>
      <c r="E2300" s="3">
        <v>-415.34</v>
      </c>
      <c r="F2300" s="4" t="str">
        <f>HYPERLINK("http://141.218.60.56/~jnz1568/getInfo.php?workbook=18_08.xlsx&amp;sheet=A0&amp;row=2300&amp;col=6&amp;number=51080&amp;sourceID=14","51080")</f>
        <v>51080</v>
      </c>
      <c r="G2300" s="4" t="str">
        <f>HYPERLINK("http://141.218.60.56/~jnz1568/getInfo.php?workbook=18_08.xlsx&amp;sheet=A0&amp;row=2300&amp;col=7&amp;number=0&amp;sourceID=14","0")</f>
        <v>0</v>
      </c>
    </row>
    <row r="2301" spans="1:7">
      <c r="A2301" s="3">
        <v>18</v>
      </c>
      <c r="B2301" s="3">
        <v>8</v>
      </c>
      <c r="C2301" s="3">
        <v>45</v>
      </c>
      <c r="D2301" s="3">
        <v>44</v>
      </c>
      <c r="E2301" s="3">
        <v>-6593.658</v>
      </c>
      <c r="F2301" s="4" t="str">
        <f>HYPERLINK("http://141.218.60.56/~jnz1568/getInfo.php?workbook=18_08.xlsx&amp;sheet=A0&amp;row=2301&amp;col=6&amp;number=1.227&amp;sourceID=14","1.227")</f>
        <v>1.227</v>
      </c>
      <c r="G2301" s="4" t="str">
        <f>HYPERLINK("http://141.218.60.56/~jnz1568/getInfo.php?workbook=18_08.xlsx&amp;sheet=A0&amp;row=2301&amp;col=7&amp;number=0&amp;sourceID=14","0")</f>
        <v>0</v>
      </c>
    </row>
    <row r="2302" spans="1:7">
      <c r="A2302" s="3">
        <v>18</v>
      </c>
      <c r="B2302" s="3">
        <v>8</v>
      </c>
      <c r="C2302" s="3">
        <v>46</v>
      </c>
      <c r="D2302" s="3">
        <v>44</v>
      </c>
      <c r="E2302" s="3">
        <v>-3844.593</v>
      </c>
      <c r="F2302" s="4" t="str">
        <f>HYPERLINK("http://141.218.60.56/~jnz1568/getInfo.php?workbook=18_08.xlsx&amp;sheet=A0&amp;row=2302&amp;col=6&amp;number=0.1105&amp;sourceID=14","0.1105")</f>
        <v>0.1105</v>
      </c>
      <c r="G2302" s="4" t="str">
        <f>HYPERLINK("http://141.218.60.56/~jnz1568/getInfo.php?workbook=18_08.xlsx&amp;sheet=A0&amp;row=2302&amp;col=7&amp;number=0&amp;sourceID=14","0")</f>
        <v>0</v>
      </c>
    </row>
    <row r="2303" spans="1:7">
      <c r="A2303" s="3">
        <v>18</v>
      </c>
      <c r="B2303" s="3">
        <v>8</v>
      </c>
      <c r="C2303" s="3">
        <v>47</v>
      </c>
      <c r="D2303" s="3">
        <v>44</v>
      </c>
      <c r="E2303" s="3">
        <v>-4831.073</v>
      </c>
      <c r="F2303" s="4" t="str">
        <f>HYPERLINK("http://141.218.60.56/~jnz1568/getInfo.php?workbook=18_08.xlsx&amp;sheet=A0&amp;row=2303&amp;col=6&amp;number=0.03186&amp;sourceID=14","0.03186")</f>
        <v>0.03186</v>
      </c>
      <c r="G2303" s="4" t="str">
        <f>HYPERLINK("http://141.218.60.56/~jnz1568/getInfo.php?workbook=18_08.xlsx&amp;sheet=A0&amp;row=2303&amp;col=7&amp;number=0&amp;sourceID=14","0")</f>
        <v>0</v>
      </c>
    </row>
    <row r="2304" spans="1:7">
      <c r="A2304" s="3">
        <v>18</v>
      </c>
      <c r="B2304" s="3">
        <v>8</v>
      </c>
      <c r="C2304" s="3">
        <v>48</v>
      </c>
      <c r="D2304" s="3">
        <v>44</v>
      </c>
      <c r="E2304" s="3">
        <v>-3305.973</v>
      </c>
      <c r="F2304" s="4" t="str">
        <f>HYPERLINK("http://141.218.60.56/~jnz1568/getInfo.php?workbook=18_08.xlsx&amp;sheet=A0&amp;row=2304&amp;col=6&amp;number=0.6584&amp;sourceID=14","0.6584")</f>
        <v>0.6584</v>
      </c>
      <c r="G2304" s="4" t="str">
        <f>HYPERLINK("http://141.218.60.56/~jnz1568/getInfo.php?workbook=18_08.xlsx&amp;sheet=A0&amp;row=2304&amp;col=7&amp;number=0&amp;sourceID=14","0")</f>
        <v>0</v>
      </c>
    </row>
    <row r="2305" spans="1:7">
      <c r="A2305" s="3">
        <v>18</v>
      </c>
      <c r="B2305" s="3">
        <v>8</v>
      </c>
      <c r="C2305" s="3">
        <v>49</v>
      </c>
      <c r="D2305" s="3">
        <v>44</v>
      </c>
      <c r="E2305" s="3">
        <v>-2453.799</v>
      </c>
      <c r="F2305" s="4" t="str">
        <f>HYPERLINK("http://141.218.60.56/~jnz1568/getInfo.php?workbook=18_08.xlsx&amp;sheet=A0&amp;row=2305&amp;col=6&amp;number=43.98&amp;sourceID=14","43.98")</f>
        <v>43.98</v>
      </c>
      <c r="G2305" s="4" t="str">
        <f>HYPERLINK("http://141.218.60.56/~jnz1568/getInfo.php?workbook=18_08.xlsx&amp;sheet=A0&amp;row=2305&amp;col=7&amp;number=0&amp;sourceID=14","0")</f>
        <v>0</v>
      </c>
    </row>
    <row r="2306" spans="1:7">
      <c r="A2306" s="3">
        <v>18</v>
      </c>
      <c r="B2306" s="3">
        <v>8</v>
      </c>
      <c r="C2306" s="3">
        <v>50</v>
      </c>
      <c r="D2306" s="3">
        <v>44</v>
      </c>
      <c r="E2306" s="3">
        <v>-2290.725</v>
      </c>
      <c r="F2306" s="4" t="str">
        <f>HYPERLINK("http://141.218.60.56/~jnz1568/getInfo.php?workbook=18_08.xlsx&amp;sheet=A0&amp;row=2306&amp;col=6&amp;number=1.236&amp;sourceID=14","1.236")</f>
        <v>1.236</v>
      </c>
      <c r="G2306" s="4" t="str">
        <f>HYPERLINK("http://141.218.60.56/~jnz1568/getInfo.php?workbook=18_08.xlsx&amp;sheet=A0&amp;row=2306&amp;col=7&amp;number=0&amp;sourceID=14","0")</f>
        <v>0</v>
      </c>
    </row>
    <row r="2307" spans="1:7">
      <c r="A2307" s="3">
        <v>18</v>
      </c>
      <c r="B2307" s="3">
        <v>8</v>
      </c>
      <c r="C2307" s="3">
        <v>51</v>
      </c>
      <c r="D2307" s="3">
        <v>44</v>
      </c>
      <c r="E2307" s="3">
        <v>-1507.08</v>
      </c>
      <c r="F2307" s="4" t="str">
        <f>HYPERLINK("http://141.218.60.56/~jnz1568/getInfo.php?workbook=18_08.xlsx&amp;sheet=A0&amp;row=2307&amp;col=6&amp;number=805300&amp;sourceID=14","805300")</f>
        <v>805300</v>
      </c>
      <c r="G2307" s="4" t="str">
        <f>HYPERLINK("http://141.218.60.56/~jnz1568/getInfo.php?workbook=18_08.xlsx&amp;sheet=A0&amp;row=2307&amp;col=7&amp;number=0&amp;sourceID=14","0")</f>
        <v>0</v>
      </c>
    </row>
    <row r="2308" spans="1:7">
      <c r="A2308" s="3">
        <v>18</v>
      </c>
      <c r="B2308" s="3">
        <v>8</v>
      </c>
      <c r="C2308" s="3">
        <v>52</v>
      </c>
      <c r="D2308" s="3">
        <v>44</v>
      </c>
      <c r="E2308" s="3">
        <v>-1484.906</v>
      </c>
      <c r="F2308" s="4" t="str">
        <f>HYPERLINK("http://141.218.60.56/~jnz1568/getInfo.php?workbook=18_08.xlsx&amp;sheet=A0&amp;row=2308&amp;col=6&amp;number=713800&amp;sourceID=14","713800")</f>
        <v>713800</v>
      </c>
      <c r="G2308" s="4" t="str">
        <f>HYPERLINK("http://141.218.60.56/~jnz1568/getInfo.php?workbook=18_08.xlsx&amp;sheet=A0&amp;row=2308&amp;col=7&amp;number=0&amp;sourceID=14","0")</f>
        <v>0</v>
      </c>
    </row>
    <row r="2309" spans="1:7">
      <c r="A2309" s="3">
        <v>18</v>
      </c>
      <c r="B2309" s="3">
        <v>8</v>
      </c>
      <c r="C2309" s="3">
        <v>53</v>
      </c>
      <c r="D2309" s="3">
        <v>44</v>
      </c>
      <c r="E2309" s="3">
        <v>-2220.831</v>
      </c>
      <c r="F2309" s="4" t="str">
        <f>HYPERLINK("http://141.218.60.56/~jnz1568/getInfo.php?workbook=18_08.xlsx&amp;sheet=A0&amp;row=2309&amp;col=6&amp;number=20.77&amp;sourceID=14","20.77")</f>
        <v>20.77</v>
      </c>
      <c r="G2309" s="4" t="str">
        <f>HYPERLINK("http://141.218.60.56/~jnz1568/getInfo.php?workbook=18_08.xlsx&amp;sheet=A0&amp;row=2309&amp;col=7&amp;number=0&amp;sourceID=14","0")</f>
        <v>0</v>
      </c>
    </row>
    <row r="2310" spans="1:7">
      <c r="A2310" s="3">
        <v>18</v>
      </c>
      <c r="B2310" s="3">
        <v>8</v>
      </c>
      <c r="C2310" s="3">
        <v>54</v>
      </c>
      <c r="D2310" s="3">
        <v>44</v>
      </c>
      <c r="E2310" s="3">
        <v>-1465.555</v>
      </c>
      <c r="F2310" s="4" t="str">
        <f>HYPERLINK("http://141.218.60.56/~jnz1568/getInfo.php?workbook=18_08.xlsx&amp;sheet=A0&amp;row=2310&amp;col=6&amp;number=6.313e-06&amp;sourceID=14","6.313e-06")</f>
        <v>6.313e-06</v>
      </c>
      <c r="G2310" s="4" t="str">
        <f>HYPERLINK("http://141.218.60.56/~jnz1568/getInfo.php?workbook=18_08.xlsx&amp;sheet=A0&amp;row=2310&amp;col=7&amp;number=0&amp;sourceID=14","0")</f>
        <v>0</v>
      </c>
    </row>
    <row r="2311" spans="1:7">
      <c r="A2311" s="3">
        <v>18</v>
      </c>
      <c r="B2311" s="3">
        <v>8</v>
      </c>
      <c r="C2311" s="3">
        <v>55</v>
      </c>
      <c r="D2311" s="3">
        <v>44</v>
      </c>
      <c r="E2311" s="3">
        <v>-1339.378</v>
      </c>
      <c r="F2311" s="4" t="str">
        <f>HYPERLINK("http://141.218.60.56/~jnz1568/getInfo.php?workbook=18_08.xlsx&amp;sheet=A0&amp;row=2311&amp;col=6&amp;number=1.732&amp;sourceID=14","1.732")</f>
        <v>1.732</v>
      </c>
      <c r="G2311" s="4" t="str">
        <f>HYPERLINK("http://141.218.60.56/~jnz1568/getInfo.php?workbook=18_08.xlsx&amp;sheet=A0&amp;row=2311&amp;col=7&amp;number=0&amp;sourceID=14","0")</f>
        <v>0</v>
      </c>
    </row>
    <row r="2312" spans="1:7">
      <c r="A2312" s="3">
        <v>18</v>
      </c>
      <c r="B2312" s="3">
        <v>8</v>
      </c>
      <c r="C2312" s="3">
        <v>56</v>
      </c>
      <c r="D2312" s="3">
        <v>44</v>
      </c>
      <c r="E2312" s="3">
        <v>-815.479</v>
      </c>
      <c r="F2312" s="4" t="str">
        <f>HYPERLINK("http://141.218.60.56/~jnz1568/getInfo.php?workbook=18_08.xlsx&amp;sheet=A0&amp;row=2312&amp;col=6&amp;number=162300&amp;sourceID=14","162300")</f>
        <v>162300</v>
      </c>
      <c r="G2312" s="4" t="str">
        <f>HYPERLINK("http://141.218.60.56/~jnz1568/getInfo.php?workbook=18_08.xlsx&amp;sheet=A0&amp;row=2312&amp;col=7&amp;number=0&amp;sourceID=14","0")</f>
        <v>0</v>
      </c>
    </row>
    <row r="2313" spans="1:7">
      <c r="A2313" s="3">
        <v>18</v>
      </c>
      <c r="B2313" s="3">
        <v>8</v>
      </c>
      <c r="C2313" s="3">
        <v>57</v>
      </c>
      <c r="D2313" s="3">
        <v>44</v>
      </c>
      <c r="E2313" s="3">
        <v>-792.685</v>
      </c>
      <c r="F2313" s="4" t="str">
        <f>HYPERLINK("http://141.218.60.56/~jnz1568/getInfo.php?workbook=18_08.xlsx&amp;sheet=A0&amp;row=2313&amp;col=6&amp;number=0.004713&amp;sourceID=14","0.004713")</f>
        <v>0.004713</v>
      </c>
      <c r="G2313" s="4" t="str">
        <f>HYPERLINK("http://141.218.60.56/~jnz1568/getInfo.php?workbook=18_08.xlsx&amp;sheet=A0&amp;row=2313&amp;col=7&amp;number=0&amp;sourceID=14","0")</f>
        <v>0</v>
      </c>
    </row>
    <row r="2314" spans="1:7">
      <c r="A2314" s="3">
        <v>18</v>
      </c>
      <c r="B2314" s="3">
        <v>8</v>
      </c>
      <c r="C2314" s="3">
        <v>58</v>
      </c>
      <c r="D2314" s="3">
        <v>44</v>
      </c>
      <c r="E2314" s="3">
        <v>-775.922</v>
      </c>
      <c r="F2314" s="4" t="str">
        <f>HYPERLINK("http://141.218.60.56/~jnz1568/getInfo.php?workbook=18_08.xlsx&amp;sheet=A0&amp;row=2314&amp;col=6&amp;number=1350000&amp;sourceID=14","1350000")</f>
        <v>1350000</v>
      </c>
      <c r="G2314" s="4" t="str">
        <f>HYPERLINK("http://141.218.60.56/~jnz1568/getInfo.php?workbook=18_08.xlsx&amp;sheet=A0&amp;row=2314&amp;col=7&amp;number=0&amp;sourceID=14","0")</f>
        <v>0</v>
      </c>
    </row>
    <row r="2315" spans="1:7">
      <c r="A2315" s="3">
        <v>18</v>
      </c>
      <c r="B2315" s="3">
        <v>8</v>
      </c>
      <c r="C2315" s="3">
        <v>60</v>
      </c>
      <c r="D2315" s="3">
        <v>44</v>
      </c>
      <c r="E2315" s="3">
        <v>-728.559</v>
      </c>
      <c r="F2315" s="4" t="str">
        <f>HYPERLINK("http://141.218.60.56/~jnz1568/getInfo.php?workbook=18_08.xlsx&amp;sheet=A0&amp;row=2315&amp;col=6&amp;number=0.0005981&amp;sourceID=14","0.0005981")</f>
        <v>0.0005981</v>
      </c>
      <c r="G2315" s="4" t="str">
        <f>HYPERLINK("http://141.218.60.56/~jnz1568/getInfo.php?workbook=18_08.xlsx&amp;sheet=A0&amp;row=2315&amp;col=7&amp;number=0&amp;sourceID=14","0")</f>
        <v>0</v>
      </c>
    </row>
    <row r="2316" spans="1:7">
      <c r="A2316" s="3">
        <v>18</v>
      </c>
      <c r="B2316" s="3">
        <v>8</v>
      </c>
      <c r="C2316" s="3">
        <v>64</v>
      </c>
      <c r="D2316" s="3">
        <v>44</v>
      </c>
      <c r="E2316" s="3">
        <v>-643.642</v>
      </c>
      <c r="F2316" s="4" t="str">
        <f>HYPERLINK("http://141.218.60.56/~jnz1568/getInfo.php?workbook=18_08.xlsx&amp;sheet=A0&amp;row=2316&amp;col=6&amp;number=55150000&amp;sourceID=14","55150000")</f>
        <v>55150000</v>
      </c>
      <c r="G2316" s="4" t="str">
        <f>HYPERLINK("http://141.218.60.56/~jnz1568/getInfo.php?workbook=18_08.xlsx&amp;sheet=A0&amp;row=2316&amp;col=7&amp;number=0&amp;sourceID=14","0")</f>
        <v>0</v>
      </c>
    </row>
    <row r="2317" spans="1:7">
      <c r="A2317" s="3">
        <v>18</v>
      </c>
      <c r="B2317" s="3">
        <v>8</v>
      </c>
      <c r="C2317" s="3">
        <v>65</v>
      </c>
      <c r="D2317" s="3">
        <v>44</v>
      </c>
      <c r="E2317" s="3">
        <v>-795.562</v>
      </c>
      <c r="F2317" s="4" t="str">
        <f>HYPERLINK("http://141.218.60.56/~jnz1568/getInfo.php?workbook=18_08.xlsx&amp;sheet=A0&amp;row=2317&amp;col=6&amp;number=477.1&amp;sourceID=14","477.1")</f>
        <v>477.1</v>
      </c>
      <c r="G2317" s="4" t="str">
        <f>HYPERLINK("http://141.218.60.56/~jnz1568/getInfo.php?workbook=18_08.xlsx&amp;sheet=A0&amp;row=2317&amp;col=7&amp;number=0&amp;sourceID=14","0")</f>
        <v>0</v>
      </c>
    </row>
    <row r="2318" spans="1:7">
      <c r="A2318" s="3">
        <v>18</v>
      </c>
      <c r="B2318" s="3">
        <v>8</v>
      </c>
      <c r="C2318" s="3">
        <v>66</v>
      </c>
      <c r="D2318" s="3">
        <v>44</v>
      </c>
      <c r="E2318" s="3">
        <v>-651.315</v>
      </c>
      <c r="F2318" s="4" t="str">
        <f>HYPERLINK("http://141.218.60.56/~jnz1568/getInfo.php?workbook=18_08.xlsx&amp;sheet=A0&amp;row=2318&amp;col=6&amp;number=452600000&amp;sourceID=14","452600000")</f>
        <v>452600000</v>
      </c>
      <c r="G2318" s="4" t="str">
        <f>HYPERLINK("http://141.218.60.56/~jnz1568/getInfo.php?workbook=18_08.xlsx&amp;sheet=A0&amp;row=2318&amp;col=7&amp;number=0&amp;sourceID=14","0")</f>
        <v>0</v>
      </c>
    </row>
    <row r="2319" spans="1:7">
      <c r="A2319" s="3">
        <v>18</v>
      </c>
      <c r="B2319" s="3">
        <v>8</v>
      </c>
      <c r="C2319" s="3">
        <v>67</v>
      </c>
      <c r="D2319" s="3">
        <v>44</v>
      </c>
      <c r="E2319" s="3">
        <v>-685.061</v>
      </c>
      <c r="F2319" s="4" t="str">
        <f>HYPERLINK("http://141.218.60.56/~jnz1568/getInfo.php?workbook=18_08.xlsx&amp;sheet=A0&amp;row=2319&amp;col=6&amp;number=71030000&amp;sourceID=14","71030000")</f>
        <v>71030000</v>
      </c>
      <c r="G2319" s="4" t="str">
        <f>HYPERLINK("http://141.218.60.56/~jnz1568/getInfo.php?workbook=18_08.xlsx&amp;sheet=A0&amp;row=2319&amp;col=7&amp;number=0&amp;sourceID=14","0")</f>
        <v>0</v>
      </c>
    </row>
    <row r="2320" spans="1:7">
      <c r="A2320" s="3">
        <v>18</v>
      </c>
      <c r="B2320" s="3">
        <v>8</v>
      </c>
      <c r="C2320" s="3">
        <v>68</v>
      </c>
      <c r="D2320" s="3">
        <v>44</v>
      </c>
      <c r="E2320" s="3">
        <v>-640.29</v>
      </c>
      <c r="F2320" s="4" t="str">
        <f>HYPERLINK("http://141.218.60.56/~jnz1568/getInfo.php?workbook=18_08.xlsx&amp;sheet=A0&amp;row=2320&amp;col=6&amp;number=0.003619&amp;sourceID=14","0.003619")</f>
        <v>0.003619</v>
      </c>
      <c r="G2320" s="4" t="str">
        <f>HYPERLINK("http://141.218.60.56/~jnz1568/getInfo.php?workbook=18_08.xlsx&amp;sheet=A0&amp;row=2320&amp;col=7&amp;number=0&amp;sourceID=14","0")</f>
        <v>0</v>
      </c>
    </row>
    <row r="2321" spans="1:7">
      <c r="A2321" s="3">
        <v>18</v>
      </c>
      <c r="B2321" s="3">
        <v>8</v>
      </c>
      <c r="C2321" s="3">
        <v>69</v>
      </c>
      <c r="D2321" s="3">
        <v>44</v>
      </c>
      <c r="E2321" s="3">
        <v>-610.487</v>
      </c>
      <c r="F2321" s="4" t="str">
        <f>HYPERLINK("http://141.218.60.56/~jnz1568/getInfo.php?workbook=18_08.xlsx&amp;sheet=A0&amp;row=2321&amp;col=6&amp;number=263000000&amp;sourceID=14","263000000")</f>
        <v>263000000</v>
      </c>
      <c r="G2321" s="4" t="str">
        <f>HYPERLINK("http://141.218.60.56/~jnz1568/getInfo.php?workbook=18_08.xlsx&amp;sheet=A0&amp;row=2321&amp;col=7&amp;number=0&amp;sourceID=14","0")</f>
        <v>0</v>
      </c>
    </row>
    <row r="2322" spans="1:7">
      <c r="A2322" s="3">
        <v>18</v>
      </c>
      <c r="B2322" s="3">
        <v>8</v>
      </c>
      <c r="C2322" s="3">
        <v>70</v>
      </c>
      <c r="D2322" s="3">
        <v>44</v>
      </c>
      <c r="E2322" s="3">
        <v>-595.783</v>
      </c>
      <c r="F2322" s="4" t="str">
        <f>HYPERLINK("http://141.218.60.56/~jnz1568/getInfo.php?workbook=18_08.xlsx&amp;sheet=A0&amp;row=2322&amp;col=6&amp;number=827600000&amp;sourceID=14","827600000")</f>
        <v>827600000</v>
      </c>
      <c r="G2322" s="4" t="str">
        <f>HYPERLINK("http://141.218.60.56/~jnz1568/getInfo.php?workbook=18_08.xlsx&amp;sheet=A0&amp;row=2322&amp;col=7&amp;number=0&amp;sourceID=14","0")</f>
        <v>0</v>
      </c>
    </row>
    <row r="2323" spans="1:7">
      <c r="A2323" s="3">
        <v>18</v>
      </c>
      <c r="B2323" s="3">
        <v>8</v>
      </c>
      <c r="C2323" s="3">
        <v>71</v>
      </c>
      <c r="D2323" s="3">
        <v>44</v>
      </c>
      <c r="E2323" s="3">
        <v>-593.456</v>
      </c>
      <c r="F2323" s="4" t="str">
        <f>HYPERLINK("http://141.218.60.56/~jnz1568/getInfo.php?workbook=18_08.xlsx&amp;sheet=A0&amp;row=2323&amp;col=6&amp;number=158100000&amp;sourceID=14","158100000")</f>
        <v>158100000</v>
      </c>
      <c r="G2323" s="4" t="str">
        <f>HYPERLINK("http://141.218.60.56/~jnz1568/getInfo.php?workbook=18_08.xlsx&amp;sheet=A0&amp;row=2323&amp;col=7&amp;number=0&amp;sourceID=14","0")</f>
        <v>0</v>
      </c>
    </row>
    <row r="2324" spans="1:7">
      <c r="A2324" s="3">
        <v>18</v>
      </c>
      <c r="B2324" s="3">
        <v>8</v>
      </c>
      <c r="C2324" s="3">
        <v>72</v>
      </c>
      <c r="D2324" s="3">
        <v>44</v>
      </c>
      <c r="E2324" s="3">
        <v>-618.224</v>
      </c>
      <c r="F2324" s="4" t="str">
        <f>HYPERLINK("http://141.218.60.56/~jnz1568/getInfo.php?workbook=18_08.xlsx&amp;sheet=A0&amp;row=2324&amp;col=6&amp;number=29340000&amp;sourceID=14","29340000")</f>
        <v>29340000</v>
      </c>
      <c r="G2324" s="4" t="str">
        <f>HYPERLINK("http://141.218.60.56/~jnz1568/getInfo.php?workbook=18_08.xlsx&amp;sheet=A0&amp;row=2324&amp;col=7&amp;number=0&amp;sourceID=14","0")</f>
        <v>0</v>
      </c>
    </row>
    <row r="2325" spans="1:7">
      <c r="A2325" s="3">
        <v>18</v>
      </c>
      <c r="B2325" s="3">
        <v>8</v>
      </c>
      <c r="C2325" s="3">
        <v>73</v>
      </c>
      <c r="D2325" s="3">
        <v>44</v>
      </c>
      <c r="E2325" s="3">
        <v>-577.82</v>
      </c>
      <c r="F2325" s="4" t="str">
        <f>HYPERLINK("http://141.218.60.56/~jnz1568/getInfo.php?workbook=18_08.xlsx&amp;sheet=A0&amp;row=2325&amp;col=6&amp;number=753000000&amp;sourceID=14","753000000")</f>
        <v>753000000</v>
      </c>
      <c r="G2325" s="4" t="str">
        <f>HYPERLINK("http://141.218.60.56/~jnz1568/getInfo.php?workbook=18_08.xlsx&amp;sheet=A0&amp;row=2325&amp;col=7&amp;number=0&amp;sourceID=14","0")</f>
        <v>0</v>
      </c>
    </row>
    <row r="2326" spans="1:7">
      <c r="A2326" s="3">
        <v>18</v>
      </c>
      <c r="B2326" s="3">
        <v>8</v>
      </c>
      <c r="C2326" s="3">
        <v>74</v>
      </c>
      <c r="D2326" s="3">
        <v>44</v>
      </c>
      <c r="E2326" s="3">
        <v>-533.389</v>
      </c>
      <c r="F2326" s="4" t="str">
        <f>HYPERLINK("http://141.218.60.56/~jnz1568/getInfo.php?workbook=18_08.xlsx&amp;sheet=A0&amp;row=2326&amp;col=6&amp;number=2.898e-05&amp;sourceID=14","2.898e-05")</f>
        <v>2.898e-05</v>
      </c>
      <c r="G2326" s="4" t="str">
        <f>HYPERLINK("http://141.218.60.56/~jnz1568/getInfo.php?workbook=18_08.xlsx&amp;sheet=A0&amp;row=2326&amp;col=7&amp;number=0&amp;sourceID=14","0")</f>
        <v>0</v>
      </c>
    </row>
    <row r="2327" spans="1:7">
      <c r="A2327" s="3">
        <v>18</v>
      </c>
      <c r="B2327" s="3">
        <v>8</v>
      </c>
      <c r="C2327" s="3">
        <v>75</v>
      </c>
      <c r="D2327" s="3">
        <v>44</v>
      </c>
      <c r="E2327" s="3">
        <v>-523.751</v>
      </c>
      <c r="F2327" s="4" t="str">
        <f>HYPERLINK("http://141.218.60.56/~jnz1568/getInfo.php?workbook=18_08.xlsx&amp;sheet=A0&amp;row=2327&amp;col=6&amp;number=20750000&amp;sourceID=14","20750000")</f>
        <v>20750000</v>
      </c>
      <c r="G2327" s="4" t="str">
        <f>HYPERLINK("http://141.218.60.56/~jnz1568/getInfo.php?workbook=18_08.xlsx&amp;sheet=A0&amp;row=2327&amp;col=7&amp;number=0&amp;sourceID=14","0")</f>
        <v>0</v>
      </c>
    </row>
    <row r="2328" spans="1:7">
      <c r="A2328" s="3">
        <v>18</v>
      </c>
      <c r="B2328" s="3">
        <v>8</v>
      </c>
      <c r="C2328" s="3">
        <v>77</v>
      </c>
      <c r="D2328" s="3">
        <v>44</v>
      </c>
      <c r="E2328" s="3">
        <v>-517.553</v>
      </c>
      <c r="F2328" s="4" t="str">
        <f>HYPERLINK("http://141.218.60.56/~jnz1568/getInfo.php?workbook=18_08.xlsx&amp;sheet=A0&amp;row=2328&amp;col=6&amp;number=0.008042&amp;sourceID=14","0.008042")</f>
        <v>0.008042</v>
      </c>
      <c r="G2328" s="4" t="str">
        <f>HYPERLINK("http://141.218.60.56/~jnz1568/getInfo.php?workbook=18_08.xlsx&amp;sheet=A0&amp;row=2328&amp;col=7&amp;number=0&amp;sourceID=14","0")</f>
        <v>0</v>
      </c>
    </row>
    <row r="2329" spans="1:7">
      <c r="A2329" s="3">
        <v>18</v>
      </c>
      <c r="B2329" s="3">
        <v>8</v>
      </c>
      <c r="C2329" s="3">
        <v>78</v>
      </c>
      <c r="D2329" s="3">
        <v>44</v>
      </c>
      <c r="E2329" s="3">
        <v>-521.504</v>
      </c>
      <c r="F2329" s="4" t="str">
        <f>HYPERLINK("http://141.218.60.56/~jnz1568/getInfo.php?workbook=18_08.xlsx&amp;sheet=A0&amp;row=2329&amp;col=6&amp;number=1744000000&amp;sourceID=14","1744000000")</f>
        <v>1744000000</v>
      </c>
      <c r="G2329" s="4" t="str">
        <f>HYPERLINK("http://141.218.60.56/~jnz1568/getInfo.php?workbook=18_08.xlsx&amp;sheet=A0&amp;row=2329&amp;col=7&amp;number=0&amp;sourceID=14","0")</f>
        <v>0</v>
      </c>
    </row>
    <row r="2330" spans="1:7">
      <c r="A2330" s="3">
        <v>18</v>
      </c>
      <c r="B2330" s="3">
        <v>8</v>
      </c>
      <c r="C2330" s="3">
        <v>79</v>
      </c>
      <c r="D2330" s="3">
        <v>44</v>
      </c>
      <c r="E2330" s="3">
        <v>-513.506</v>
      </c>
      <c r="F2330" s="4" t="str">
        <f>HYPERLINK("http://141.218.60.56/~jnz1568/getInfo.php?workbook=18_08.xlsx&amp;sheet=A0&amp;row=2330&amp;col=6&amp;number=1097000000&amp;sourceID=14","1097000000")</f>
        <v>1097000000</v>
      </c>
      <c r="G2330" s="4" t="str">
        <f>HYPERLINK("http://141.218.60.56/~jnz1568/getInfo.php?workbook=18_08.xlsx&amp;sheet=A0&amp;row=2330&amp;col=7&amp;number=0&amp;sourceID=14","0")</f>
        <v>0</v>
      </c>
    </row>
    <row r="2331" spans="1:7">
      <c r="A2331" s="3">
        <v>18</v>
      </c>
      <c r="B2331" s="3">
        <v>8</v>
      </c>
      <c r="C2331" s="3">
        <v>80</v>
      </c>
      <c r="D2331" s="3">
        <v>44</v>
      </c>
      <c r="E2331" s="3">
        <v>-508.448</v>
      </c>
      <c r="F2331" s="4" t="str">
        <f>HYPERLINK("http://141.218.60.56/~jnz1568/getInfo.php?workbook=18_08.xlsx&amp;sheet=A0&amp;row=2331&amp;col=6&amp;number=599700000&amp;sourceID=14","599700000")</f>
        <v>599700000</v>
      </c>
      <c r="G2331" s="4" t="str">
        <f>HYPERLINK("http://141.218.60.56/~jnz1568/getInfo.php?workbook=18_08.xlsx&amp;sheet=A0&amp;row=2331&amp;col=7&amp;number=0&amp;sourceID=14","0")</f>
        <v>0</v>
      </c>
    </row>
    <row r="2332" spans="1:7">
      <c r="A2332" s="3">
        <v>18</v>
      </c>
      <c r="B2332" s="3">
        <v>8</v>
      </c>
      <c r="C2332" s="3">
        <v>81</v>
      </c>
      <c r="D2332" s="3">
        <v>44</v>
      </c>
      <c r="E2332" s="3">
        <v>-483.076</v>
      </c>
      <c r="F2332" s="4" t="str">
        <f>HYPERLINK("http://141.218.60.56/~jnz1568/getInfo.php?workbook=18_08.xlsx&amp;sheet=A0&amp;row=2332&amp;col=6&amp;number=67160000&amp;sourceID=14","67160000")</f>
        <v>67160000</v>
      </c>
      <c r="G2332" s="4" t="str">
        <f>HYPERLINK("http://141.218.60.56/~jnz1568/getInfo.php?workbook=18_08.xlsx&amp;sheet=A0&amp;row=2332&amp;col=7&amp;number=0&amp;sourceID=14","0")</f>
        <v>0</v>
      </c>
    </row>
    <row r="2333" spans="1:7">
      <c r="A2333" s="3">
        <v>18</v>
      </c>
      <c r="B2333" s="3">
        <v>8</v>
      </c>
      <c r="C2333" s="3">
        <v>82</v>
      </c>
      <c r="D2333" s="3">
        <v>44</v>
      </c>
      <c r="E2333" s="3">
        <v>-475.564</v>
      </c>
      <c r="F2333" s="4" t="str">
        <f>HYPERLINK("http://141.218.60.56/~jnz1568/getInfo.php?workbook=18_08.xlsx&amp;sheet=A0&amp;row=2333&amp;col=6&amp;number=0.1694&amp;sourceID=14","0.1694")</f>
        <v>0.1694</v>
      </c>
      <c r="G2333" s="4" t="str">
        <f>HYPERLINK("http://141.218.60.56/~jnz1568/getInfo.php?workbook=18_08.xlsx&amp;sheet=A0&amp;row=2333&amp;col=7&amp;number=0&amp;sourceID=14","0")</f>
        <v>0</v>
      </c>
    </row>
    <row r="2334" spans="1:7">
      <c r="A2334" s="3">
        <v>18</v>
      </c>
      <c r="B2334" s="3">
        <v>8</v>
      </c>
      <c r="C2334" s="3">
        <v>83</v>
      </c>
      <c r="D2334" s="3">
        <v>44</v>
      </c>
      <c r="E2334" s="3">
        <v>-475.081</v>
      </c>
      <c r="F2334" s="4" t="str">
        <f>HYPERLINK("http://141.218.60.56/~jnz1568/getInfo.php?workbook=18_08.xlsx&amp;sheet=A0&amp;row=2334&amp;col=6&amp;number=63790000&amp;sourceID=14","63790000")</f>
        <v>63790000</v>
      </c>
      <c r="G2334" s="4" t="str">
        <f>HYPERLINK("http://141.218.60.56/~jnz1568/getInfo.php?workbook=18_08.xlsx&amp;sheet=A0&amp;row=2334&amp;col=7&amp;number=0&amp;sourceID=14","0")</f>
        <v>0</v>
      </c>
    </row>
    <row r="2335" spans="1:7">
      <c r="A2335" s="3">
        <v>18</v>
      </c>
      <c r="B2335" s="3">
        <v>8</v>
      </c>
      <c r="C2335" s="3">
        <v>84</v>
      </c>
      <c r="D2335" s="3">
        <v>44</v>
      </c>
      <c r="E2335" s="3">
        <v>-447.951</v>
      </c>
      <c r="F2335" s="4" t="str">
        <f>HYPERLINK("http://141.218.60.56/~jnz1568/getInfo.php?workbook=18_08.xlsx&amp;sheet=A0&amp;row=2335&amp;col=6&amp;number=16020000&amp;sourceID=14","16020000")</f>
        <v>16020000</v>
      </c>
      <c r="G2335" s="4" t="str">
        <f>HYPERLINK("http://141.218.60.56/~jnz1568/getInfo.php?workbook=18_08.xlsx&amp;sheet=A0&amp;row=2335&amp;col=7&amp;number=0&amp;sourceID=14","0")</f>
        <v>0</v>
      </c>
    </row>
    <row r="2336" spans="1:7">
      <c r="A2336" s="3">
        <v>18</v>
      </c>
      <c r="B2336" s="3">
        <v>8</v>
      </c>
      <c r="C2336" s="3">
        <v>85</v>
      </c>
      <c r="D2336" s="3">
        <v>44</v>
      </c>
      <c r="E2336" s="3">
        <v>-440.74</v>
      </c>
      <c r="F2336" s="4" t="str">
        <f>HYPERLINK("http://141.218.60.56/~jnz1568/getInfo.php?workbook=18_08.xlsx&amp;sheet=A0&amp;row=2336&amp;col=6&amp;number=0.001643&amp;sourceID=14","0.001643")</f>
        <v>0.001643</v>
      </c>
      <c r="G2336" s="4" t="str">
        <f>HYPERLINK("http://141.218.60.56/~jnz1568/getInfo.php?workbook=18_08.xlsx&amp;sheet=A0&amp;row=2336&amp;col=7&amp;number=0&amp;sourceID=14","0")</f>
        <v>0</v>
      </c>
    </row>
    <row r="2337" spans="1:7">
      <c r="A2337" s="3">
        <v>18</v>
      </c>
      <c r="B2337" s="3">
        <v>8</v>
      </c>
      <c r="C2337" s="3">
        <v>86</v>
      </c>
      <c r="D2337" s="3">
        <v>44</v>
      </c>
      <c r="E2337" s="3">
        <v>-387.786</v>
      </c>
      <c r="F2337" s="4" t="str">
        <f>HYPERLINK("http://141.218.60.56/~jnz1568/getInfo.php?workbook=18_08.xlsx&amp;sheet=A0&amp;row=2337&amp;col=6&amp;number=18190000&amp;sourceID=14","18190000")</f>
        <v>18190000</v>
      </c>
      <c r="G2337" s="4" t="str">
        <f>HYPERLINK("http://141.218.60.56/~jnz1568/getInfo.php?workbook=18_08.xlsx&amp;sheet=A0&amp;row=2337&amp;col=7&amp;number=0&amp;sourceID=14","0")</f>
        <v>0</v>
      </c>
    </row>
    <row r="2338" spans="1:7">
      <c r="A2338" s="3">
        <v>18</v>
      </c>
      <c r="B2338" s="3">
        <v>8</v>
      </c>
      <c r="C2338" s="3">
        <v>46</v>
      </c>
      <c r="D2338" s="3">
        <v>45</v>
      </c>
      <c r="E2338" s="3">
        <v>-9221.291</v>
      </c>
      <c r="F2338" s="4" t="str">
        <f>HYPERLINK("http://141.218.60.56/~jnz1568/getInfo.php?workbook=18_08.xlsx&amp;sheet=A0&amp;row=2338&amp;col=6&amp;number=1.694&amp;sourceID=14","1.694")</f>
        <v>1.694</v>
      </c>
      <c r="G2338" s="4" t="str">
        <f>HYPERLINK("http://141.218.60.56/~jnz1568/getInfo.php?workbook=18_08.xlsx&amp;sheet=A0&amp;row=2338&amp;col=7&amp;number=0&amp;sourceID=14","0")</f>
        <v>0</v>
      </c>
    </row>
    <row r="2339" spans="1:7">
      <c r="A2339" s="3">
        <v>18</v>
      </c>
      <c r="B2339" s="3">
        <v>8</v>
      </c>
      <c r="C2339" s="3">
        <v>47</v>
      </c>
      <c r="D2339" s="3">
        <v>45</v>
      </c>
      <c r="E2339" s="3">
        <v>-18072.568</v>
      </c>
      <c r="F2339" s="4" t="str">
        <f>HYPERLINK("http://141.218.60.56/~jnz1568/getInfo.php?workbook=18_08.xlsx&amp;sheet=A0&amp;row=2339&amp;col=6&amp;number=4.701e-07&amp;sourceID=14","4.701e-07")</f>
        <v>4.701e-07</v>
      </c>
      <c r="G2339" s="4" t="str">
        <f>HYPERLINK("http://141.218.60.56/~jnz1568/getInfo.php?workbook=18_08.xlsx&amp;sheet=A0&amp;row=2339&amp;col=7&amp;number=0&amp;sourceID=14","0")</f>
        <v>0</v>
      </c>
    </row>
    <row r="2340" spans="1:7">
      <c r="A2340" s="3">
        <v>18</v>
      </c>
      <c r="B2340" s="3">
        <v>8</v>
      </c>
      <c r="C2340" s="3">
        <v>48</v>
      </c>
      <c r="D2340" s="3">
        <v>45</v>
      </c>
      <c r="E2340" s="3">
        <v>-6630.334</v>
      </c>
      <c r="F2340" s="4" t="str">
        <f>HYPERLINK("http://141.218.60.56/~jnz1568/getInfo.php?workbook=18_08.xlsx&amp;sheet=A0&amp;row=2340&amp;col=6&amp;number=2.624&amp;sourceID=14","2.624")</f>
        <v>2.624</v>
      </c>
      <c r="G2340" s="4" t="str">
        <f>HYPERLINK("http://141.218.60.56/~jnz1568/getInfo.php?workbook=18_08.xlsx&amp;sheet=A0&amp;row=2340&amp;col=7&amp;number=0&amp;sourceID=14","0")</f>
        <v>0</v>
      </c>
    </row>
    <row r="2341" spans="1:7">
      <c r="A2341" s="3">
        <v>18</v>
      </c>
      <c r="B2341" s="3">
        <v>8</v>
      </c>
      <c r="C2341" s="3">
        <v>49</v>
      </c>
      <c r="D2341" s="3">
        <v>45</v>
      </c>
      <c r="E2341" s="3">
        <v>-3908.226</v>
      </c>
      <c r="F2341" s="4" t="str">
        <f>HYPERLINK("http://141.218.60.56/~jnz1568/getInfo.php?workbook=18_08.xlsx&amp;sheet=A0&amp;row=2341&amp;col=6&amp;number=7.592&amp;sourceID=14","7.592")</f>
        <v>7.592</v>
      </c>
      <c r="G2341" s="4" t="str">
        <f>HYPERLINK("http://141.218.60.56/~jnz1568/getInfo.php?workbook=18_08.xlsx&amp;sheet=A0&amp;row=2341&amp;col=7&amp;number=0&amp;sourceID=14","0")</f>
        <v>0</v>
      </c>
    </row>
    <row r="2342" spans="1:7">
      <c r="A2342" s="3">
        <v>18</v>
      </c>
      <c r="B2342" s="3">
        <v>8</v>
      </c>
      <c r="C2342" s="3">
        <v>50</v>
      </c>
      <c r="D2342" s="3">
        <v>45</v>
      </c>
      <c r="E2342" s="3">
        <v>-3510.224</v>
      </c>
      <c r="F2342" s="4" t="str">
        <f>HYPERLINK("http://141.218.60.56/~jnz1568/getInfo.php?workbook=18_08.xlsx&amp;sheet=A0&amp;row=2342&amp;col=6&amp;number=6.695&amp;sourceID=14","6.695")</f>
        <v>6.695</v>
      </c>
      <c r="G2342" s="4" t="str">
        <f>HYPERLINK("http://141.218.60.56/~jnz1568/getInfo.php?workbook=18_08.xlsx&amp;sheet=A0&amp;row=2342&amp;col=7&amp;number=0&amp;sourceID=14","0")</f>
        <v>0</v>
      </c>
    </row>
    <row r="2343" spans="1:7">
      <c r="A2343" s="3">
        <v>18</v>
      </c>
      <c r="B2343" s="3">
        <v>8</v>
      </c>
      <c r="C2343" s="3">
        <v>51</v>
      </c>
      <c r="D2343" s="3">
        <v>45</v>
      </c>
      <c r="E2343" s="3">
        <v>-1953.606</v>
      </c>
      <c r="F2343" s="4" t="str">
        <f>HYPERLINK("http://141.218.60.56/~jnz1568/getInfo.php?workbook=18_08.xlsx&amp;sheet=A0&amp;row=2343&amp;col=6&amp;number=87510&amp;sourceID=14","87510")</f>
        <v>87510</v>
      </c>
      <c r="G2343" s="4" t="str">
        <f>HYPERLINK("http://141.218.60.56/~jnz1568/getInfo.php?workbook=18_08.xlsx&amp;sheet=A0&amp;row=2343&amp;col=7&amp;number=0&amp;sourceID=14","0")</f>
        <v>0</v>
      </c>
    </row>
    <row r="2344" spans="1:7">
      <c r="A2344" s="3">
        <v>18</v>
      </c>
      <c r="B2344" s="3">
        <v>8</v>
      </c>
      <c r="C2344" s="3">
        <v>52</v>
      </c>
      <c r="D2344" s="3">
        <v>45</v>
      </c>
      <c r="E2344" s="3">
        <v>-1916.508</v>
      </c>
      <c r="F2344" s="4" t="str">
        <f>HYPERLINK("http://141.218.60.56/~jnz1568/getInfo.php?workbook=18_08.xlsx&amp;sheet=A0&amp;row=2344&amp;col=6&amp;number=857100&amp;sourceID=14","857100")</f>
        <v>857100</v>
      </c>
      <c r="G2344" s="4" t="str">
        <f>HYPERLINK("http://141.218.60.56/~jnz1568/getInfo.php?workbook=18_08.xlsx&amp;sheet=A0&amp;row=2344&amp;col=7&amp;number=0&amp;sourceID=14","0")</f>
        <v>0</v>
      </c>
    </row>
    <row r="2345" spans="1:7">
      <c r="A2345" s="3">
        <v>18</v>
      </c>
      <c r="B2345" s="3">
        <v>8</v>
      </c>
      <c r="C2345" s="3">
        <v>53</v>
      </c>
      <c r="D2345" s="3">
        <v>45</v>
      </c>
      <c r="E2345" s="3">
        <v>-3348.726</v>
      </c>
      <c r="F2345" s="4" t="str">
        <f>HYPERLINK("http://141.218.60.56/~jnz1568/getInfo.php?workbook=18_08.xlsx&amp;sheet=A0&amp;row=2345&amp;col=6&amp;number=2.031&amp;sourceID=14","2.031")</f>
        <v>2.031</v>
      </c>
      <c r="G2345" s="4" t="str">
        <f>HYPERLINK("http://141.218.60.56/~jnz1568/getInfo.php?workbook=18_08.xlsx&amp;sheet=A0&amp;row=2345&amp;col=7&amp;number=0&amp;sourceID=14","0")</f>
        <v>0</v>
      </c>
    </row>
    <row r="2346" spans="1:7">
      <c r="A2346" s="3">
        <v>18</v>
      </c>
      <c r="B2346" s="3">
        <v>8</v>
      </c>
      <c r="C2346" s="3">
        <v>54</v>
      </c>
      <c r="D2346" s="3">
        <v>45</v>
      </c>
      <c r="E2346" s="3">
        <v>-1884.395</v>
      </c>
      <c r="F2346" s="4" t="str">
        <f>HYPERLINK("http://141.218.60.56/~jnz1568/getInfo.php?workbook=18_08.xlsx&amp;sheet=A0&amp;row=2346&amp;col=6&amp;number=5.467e-06&amp;sourceID=14","5.467e-06")</f>
        <v>5.467e-06</v>
      </c>
      <c r="G2346" s="4" t="str">
        <f>HYPERLINK("http://141.218.60.56/~jnz1568/getInfo.php?workbook=18_08.xlsx&amp;sheet=A0&amp;row=2346&amp;col=7&amp;number=0&amp;sourceID=14","0")</f>
        <v>0</v>
      </c>
    </row>
    <row r="2347" spans="1:7">
      <c r="A2347" s="3">
        <v>18</v>
      </c>
      <c r="B2347" s="3">
        <v>8</v>
      </c>
      <c r="C2347" s="3">
        <v>55</v>
      </c>
      <c r="D2347" s="3">
        <v>45</v>
      </c>
      <c r="E2347" s="3">
        <v>-1680.801</v>
      </c>
      <c r="F2347" s="4" t="str">
        <f>HYPERLINK("http://141.218.60.56/~jnz1568/getInfo.php?workbook=18_08.xlsx&amp;sheet=A0&amp;row=2347&amp;col=6&amp;number=7.445&amp;sourceID=14","7.445")</f>
        <v>7.445</v>
      </c>
      <c r="G2347" s="4" t="str">
        <f>HYPERLINK("http://141.218.60.56/~jnz1568/getInfo.php?workbook=18_08.xlsx&amp;sheet=A0&amp;row=2347&amp;col=7&amp;number=0&amp;sourceID=14","0")</f>
        <v>0</v>
      </c>
    </row>
    <row r="2348" spans="1:7">
      <c r="A2348" s="3">
        <v>18</v>
      </c>
      <c r="B2348" s="3">
        <v>8</v>
      </c>
      <c r="C2348" s="3">
        <v>56</v>
      </c>
      <c r="D2348" s="3">
        <v>45</v>
      </c>
      <c r="E2348" s="3">
        <v>-930.568</v>
      </c>
      <c r="F2348" s="4" t="str">
        <f>HYPERLINK("http://141.218.60.56/~jnz1568/getInfo.php?workbook=18_08.xlsx&amp;sheet=A0&amp;row=2348&amp;col=6&amp;number=2548000&amp;sourceID=14","2548000")</f>
        <v>2548000</v>
      </c>
      <c r="G2348" s="4" t="str">
        <f>HYPERLINK("http://141.218.60.56/~jnz1568/getInfo.php?workbook=18_08.xlsx&amp;sheet=A0&amp;row=2348&amp;col=7&amp;number=0&amp;sourceID=14","0")</f>
        <v>0</v>
      </c>
    </row>
    <row r="2349" spans="1:7">
      <c r="A2349" s="3">
        <v>18</v>
      </c>
      <c r="B2349" s="3">
        <v>8</v>
      </c>
      <c r="C2349" s="3">
        <v>57</v>
      </c>
      <c r="D2349" s="3">
        <v>45</v>
      </c>
      <c r="E2349" s="3">
        <v>-901.004</v>
      </c>
      <c r="F2349" s="4" t="str">
        <f>HYPERLINK("http://141.218.60.56/~jnz1568/getInfo.php?workbook=18_08.xlsx&amp;sheet=A0&amp;row=2349&amp;col=6&amp;number=0.001157&amp;sourceID=14","0.001157")</f>
        <v>0.001157</v>
      </c>
      <c r="G2349" s="4" t="str">
        <f>HYPERLINK("http://141.218.60.56/~jnz1568/getInfo.php?workbook=18_08.xlsx&amp;sheet=A0&amp;row=2349&amp;col=7&amp;number=0&amp;sourceID=14","0")</f>
        <v>0</v>
      </c>
    </row>
    <row r="2350" spans="1:7">
      <c r="A2350" s="3">
        <v>18</v>
      </c>
      <c r="B2350" s="3">
        <v>8</v>
      </c>
      <c r="C2350" s="3">
        <v>58</v>
      </c>
      <c r="D2350" s="3">
        <v>45</v>
      </c>
      <c r="E2350" s="3">
        <v>-879.408</v>
      </c>
      <c r="F2350" s="4" t="str">
        <f>HYPERLINK("http://141.218.60.56/~jnz1568/getInfo.php?workbook=18_08.xlsx&amp;sheet=A0&amp;row=2350&amp;col=6&amp;number=16570000&amp;sourceID=14","16570000")</f>
        <v>16570000</v>
      </c>
      <c r="G2350" s="4" t="str">
        <f>HYPERLINK("http://141.218.60.56/~jnz1568/getInfo.php?workbook=18_08.xlsx&amp;sheet=A0&amp;row=2350&amp;col=7&amp;number=0&amp;sourceID=14","0")</f>
        <v>0</v>
      </c>
    </row>
    <row r="2351" spans="1:7">
      <c r="A2351" s="3">
        <v>18</v>
      </c>
      <c r="B2351" s="3">
        <v>8</v>
      </c>
      <c r="C2351" s="3">
        <v>60</v>
      </c>
      <c r="D2351" s="3">
        <v>45</v>
      </c>
      <c r="E2351" s="3">
        <v>-819.061</v>
      </c>
      <c r="F2351" s="4" t="str">
        <f>HYPERLINK("http://141.218.60.56/~jnz1568/getInfo.php?workbook=18_08.xlsx&amp;sheet=A0&amp;row=2351&amp;col=6&amp;number=0.0004394&amp;sourceID=14","0.0004394")</f>
        <v>0.0004394</v>
      </c>
      <c r="G2351" s="4" t="str">
        <f>HYPERLINK("http://141.218.60.56/~jnz1568/getInfo.php?workbook=18_08.xlsx&amp;sheet=A0&amp;row=2351&amp;col=7&amp;number=0&amp;sourceID=14","0")</f>
        <v>0</v>
      </c>
    </row>
    <row r="2352" spans="1:7">
      <c r="A2352" s="3">
        <v>18</v>
      </c>
      <c r="B2352" s="3">
        <v>8</v>
      </c>
      <c r="C2352" s="3">
        <v>64</v>
      </c>
      <c r="D2352" s="3">
        <v>45</v>
      </c>
      <c r="E2352" s="3">
        <v>-713.267</v>
      </c>
      <c r="F2352" s="4" t="str">
        <f>HYPERLINK("http://141.218.60.56/~jnz1568/getInfo.php?workbook=18_08.xlsx&amp;sheet=A0&amp;row=2352&amp;col=6&amp;number=12320000&amp;sourceID=14","12320000")</f>
        <v>12320000</v>
      </c>
      <c r="G2352" s="4" t="str">
        <f>HYPERLINK("http://141.218.60.56/~jnz1568/getInfo.php?workbook=18_08.xlsx&amp;sheet=A0&amp;row=2352&amp;col=7&amp;number=0&amp;sourceID=14","0")</f>
        <v>0</v>
      </c>
    </row>
    <row r="2353" spans="1:7">
      <c r="A2353" s="3">
        <v>18</v>
      </c>
      <c r="B2353" s="3">
        <v>8</v>
      </c>
      <c r="C2353" s="3">
        <v>65</v>
      </c>
      <c r="D2353" s="3">
        <v>45</v>
      </c>
      <c r="E2353" s="3">
        <v>-904.722</v>
      </c>
      <c r="F2353" s="4" t="str">
        <f>HYPERLINK("http://141.218.60.56/~jnz1568/getInfo.php?workbook=18_08.xlsx&amp;sheet=A0&amp;row=2353&amp;col=6&amp;number=6.665&amp;sourceID=14","6.665")</f>
        <v>6.665</v>
      </c>
      <c r="G2353" s="4" t="str">
        <f>HYPERLINK("http://141.218.60.56/~jnz1568/getInfo.php?workbook=18_08.xlsx&amp;sheet=A0&amp;row=2353&amp;col=7&amp;number=0&amp;sourceID=14","0")</f>
        <v>0</v>
      </c>
    </row>
    <row r="2354" spans="1:7">
      <c r="A2354" s="3">
        <v>18</v>
      </c>
      <c r="B2354" s="3">
        <v>8</v>
      </c>
      <c r="C2354" s="3">
        <v>66</v>
      </c>
      <c r="D2354" s="3">
        <v>45</v>
      </c>
      <c r="E2354" s="3">
        <v>-722.703</v>
      </c>
      <c r="F2354" s="4" t="str">
        <f>HYPERLINK("http://141.218.60.56/~jnz1568/getInfo.php?workbook=18_08.xlsx&amp;sheet=A0&amp;row=2354&amp;col=6&amp;number=8953000&amp;sourceID=14","8953000")</f>
        <v>8953000</v>
      </c>
      <c r="G2354" s="4" t="str">
        <f>HYPERLINK("http://141.218.60.56/~jnz1568/getInfo.php?workbook=18_08.xlsx&amp;sheet=A0&amp;row=2354&amp;col=7&amp;number=0&amp;sourceID=14","0")</f>
        <v>0</v>
      </c>
    </row>
    <row r="2355" spans="1:7">
      <c r="A2355" s="3">
        <v>18</v>
      </c>
      <c r="B2355" s="3">
        <v>8</v>
      </c>
      <c r="C2355" s="3">
        <v>67</v>
      </c>
      <c r="D2355" s="3">
        <v>45</v>
      </c>
      <c r="E2355" s="3">
        <v>-764.488</v>
      </c>
      <c r="F2355" s="4" t="str">
        <f>HYPERLINK("http://141.218.60.56/~jnz1568/getInfo.php?workbook=18_08.xlsx&amp;sheet=A0&amp;row=2355&amp;col=6&amp;number=627800&amp;sourceID=14","627800")</f>
        <v>627800</v>
      </c>
      <c r="G2355" s="4" t="str">
        <f>HYPERLINK("http://141.218.60.56/~jnz1568/getInfo.php?workbook=18_08.xlsx&amp;sheet=A0&amp;row=2355&amp;col=7&amp;number=0&amp;sourceID=14","0")</f>
        <v>0</v>
      </c>
    </row>
    <row r="2356" spans="1:7">
      <c r="A2356" s="3">
        <v>18</v>
      </c>
      <c r="B2356" s="3">
        <v>8</v>
      </c>
      <c r="C2356" s="3">
        <v>68</v>
      </c>
      <c r="D2356" s="3">
        <v>45</v>
      </c>
      <c r="E2356" s="3">
        <v>-709.154</v>
      </c>
      <c r="F2356" s="4" t="str">
        <f>HYPERLINK("http://141.218.60.56/~jnz1568/getInfo.php?workbook=18_08.xlsx&amp;sheet=A0&amp;row=2356&amp;col=6&amp;number=0.0002463&amp;sourceID=14","0.0002463")</f>
        <v>0.0002463</v>
      </c>
      <c r="G2356" s="4" t="str">
        <f>HYPERLINK("http://141.218.60.56/~jnz1568/getInfo.php?workbook=18_08.xlsx&amp;sheet=A0&amp;row=2356&amp;col=7&amp;number=0&amp;sourceID=14","0")</f>
        <v>0</v>
      </c>
    </row>
    <row r="2357" spans="1:7">
      <c r="A2357" s="3">
        <v>18</v>
      </c>
      <c r="B2357" s="3">
        <v>8</v>
      </c>
      <c r="C2357" s="3">
        <v>69</v>
      </c>
      <c r="D2357" s="3">
        <v>45</v>
      </c>
      <c r="E2357" s="3">
        <v>-672.777</v>
      </c>
      <c r="F2357" s="4" t="str">
        <f>HYPERLINK("http://141.218.60.56/~jnz1568/getInfo.php?workbook=18_08.xlsx&amp;sheet=A0&amp;row=2357&amp;col=6&amp;number=7362000&amp;sourceID=14","7362000")</f>
        <v>7362000</v>
      </c>
      <c r="G2357" s="4" t="str">
        <f>HYPERLINK("http://141.218.60.56/~jnz1568/getInfo.php?workbook=18_08.xlsx&amp;sheet=A0&amp;row=2357&amp;col=7&amp;number=0&amp;sourceID=14","0")</f>
        <v>0</v>
      </c>
    </row>
    <row r="2358" spans="1:7">
      <c r="A2358" s="3">
        <v>18</v>
      </c>
      <c r="B2358" s="3">
        <v>8</v>
      </c>
      <c r="C2358" s="3">
        <v>70</v>
      </c>
      <c r="D2358" s="3">
        <v>45</v>
      </c>
      <c r="E2358" s="3">
        <v>-654.964</v>
      </c>
      <c r="F2358" s="4" t="str">
        <f>HYPERLINK("http://141.218.60.56/~jnz1568/getInfo.php?workbook=18_08.xlsx&amp;sheet=A0&amp;row=2358&amp;col=6&amp;number=56710000&amp;sourceID=14","56710000")</f>
        <v>56710000</v>
      </c>
      <c r="G2358" s="4" t="str">
        <f>HYPERLINK("http://141.218.60.56/~jnz1568/getInfo.php?workbook=18_08.xlsx&amp;sheet=A0&amp;row=2358&amp;col=7&amp;number=0&amp;sourceID=14","0")</f>
        <v>0</v>
      </c>
    </row>
    <row r="2359" spans="1:7">
      <c r="A2359" s="3">
        <v>18</v>
      </c>
      <c r="B2359" s="3">
        <v>8</v>
      </c>
      <c r="C2359" s="3">
        <v>71</v>
      </c>
      <c r="D2359" s="3">
        <v>45</v>
      </c>
      <c r="E2359" s="3">
        <v>-652.153</v>
      </c>
      <c r="F2359" s="4" t="str">
        <f>HYPERLINK("http://141.218.60.56/~jnz1568/getInfo.php?workbook=18_08.xlsx&amp;sheet=A0&amp;row=2359&amp;col=6&amp;number=43570000&amp;sourceID=14","43570000")</f>
        <v>43570000</v>
      </c>
      <c r="G2359" s="4" t="str">
        <f>HYPERLINK("http://141.218.60.56/~jnz1568/getInfo.php?workbook=18_08.xlsx&amp;sheet=A0&amp;row=2359&amp;col=7&amp;number=0&amp;sourceID=14","0")</f>
        <v>0</v>
      </c>
    </row>
    <row r="2360" spans="1:7">
      <c r="A2360" s="3">
        <v>18</v>
      </c>
      <c r="B2360" s="3">
        <v>8</v>
      </c>
      <c r="C2360" s="3">
        <v>72</v>
      </c>
      <c r="D2360" s="3">
        <v>45</v>
      </c>
      <c r="E2360" s="3">
        <v>-682.186</v>
      </c>
      <c r="F2360" s="4" t="str">
        <f>HYPERLINK("http://141.218.60.56/~jnz1568/getInfo.php?workbook=18_08.xlsx&amp;sheet=A0&amp;row=2360&amp;col=6&amp;number=42310000&amp;sourceID=14","42310000")</f>
        <v>42310000</v>
      </c>
      <c r="G2360" s="4" t="str">
        <f>HYPERLINK("http://141.218.60.56/~jnz1568/getInfo.php?workbook=18_08.xlsx&amp;sheet=A0&amp;row=2360&amp;col=7&amp;number=0&amp;sourceID=14","0")</f>
        <v>0</v>
      </c>
    </row>
    <row r="2361" spans="1:7">
      <c r="A2361" s="3">
        <v>18</v>
      </c>
      <c r="B2361" s="3">
        <v>8</v>
      </c>
      <c r="C2361" s="3">
        <v>73</v>
      </c>
      <c r="D2361" s="3">
        <v>45</v>
      </c>
      <c r="E2361" s="3">
        <v>-633.319</v>
      </c>
      <c r="F2361" s="4" t="str">
        <f>HYPERLINK("http://141.218.60.56/~jnz1568/getInfo.php?workbook=18_08.xlsx&amp;sheet=A0&amp;row=2361&amp;col=6&amp;number=1121000&amp;sourceID=14","1121000")</f>
        <v>1121000</v>
      </c>
      <c r="G2361" s="4" t="str">
        <f>HYPERLINK("http://141.218.60.56/~jnz1568/getInfo.php?workbook=18_08.xlsx&amp;sheet=A0&amp;row=2361&amp;col=7&amp;number=0&amp;sourceID=14","0")</f>
        <v>0</v>
      </c>
    </row>
    <row r="2362" spans="1:7">
      <c r="A2362" s="3">
        <v>18</v>
      </c>
      <c r="B2362" s="3">
        <v>8</v>
      </c>
      <c r="C2362" s="3">
        <v>74</v>
      </c>
      <c r="D2362" s="3">
        <v>45</v>
      </c>
      <c r="E2362" s="3">
        <v>-580.335</v>
      </c>
      <c r="F2362" s="4" t="str">
        <f>HYPERLINK("http://141.218.60.56/~jnz1568/getInfo.php?workbook=18_08.xlsx&amp;sheet=A0&amp;row=2362&amp;col=6&amp;number=0.1279&amp;sourceID=14","0.1279")</f>
        <v>0.1279</v>
      </c>
      <c r="G2362" s="4" t="str">
        <f>HYPERLINK("http://141.218.60.56/~jnz1568/getInfo.php?workbook=18_08.xlsx&amp;sheet=A0&amp;row=2362&amp;col=7&amp;number=0&amp;sourceID=14","0")</f>
        <v>0</v>
      </c>
    </row>
    <row r="2363" spans="1:7">
      <c r="A2363" s="3">
        <v>18</v>
      </c>
      <c r="B2363" s="3">
        <v>8</v>
      </c>
      <c r="C2363" s="3">
        <v>75</v>
      </c>
      <c r="D2363" s="3">
        <v>45</v>
      </c>
      <c r="E2363" s="3">
        <v>-568.943</v>
      </c>
      <c r="F2363" s="4" t="str">
        <f>HYPERLINK("http://141.218.60.56/~jnz1568/getInfo.php?workbook=18_08.xlsx&amp;sheet=A0&amp;row=2363&amp;col=6&amp;number=2444000000&amp;sourceID=14","2444000000")</f>
        <v>2444000000</v>
      </c>
      <c r="G2363" s="4" t="str">
        <f>HYPERLINK("http://141.218.60.56/~jnz1568/getInfo.php?workbook=18_08.xlsx&amp;sheet=A0&amp;row=2363&amp;col=7&amp;number=0&amp;sourceID=14","0")</f>
        <v>0</v>
      </c>
    </row>
    <row r="2364" spans="1:7">
      <c r="A2364" s="3">
        <v>18</v>
      </c>
      <c r="B2364" s="3">
        <v>8</v>
      </c>
      <c r="C2364" s="3">
        <v>77</v>
      </c>
      <c r="D2364" s="3">
        <v>45</v>
      </c>
      <c r="E2364" s="3">
        <v>-561.637</v>
      </c>
      <c r="F2364" s="4" t="str">
        <f>HYPERLINK("http://141.218.60.56/~jnz1568/getInfo.php?workbook=18_08.xlsx&amp;sheet=A0&amp;row=2364&amp;col=6&amp;number=0.6829&amp;sourceID=14","0.6829")</f>
        <v>0.6829</v>
      </c>
      <c r="G2364" s="4" t="str">
        <f>HYPERLINK("http://141.218.60.56/~jnz1568/getInfo.php?workbook=18_08.xlsx&amp;sheet=A0&amp;row=2364&amp;col=7&amp;number=0&amp;sourceID=14","0")</f>
        <v>0</v>
      </c>
    </row>
    <row r="2365" spans="1:7">
      <c r="A2365" s="3">
        <v>18</v>
      </c>
      <c r="B2365" s="3">
        <v>8</v>
      </c>
      <c r="C2365" s="3">
        <v>78</v>
      </c>
      <c r="D2365" s="3">
        <v>45</v>
      </c>
      <c r="E2365" s="3">
        <v>-566.293</v>
      </c>
      <c r="F2365" s="4" t="str">
        <f>HYPERLINK("http://141.218.60.56/~jnz1568/getInfo.php?workbook=18_08.xlsx&amp;sheet=A0&amp;row=2365&amp;col=6&amp;number=14420000&amp;sourceID=14","14420000")</f>
        <v>14420000</v>
      </c>
      <c r="G2365" s="4" t="str">
        <f>HYPERLINK("http://141.218.60.56/~jnz1568/getInfo.php?workbook=18_08.xlsx&amp;sheet=A0&amp;row=2365&amp;col=7&amp;number=0&amp;sourceID=14","0")</f>
        <v>0</v>
      </c>
    </row>
    <row r="2366" spans="1:7">
      <c r="A2366" s="3">
        <v>18</v>
      </c>
      <c r="B2366" s="3">
        <v>8</v>
      </c>
      <c r="C2366" s="3">
        <v>79</v>
      </c>
      <c r="D2366" s="3">
        <v>45</v>
      </c>
      <c r="E2366" s="3">
        <v>-556.874</v>
      </c>
      <c r="F2366" s="4" t="str">
        <f>HYPERLINK("http://141.218.60.56/~jnz1568/getInfo.php?workbook=18_08.xlsx&amp;sheet=A0&amp;row=2366&amp;col=6&amp;number=116100000&amp;sourceID=14","116100000")</f>
        <v>116100000</v>
      </c>
      <c r="G2366" s="4" t="str">
        <f>HYPERLINK("http://141.218.60.56/~jnz1568/getInfo.php?workbook=18_08.xlsx&amp;sheet=A0&amp;row=2366&amp;col=7&amp;number=0&amp;sourceID=14","0")</f>
        <v>0</v>
      </c>
    </row>
    <row r="2367" spans="1:7">
      <c r="A2367" s="3">
        <v>18</v>
      </c>
      <c r="B2367" s="3">
        <v>8</v>
      </c>
      <c r="C2367" s="3">
        <v>80</v>
      </c>
      <c r="D2367" s="3">
        <v>45</v>
      </c>
      <c r="E2367" s="3">
        <v>-550.931</v>
      </c>
      <c r="F2367" s="4" t="str">
        <f>HYPERLINK("http://141.218.60.56/~jnz1568/getInfo.php?workbook=18_08.xlsx&amp;sheet=A0&amp;row=2367&amp;col=6&amp;number=113500000&amp;sourceID=14","113500000")</f>
        <v>113500000</v>
      </c>
      <c r="G2367" s="4" t="str">
        <f>HYPERLINK("http://141.218.60.56/~jnz1568/getInfo.php?workbook=18_08.xlsx&amp;sheet=A0&amp;row=2367&amp;col=7&amp;number=0&amp;sourceID=14","0")</f>
        <v>0</v>
      </c>
    </row>
    <row r="2368" spans="1:7">
      <c r="A2368" s="3">
        <v>18</v>
      </c>
      <c r="B2368" s="3">
        <v>8</v>
      </c>
      <c r="C2368" s="3">
        <v>81</v>
      </c>
      <c r="D2368" s="3">
        <v>45</v>
      </c>
      <c r="E2368" s="3">
        <v>-521.266</v>
      </c>
      <c r="F2368" s="4" t="str">
        <f>HYPERLINK("http://141.218.60.56/~jnz1568/getInfo.php?workbook=18_08.xlsx&amp;sheet=A0&amp;row=2368&amp;col=6&amp;number=920300&amp;sourceID=14","920300")</f>
        <v>920300</v>
      </c>
      <c r="G2368" s="4" t="str">
        <f>HYPERLINK("http://141.218.60.56/~jnz1568/getInfo.php?workbook=18_08.xlsx&amp;sheet=A0&amp;row=2368&amp;col=7&amp;number=0&amp;sourceID=14","0")</f>
        <v>0</v>
      </c>
    </row>
    <row r="2369" spans="1:7">
      <c r="A2369" s="3">
        <v>18</v>
      </c>
      <c r="B2369" s="3">
        <v>8</v>
      </c>
      <c r="C2369" s="3">
        <v>82</v>
      </c>
      <c r="D2369" s="3">
        <v>45</v>
      </c>
      <c r="E2369" s="3">
        <v>-512.529</v>
      </c>
      <c r="F2369" s="4" t="str">
        <f>HYPERLINK("http://141.218.60.56/~jnz1568/getInfo.php?workbook=18_08.xlsx&amp;sheet=A0&amp;row=2369&amp;col=6&amp;number=0.009422&amp;sourceID=14","0.009422")</f>
        <v>0.009422</v>
      </c>
      <c r="G2369" s="4" t="str">
        <f>HYPERLINK("http://141.218.60.56/~jnz1568/getInfo.php?workbook=18_08.xlsx&amp;sheet=A0&amp;row=2369&amp;col=7&amp;number=0&amp;sourceID=14","0")</f>
        <v>0</v>
      </c>
    </row>
    <row r="2370" spans="1:7">
      <c r="A2370" s="3">
        <v>18</v>
      </c>
      <c r="B2370" s="3">
        <v>8</v>
      </c>
      <c r="C2370" s="3">
        <v>83</v>
      </c>
      <c r="D2370" s="3">
        <v>45</v>
      </c>
      <c r="E2370" s="3">
        <v>-511.969</v>
      </c>
      <c r="F2370" s="4" t="str">
        <f>HYPERLINK("http://141.218.60.56/~jnz1568/getInfo.php?workbook=18_08.xlsx&amp;sheet=A0&amp;row=2370&amp;col=6&amp;number=783900000&amp;sourceID=14","783900000")</f>
        <v>783900000</v>
      </c>
      <c r="G2370" s="4" t="str">
        <f>HYPERLINK("http://141.218.60.56/~jnz1568/getInfo.php?workbook=18_08.xlsx&amp;sheet=A0&amp;row=2370&amp;col=7&amp;number=0&amp;sourceID=14","0")</f>
        <v>0</v>
      </c>
    </row>
    <row r="2371" spans="1:7">
      <c r="A2371" s="3">
        <v>18</v>
      </c>
      <c r="B2371" s="3">
        <v>8</v>
      </c>
      <c r="C2371" s="3">
        <v>84</v>
      </c>
      <c r="D2371" s="3">
        <v>45</v>
      </c>
      <c r="E2371" s="3">
        <v>-480.602</v>
      </c>
      <c r="F2371" s="4" t="str">
        <f>HYPERLINK("http://141.218.60.56/~jnz1568/getInfo.php?workbook=18_08.xlsx&amp;sheet=A0&amp;row=2371&amp;col=6&amp;number=161600000&amp;sourceID=14","161600000")</f>
        <v>161600000</v>
      </c>
      <c r="G2371" s="4" t="str">
        <f>HYPERLINK("http://141.218.60.56/~jnz1568/getInfo.php?workbook=18_08.xlsx&amp;sheet=A0&amp;row=2371&amp;col=7&amp;number=0&amp;sourceID=14","0")</f>
        <v>0</v>
      </c>
    </row>
    <row r="2372" spans="1:7">
      <c r="A2372" s="3">
        <v>18</v>
      </c>
      <c r="B2372" s="3">
        <v>8</v>
      </c>
      <c r="C2372" s="3">
        <v>85</v>
      </c>
      <c r="D2372" s="3">
        <v>45</v>
      </c>
      <c r="E2372" s="3">
        <v>-472.31</v>
      </c>
      <c r="F2372" s="4" t="str">
        <f>HYPERLINK("http://141.218.60.56/~jnz1568/getInfo.php?workbook=18_08.xlsx&amp;sheet=A0&amp;row=2372&amp;col=6&amp;number=0.5675&amp;sourceID=14","0.5675")</f>
        <v>0.5675</v>
      </c>
      <c r="G2372" s="4" t="str">
        <f>HYPERLINK("http://141.218.60.56/~jnz1568/getInfo.php?workbook=18_08.xlsx&amp;sheet=A0&amp;row=2372&amp;col=7&amp;number=0&amp;sourceID=14","0")</f>
        <v>0</v>
      </c>
    </row>
    <row r="2373" spans="1:7">
      <c r="A2373" s="3">
        <v>18</v>
      </c>
      <c r="B2373" s="3">
        <v>8</v>
      </c>
      <c r="C2373" s="3">
        <v>86</v>
      </c>
      <c r="D2373" s="3">
        <v>45</v>
      </c>
      <c r="E2373" s="3">
        <v>-412.018</v>
      </c>
      <c r="F2373" s="4" t="str">
        <f>HYPERLINK("http://141.218.60.56/~jnz1568/getInfo.php?workbook=18_08.xlsx&amp;sheet=A0&amp;row=2373&amp;col=6&amp;number=260000000&amp;sourceID=14","260000000")</f>
        <v>260000000</v>
      </c>
      <c r="G2373" s="4" t="str">
        <f>HYPERLINK("http://141.218.60.56/~jnz1568/getInfo.php?workbook=18_08.xlsx&amp;sheet=A0&amp;row=2373&amp;col=7&amp;number=0&amp;sourceID=14","0")</f>
        <v>0</v>
      </c>
    </row>
    <row r="2374" spans="1:7">
      <c r="A2374" s="3">
        <v>18</v>
      </c>
      <c r="B2374" s="3">
        <v>8</v>
      </c>
      <c r="C2374" s="3">
        <v>48</v>
      </c>
      <c r="D2374" s="3">
        <v>46</v>
      </c>
      <c r="E2374" s="3">
        <v>-23597.561</v>
      </c>
      <c r="F2374" s="4" t="str">
        <f>HYPERLINK("http://141.218.60.56/~jnz1568/getInfo.php?workbook=18_08.xlsx&amp;sheet=A0&amp;row=2374&amp;col=6&amp;number=0.07578&amp;sourceID=14","0.07578")</f>
        <v>0.07578</v>
      </c>
      <c r="G2374" s="4" t="str">
        <f>HYPERLINK("http://141.218.60.56/~jnz1568/getInfo.php?workbook=18_08.xlsx&amp;sheet=A0&amp;row=2374&amp;col=7&amp;number=0&amp;sourceID=14","0")</f>
        <v>0</v>
      </c>
    </row>
    <row r="2375" spans="1:7">
      <c r="A2375" s="3">
        <v>18</v>
      </c>
      <c r="B2375" s="3">
        <v>8</v>
      </c>
      <c r="C2375" s="3">
        <v>49</v>
      </c>
      <c r="D2375" s="3">
        <v>46</v>
      </c>
      <c r="E2375" s="3">
        <v>-6783.071</v>
      </c>
      <c r="F2375" s="4" t="str">
        <f>HYPERLINK("http://141.218.60.56/~jnz1568/getInfo.php?workbook=18_08.xlsx&amp;sheet=A0&amp;row=2375&amp;col=6&amp;number=16.74&amp;sourceID=14","16.74")</f>
        <v>16.74</v>
      </c>
      <c r="G2375" s="4" t="str">
        <f>HYPERLINK("http://141.218.60.56/~jnz1568/getInfo.php?workbook=18_08.xlsx&amp;sheet=A0&amp;row=2375&amp;col=7&amp;number=0&amp;sourceID=14","0")</f>
        <v>0</v>
      </c>
    </row>
    <row r="2376" spans="1:7">
      <c r="A2376" s="3">
        <v>18</v>
      </c>
      <c r="B2376" s="3">
        <v>8</v>
      </c>
      <c r="C2376" s="3">
        <v>50</v>
      </c>
      <c r="D2376" s="3">
        <v>46</v>
      </c>
      <c r="E2376" s="3">
        <v>-5667.731</v>
      </c>
      <c r="F2376" s="4" t="str">
        <f>HYPERLINK("http://141.218.60.56/~jnz1568/getInfo.php?workbook=18_08.xlsx&amp;sheet=A0&amp;row=2376&amp;col=6&amp;number=21.92&amp;sourceID=14","21.92")</f>
        <v>21.92</v>
      </c>
      <c r="G2376" s="4" t="str">
        <f>HYPERLINK("http://141.218.60.56/~jnz1568/getInfo.php?workbook=18_08.xlsx&amp;sheet=A0&amp;row=2376&amp;col=7&amp;number=0&amp;sourceID=14","0")</f>
        <v>0</v>
      </c>
    </row>
    <row r="2377" spans="1:7">
      <c r="A2377" s="3">
        <v>18</v>
      </c>
      <c r="B2377" s="3">
        <v>8</v>
      </c>
      <c r="C2377" s="3">
        <v>51</v>
      </c>
      <c r="D2377" s="3">
        <v>46</v>
      </c>
      <c r="E2377" s="3">
        <v>-2478.749</v>
      </c>
      <c r="F2377" s="4" t="str">
        <f>HYPERLINK("http://141.218.60.56/~jnz1568/getInfo.php?workbook=18_08.xlsx&amp;sheet=A0&amp;row=2377&amp;col=6&amp;number=23680&amp;sourceID=14","23680")</f>
        <v>23680</v>
      </c>
      <c r="G2377" s="4" t="str">
        <f>HYPERLINK("http://141.218.60.56/~jnz1568/getInfo.php?workbook=18_08.xlsx&amp;sheet=A0&amp;row=2377&amp;col=7&amp;number=0&amp;sourceID=14","0")</f>
        <v>0</v>
      </c>
    </row>
    <row r="2378" spans="1:7">
      <c r="A2378" s="3">
        <v>18</v>
      </c>
      <c r="B2378" s="3">
        <v>8</v>
      </c>
      <c r="C2378" s="3">
        <v>52</v>
      </c>
      <c r="D2378" s="3">
        <v>46</v>
      </c>
      <c r="E2378" s="3">
        <v>-2419.329</v>
      </c>
      <c r="F2378" s="4" t="str">
        <f>HYPERLINK("http://141.218.60.56/~jnz1568/getInfo.php?workbook=18_08.xlsx&amp;sheet=A0&amp;row=2378&amp;col=6&amp;number=9387&amp;sourceID=14","9387")</f>
        <v>9387</v>
      </c>
      <c r="G2378" s="4" t="str">
        <f>HYPERLINK("http://141.218.60.56/~jnz1568/getInfo.php?workbook=18_08.xlsx&amp;sheet=A0&amp;row=2378&amp;col=7&amp;number=0&amp;sourceID=14","0")</f>
        <v>0</v>
      </c>
    </row>
    <row r="2379" spans="1:7">
      <c r="A2379" s="3">
        <v>18</v>
      </c>
      <c r="B2379" s="3">
        <v>8</v>
      </c>
      <c r="C2379" s="3">
        <v>53</v>
      </c>
      <c r="D2379" s="3">
        <v>46</v>
      </c>
      <c r="E2379" s="3">
        <v>-5258.279</v>
      </c>
      <c r="F2379" s="4" t="str">
        <f>HYPERLINK("http://141.218.60.56/~jnz1568/getInfo.php?workbook=18_08.xlsx&amp;sheet=A0&amp;row=2379&amp;col=6&amp;number=0.01111&amp;sourceID=14","0.01111")</f>
        <v>0.01111</v>
      </c>
      <c r="G2379" s="4" t="str">
        <f>HYPERLINK("http://141.218.60.56/~jnz1568/getInfo.php?workbook=18_08.xlsx&amp;sheet=A0&amp;row=2379&amp;col=7&amp;number=0&amp;sourceID=14","0")</f>
        <v>0</v>
      </c>
    </row>
    <row r="2380" spans="1:7">
      <c r="A2380" s="3">
        <v>18</v>
      </c>
      <c r="B2380" s="3">
        <v>8</v>
      </c>
      <c r="C2380" s="3">
        <v>54</v>
      </c>
      <c r="D2380" s="3">
        <v>46</v>
      </c>
      <c r="E2380" s="3">
        <v>-2368.379</v>
      </c>
      <c r="F2380" s="4" t="str">
        <f>HYPERLINK("http://141.218.60.56/~jnz1568/getInfo.php?workbook=18_08.xlsx&amp;sheet=A0&amp;row=2380&amp;col=6&amp;number=48360&amp;sourceID=14","48360")</f>
        <v>48360</v>
      </c>
      <c r="G2380" s="4" t="str">
        <f>HYPERLINK("http://141.218.60.56/~jnz1568/getInfo.php?workbook=18_08.xlsx&amp;sheet=A0&amp;row=2380&amp;col=7&amp;number=0&amp;sourceID=14","0")</f>
        <v>0</v>
      </c>
    </row>
    <row r="2381" spans="1:7">
      <c r="A2381" s="3">
        <v>18</v>
      </c>
      <c r="B2381" s="3">
        <v>8</v>
      </c>
      <c r="C2381" s="3">
        <v>55</v>
      </c>
      <c r="D2381" s="3">
        <v>46</v>
      </c>
      <c r="E2381" s="3">
        <v>-2055.458</v>
      </c>
      <c r="F2381" s="4" t="str">
        <f>HYPERLINK("http://141.218.60.56/~jnz1568/getInfo.php?workbook=18_08.xlsx&amp;sheet=A0&amp;row=2381&amp;col=6&amp;number=33.77&amp;sourceID=14","33.77")</f>
        <v>33.77</v>
      </c>
      <c r="G2381" s="4" t="str">
        <f>HYPERLINK("http://141.218.60.56/~jnz1568/getInfo.php?workbook=18_08.xlsx&amp;sheet=A0&amp;row=2381&amp;col=7&amp;number=0&amp;sourceID=14","0")</f>
        <v>0</v>
      </c>
    </row>
    <row r="2382" spans="1:7">
      <c r="A2382" s="3">
        <v>18</v>
      </c>
      <c r="B2382" s="3">
        <v>8</v>
      </c>
      <c r="C2382" s="3">
        <v>56</v>
      </c>
      <c r="D2382" s="3">
        <v>46</v>
      </c>
      <c r="E2382" s="3">
        <v>-1035.017</v>
      </c>
      <c r="F2382" s="4" t="str">
        <f>HYPERLINK("http://141.218.60.56/~jnz1568/getInfo.php?workbook=18_08.xlsx&amp;sheet=A0&amp;row=2382&amp;col=6&amp;number=767600&amp;sourceID=14","767600")</f>
        <v>767600</v>
      </c>
      <c r="G2382" s="4" t="str">
        <f>HYPERLINK("http://141.218.60.56/~jnz1568/getInfo.php?workbook=18_08.xlsx&amp;sheet=A0&amp;row=2382&amp;col=7&amp;number=0&amp;sourceID=14","0")</f>
        <v>0</v>
      </c>
    </row>
    <row r="2383" spans="1:7">
      <c r="A2383" s="3">
        <v>18</v>
      </c>
      <c r="B2383" s="3">
        <v>8</v>
      </c>
      <c r="C2383" s="3">
        <v>57</v>
      </c>
      <c r="D2383" s="3">
        <v>46</v>
      </c>
      <c r="E2383" s="3">
        <v>-998.573</v>
      </c>
      <c r="F2383" s="4" t="str">
        <f>HYPERLINK("http://141.218.60.56/~jnz1568/getInfo.php?workbook=18_08.xlsx&amp;sheet=A0&amp;row=2383&amp;col=6&amp;number=6066&amp;sourceID=14","6066")</f>
        <v>6066</v>
      </c>
      <c r="G2383" s="4" t="str">
        <f>HYPERLINK("http://141.218.60.56/~jnz1568/getInfo.php?workbook=18_08.xlsx&amp;sheet=A0&amp;row=2383&amp;col=7&amp;number=0&amp;sourceID=14","0")</f>
        <v>0</v>
      </c>
    </row>
    <row r="2384" spans="1:7">
      <c r="A2384" s="3">
        <v>18</v>
      </c>
      <c r="B2384" s="3">
        <v>8</v>
      </c>
      <c r="C2384" s="3">
        <v>58</v>
      </c>
      <c r="D2384" s="3">
        <v>46</v>
      </c>
      <c r="E2384" s="3">
        <v>-972.115</v>
      </c>
      <c r="F2384" s="4" t="str">
        <f>HYPERLINK("http://141.218.60.56/~jnz1568/getInfo.php?workbook=18_08.xlsx&amp;sheet=A0&amp;row=2384&amp;col=6&amp;number=0.01546&amp;sourceID=14","0.01546")</f>
        <v>0.01546</v>
      </c>
      <c r="G2384" s="4" t="str">
        <f>HYPERLINK("http://141.218.60.56/~jnz1568/getInfo.php?workbook=18_08.xlsx&amp;sheet=A0&amp;row=2384&amp;col=7&amp;number=0&amp;sourceID=14","0")</f>
        <v>0</v>
      </c>
    </row>
    <row r="2385" spans="1:7">
      <c r="A2385" s="3">
        <v>18</v>
      </c>
      <c r="B2385" s="3">
        <v>8</v>
      </c>
      <c r="C2385" s="3">
        <v>59</v>
      </c>
      <c r="D2385" s="3">
        <v>46</v>
      </c>
      <c r="E2385" s="3">
        <v>-959.004</v>
      </c>
      <c r="F2385" s="4" t="str">
        <f>HYPERLINK("http://141.218.60.56/~jnz1568/getInfo.php?workbook=18_08.xlsx&amp;sheet=A0&amp;row=2385&amp;col=6&amp;number=0.003156&amp;sourceID=14","0.003156")</f>
        <v>0.003156</v>
      </c>
      <c r="G2385" s="4" t="str">
        <f>HYPERLINK("http://141.218.60.56/~jnz1568/getInfo.php?workbook=18_08.xlsx&amp;sheet=A0&amp;row=2385&amp;col=7&amp;number=0&amp;sourceID=14","0")</f>
        <v>0</v>
      </c>
    </row>
    <row r="2386" spans="1:7">
      <c r="A2386" s="3">
        <v>18</v>
      </c>
      <c r="B2386" s="3">
        <v>8</v>
      </c>
      <c r="C2386" s="3">
        <v>60</v>
      </c>
      <c r="D2386" s="3">
        <v>46</v>
      </c>
      <c r="E2386" s="3">
        <v>-898.904</v>
      </c>
      <c r="F2386" s="4" t="str">
        <f>HYPERLINK("http://141.218.60.56/~jnz1568/getInfo.php?workbook=18_08.xlsx&amp;sheet=A0&amp;row=2386&amp;col=6&amp;number=480300&amp;sourceID=14","480300")</f>
        <v>480300</v>
      </c>
      <c r="G2386" s="4" t="str">
        <f>HYPERLINK("http://141.218.60.56/~jnz1568/getInfo.php?workbook=18_08.xlsx&amp;sheet=A0&amp;row=2386&amp;col=7&amp;number=0&amp;sourceID=14","0")</f>
        <v>0</v>
      </c>
    </row>
    <row r="2387" spans="1:7">
      <c r="A2387" s="3">
        <v>18</v>
      </c>
      <c r="B2387" s="3">
        <v>8</v>
      </c>
      <c r="C2387" s="3">
        <v>61</v>
      </c>
      <c r="D2387" s="3">
        <v>46</v>
      </c>
      <c r="E2387" s="3">
        <v>-886.131</v>
      </c>
      <c r="F2387" s="4" t="str">
        <f>HYPERLINK("http://141.218.60.56/~jnz1568/getInfo.php?workbook=18_08.xlsx&amp;sheet=A0&amp;row=2387&amp;col=6&amp;number=0.003008&amp;sourceID=14","0.003008")</f>
        <v>0.003008</v>
      </c>
      <c r="G2387" s="4" t="str">
        <f>HYPERLINK("http://141.218.60.56/~jnz1568/getInfo.php?workbook=18_08.xlsx&amp;sheet=A0&amp;row=2387&amp;col=7&amp;number=0&amp;sourceID=14","0")</f>
        <v>0</v>
      </c>
    </row>
    <row r="2388" spans="1:7">
      <c r="A2388" s="3">
        <v>18</v>
      </c>
      <c r="B2388" s="3">
        <v>8</v>
      </c>
      <c r="C2388" s="3">
        <v>63</v>
      </c>
      <c r="D2388" s="3">
        <v>46</v>
      </c>
      <c r="E2388" s="3">
        <v>-847.302</v>
      </c>
      <c r="F2388" s="4" t="str">
        <f>HYPERLINK("http://141.218.60.56/~jnz1568/getInfo.php?workbook=18_08.xlsx&amp;sheet=A0&amp;row=2388&amp;col=6&amp;number=0.01026&amp;sourceID=14","0.01026")</f>
        <v>0.01026</v>
      </c>
      <c r="G2388" s="4" t="str">
        <f>HYPERLINK("http://141.218.60.56/~jnz1568/getInfo.php?workbook=18_08.xlsx&amp;sheet=A0&amp;row=2388&amp;col=7&amp;number=0&amp;sourceID=14","0")</f>
        <v>0</v>
      </c>
    </row>
    <row r="2389" spans="1:7">
      <c r="A2389" s="3">
        <v>18</v>
      </c>
      <c r="B2389" s="3">
        <v>8</v>
      </c>
      <c r="C2389" s="3">
        <v>64</v>
      </c>
      <c r="D2389" s="3">
        <v>46</v>
      </c>
      <c r="E2389" s="3">
        <v>-773.064</v>
      </c>
      <c r="F2389" s="4" t="str">
        <f>HYPERLINK("http://141.218.60.56/~jnz1568/getInfo.php?workbook=18_08.xlsx&amp;sheet=A0&amp;row=2389&amp;col=6&amp;number=113200000&amp;sourceID=14","113200000")</f>
        <v>113200000</v>
      </c>
      <c r="G2389" s="4" t="str">
        <f>HYPERLINK("http://141.218.60.56/~jnz1568/getInfo.php?workbook=18_08.xlsx&amp;sheet=A0&amp;row=2389&amp;col=7&amp;number=0&amp;sourceID=14","0")</f>
        <v>0</v>
      </c>
    </row>
    <row r="2390" spans="1:7">
      <c r="A2390" s="3">
        <v>18</v>
      </c>
      <c r="B2390" s="3">
        <v>8</v>
      </c>
      <c r="C2390" s="3">
        <v>65</v>
      </c>
      <c r="D2390" s="3">
        <v>46</v>
      </c>
      <c r="E2390" s="3">
        <v>-1003.142</v>
      </c>
      <c r="F2390" s="4" t="str">
        <f>HYPERLINK("http://141.218.60.56/~jnz1568/getInfo.php?workbook=18_08.xlsx&amp;sheet=A0&amp;row=2390&amp;col=6&amp;number=115.1&amp;sourceID=14","115.1")</f>
        <v>115.1</v>
      </c>
      <c r="G2390" s="4" t="str">
        <f>HYPERLINK("http://141.218.60.56/~jnz1568/getInfo.php?workbook=18_08.xlsx&amp;sheet=A0&amp;row=2390&amp;col=7&amp;number=0&amp;sourceID=14","0")</f>
        <v>0</v>
      </c>
    </row>
    <row r="2391" spans="1:7">
      <c r="A2391" s="3">
        <v>18</v>
      </c>
      <c r="B2391" s="3">
        <v>8</v>
      </c>
      <c r="C2391" s="3">
        <v>66</v>
      </c>
      <c r="D2391" s="3">
        <v>46</v>
      </c>
      <c r="E2391" s="3">
        <v>-784.16</v>
      </c>
      <c r="F2391" s="4" t="str">
        <f>HYPERLINK("http://141.218.60.56/~jnz1568/getInfo.php?workbook=18_08.xlsx&amp;sheet=A0&amp;row=2391&amp;col=6&amp;number=772300&amp;sourceID=14","772300")</f>
        <v>772300</v>
      </c>
      <c r="G2391" s="4" t="str">
        <f>HYPERLINK("http://141.218.60.56/~jnz1568/getInfo.php?workbook=18_08.xlsx&amp;sheet=A0&amp;row=2391&amp;col=7&amp;number=0&amp;sourceID=14","0")</f>
        <v>0</v>
      </c>
    </row>
    <row r="2392" spans="1:7">
      <c r="A2392" s="3">
        <v>18</v>
      </c>
      <c r="B2392" s="3">
        <v>8</v>
      </c>
      <c r="C2392" s="3">
        <v>67</v>
      </c>
      <c r="D2392" s="3">
        <v>46</v>
      </c>
      <c r="E2392" s="3">
        <v>-833.598</v>
      </c>
      <c r="F2392" s="4" t="str">
        <f>HYPERLINK("http://141.218.60.56/~jnz1568/getInfo.php?workbook=18_08.xlsx&amp;sheet=A0&amp;row=2392&amp;col=6&amp;number=73200000&amp;sourceID=14","73200000")</f>
        <v>73200000</v>
      </c>
      <c r="G2392" s="4" t="str">
        <f>HYPERLINK("http://141.218.60.56/~jnz1568/getInfo.php?workbook=18_08.xlsx&amp;sheet=A0&amp;row=2392&amp;col=7&amp;number=0&amp;sourceID=14","0")</f>
        <v>0</v>
      </c>
    </row>
    <row r="2393" spans="1:7">
      <c r="A2393" s="3">
        <v>18</v>
      </c>
      <c r="B2393" s="3">
        <v>8</v>
      </c>
      <c r="C2393" s="3">
        <v>68</v>
      </c>
      <c r="D2393" s="3">
        <v>46</v>
      </c>
      <c r="E2393" s="3">
        <v>-768.234</v>
      </c>
      <c r="F2393" s="4" t="str">
        <f>HYPERLINK("http://141.218.60.56/~jnz1568/getInfo.php?workbook=18_08.xlsx&amp;sheet=A0&amp;row=2393&amp;col=6&amp;number=10150000&amp;sourceID=14","10150000")</f>
        <v>10150000</v>
      </c>
      <c r="G2393" s="4" t="str">
        <f>HYPERLINK("http://141.218.60.56/~jnz1568/getInfo.php?workbook=18_08.xlsx&amp;sheet=A0&amp;row=2393&amp;col=7&amp;number=0&amp;sourceID=14","0")</f>
        <v>0</v>
      </c>
    </row>
    <row r="2394" spans="1:7">
      <c r="A2394" s="3">
        <v>18</v>
      </c>
      <c r="B2394" s="3">
        <v>8</v>
      </c>
      <c r="C2394" s="3">
        <v>69</v>
      </c>
      <c r="D2394" s="3">
        <v>46</v>
      </c>
      <c r="E2394" s="3">
        <v>-725.725</v>
      </c>
      <c r="F2394" s="4" t="str">
        <f>HYPERLINK("http://141.218.60.56/~jnz1568/getInfo.php?workbook=18_08.xlsx&amp;sheet=A0&amp;row=2394&amp;col=6&amp;number=1626000&amp;sourceID=14","1626000")</f>
        <v>1626000</v>
      </c>
      <c r="G2394" s="4" t="str">
        <f>HYPERLINK("http://141.218.60.56/~jnz1568/getInfo.php?workbook=18_08.xlsx&amp;sheet=A0&amp;row=2394&amp;col=7&amp;number=0&amp;sourceID=14","0")</f>
        <v>0</v>
      </c>
    </row>
    <row r="2395" spans="1:7">
      <c r="A2395" s="3">
        <v>18</v>
      </c>
      <c r="B2395" s="3">
        <v>8</v>
      </c>
      <c r="C2395" s="3">
        <v>70</v>
      </c>
      <c r="D2395" s="3">
        <v>46</v>
      </c>
      <c r="E2395" s="3">
        <v>-705.041</v>
      </c>
      <c r="F2395" s="4" t="str">
        <f>HYPERLINK("http://141.218.60.56/~jnz1568/getInfo.php?workbook=18_08.xlsx&amp;sheet=A0&amp;row=2395&amp;col=6&amp;number=0.02368&amp;sourceID=14","0.02368")</f>
        <v>0.02368</v>
      </c>
      <c r="G2395" s="4" t="str">
        <f>HYPERLINK("http://141.218.60.56/~jnz1568/getInfo.php?workbook=18_08.xlsx&amp;sheet=A0&amp;row=2395&amp;col=7&amp;number=0&amp;sourceID=14","0")</f>
        <v>0</v>
      </c>
    </row>
    <row r="2396" spans="1:7">
      <c r="A2396" s="3">
        <v>18</v>
      </c>
      <c r="B2396" s="3">
        <v>8</v>
      </c>
      <c r="C2396" s="3">
        <v>71</v>
      </c>
      <c r="D2396" s="3">
        <v>46</v>
      </c>
      <c r="E2396" s="3">
        <v>-701.785</v>
      </c>
      <c r="F2396" s="4" t="str">
        <f>HYPERLINK("http://141.218.60.56/~jnz1568/getInfo.php?workbook=18_08.xlsx&amp;sheet=A0&amp;row=2396&amp;col=6&amp;number=4434000&amp;sourceID=14","4434000")</f>
        <v>4434000</v>
      </c>
      <c r="G2396" s="4" t="str">
        <f>HYPERLINK("http://141.218.60.56/~jnz1568/getInfo.php?workbook=18_08.xlsx&amp;sheet=A0&amp;row=2396&amp;col=7&amp;number=0&amp;sourceID=14","0")</f>
        <v>0</v>
      </c>
    </row>
    <row r="2397" spans="1:7">
      <c r="A2397" s="3">
        <v>18</v>
      </c>
      <c r="B2397" s="3">
        <v>8</v>
      </c>
      <c r="C2397" s="3">
        <v>72</v>
      </c>
      <c r="D2397" s="3">
        <v>46</v>
      </c>
      <c r="E2397" s="3">
        <v>-736.686</v>
      </c>
      <c r="F2397" s="4" t="str">
        <f>HYPERLINK("http://141.218.60.56/~jnz1568/getInfo.php?workbook=18_08.xlsx&amp;sheet=A0&amp;row=2397&amp;col=6&amp;number=516900000&amp;sourceID=14","516900000")</f>
        <v>516900000</v>
      </c>
      <c r="G2397" s="4" t="str">
        <f>HYPERLINK("http://141.218.60.56/~jnz1568/getInfo.php?workbook=18_08.xlsx&amp;sheet=A0&amp;row=2397&amp;col=7&amp;number=0&amp;sourceID=14","0")</f>
        <v>0</v>
      </c>
    </row>
    <row r="2398" spans="1:7">
      <c r="A2398" s="3">
        <v>18</v>
      </c>
      <c r="B2398" s="3">
        <v>8</v>
      </c>
      <c r="C2398" s="3">
        <v>73</v>
      </c>
      <c r="D2398" s="3">
        <v>46</v>
      </c>
      <c r="E2398" s="3">
        <v>-680.023</v>
      </c>
      <c r="F2398" s="4" t="str">
        <f>HYPERLINK("http://141.218.60.56/~jnz1568/getInfo.php?workbook=18_08.xlsx&amp;sheet=A0&amp;row=2398&amp;col=6&amp;number=22310000&amp;sourceID=14","22310000")</f>
        <v>22310000</v>
      </c>
      <c r="G2398" s="4" t="str">
        <f>HYPERLINK("http://141.218.60.56/~jnz1568/getInfo.php?workbook=18_08.xlsx&amp;sheet=A0&amp;row=2398&amp;col=7&amp;number=0&amp;sourceID=14","0")</f>
        <v>0</v>
      </c>
    </row>
    <row r="2399" spans="1:7">
      <c r="A2399" s="3">
        <v>18</v>
      </c>
      <c r="B2399" s="3">
        <v>8</v>
      </c>
      <c r="C2399" s="3">
        <v>74</v>
      </c>
      <c r="D2399" s="3">
        <v>46</v>
      </c>
      <c r="E2399" s="3">
        <v>-619.311</v>
      </c>
      <c r="F2399" s="4" t="str">
        <f>HYPERLINK("http://141.218.60.56/~jnz1568/getInfo.php?workbook=18_08.xlsx&amp;sheet=A0&amp;row=2399&amp;col=6&amp;number=272500000&amp;sourceID=14","272500000")</f>
        <v>272500000</v>
      </c>
      <c r="G2399" s="4" t="str">
        <f>HYPERLINK("http://141.218.60.56/~jnz1568/getInfo.php?workbook=18_08.xlsx&amp;sheet=A0&amp;row=2399&amp;col=7&amp;number=0&amp;sourceID=14","0")</f>
        <v>0</v>
      </c>
    </row>
    <row r="2400" spans="1:7">
      <c r="A2400" s="3">
        <v>18</v>
      </c>
      <c r="B2400" s="3">
        <v>8</v>
      </c>
      <c r="C2400" s="3">
        <v>75</v>
      </c>
      <c r="D2400" s="3">
        <v>46</v>
      </c>
      <c r="E2400" s="3">
        <v>-606.354</v>
      </c>
      <c r="F2400" s="4" t="str">
        <f>HYPERLINK("http://141.218.60.56/~jnz1568/getInfo.php?workbook=18_08.xlsx&amp;sheet=A0&amp;row=2400&amp;col=6&amp;number=3271000&amp;sourceID=14","3271000")</f>
        <v>3271000</v>
      </c>
      <c r="G2400" s="4" t="str">
        <f>HYPERLINK("http://141.218.60.56/~jnz1568/getInfo.php?workbook=18_08.xlsx&amp;sheet=A0&amp;row=2400&amp;col=7&amp;number=0&amp;sourceID=14","0")</f>
        <v>0</v>
      </c>
    </row>
    <row r="2401" spans="1:7">
      <c r="A2401" s="3">
        <v>18</v>
      </c>
      <c r="B2401" s="3">
        <v>8</v>
      </c>
      <c r="C2401" s="3">
        <v>76</v>
      </c>
      <c r="D2401" s="3">
        <v>46</v>
      </c>
      <c r="E2401" s="3">
        <v>-605.434</v>
      </c>
      <c r="F2401" s="4" t="str">
        <f>HYPERLINK("http://141.218.60.56/~jnz1568/getInfo.php?workbook=18_08.xlsx&amp;sheet=A0&amp;row=2401&amp;col=6&amp;number=0.1034&amp;sourceID=14","0.1034")</f>
        <v>0.1034</v>
      </c>
      <c r="G2401" s="4" t="str">
        <f>HYPERLINK("http://141.218.60.56/~jnz1568/getInfo.php?workbook=18_08.xlsx&amp;sheet=A0&amp;row=2401&amp;col=7&amp;number=0&amp;sourceID=14","0")</f>
        <v>0</v>
      </c>
    </row>
    <row r="2402" spans="1:7">
      <c r="A2402" s="3">
        <v>18</v>
      </c>
      <c r="B2402" s="3">
        <v>8</v>
      </c>
      <c r="C2402" s="3">
        <v>77</v>
      </c>
      <c r="D2402" s="3">
        <v>46</v>
      </c>
      <c r="E2402" s="3">
        <v>-598.063</v>
      </c>
      <c r="F2402" s="4" t="str">
        <f>HYPERLINK("http://141.218.60.56/~jnz1568/getInfo.php?workbook=18_08.xlsx&amp;sheet=A0&amp;row=2402&amp;col=6&amp;number=1706000000&amp;sourceID=14","1706000000")</f>
        <v>1706000000</v>
      </c>
      <c r="G2402" s="4" t="str">
        <f>HYPERLINK("http://141.218.60.56/~jnz1568/getInfo.php?workbook=18_08.xlsx&amp;sheet=A0&amp;row=2402&amp;col=7&amp;number=0&amp;sourceID=14","0")</f>
        <v>0</v>
      </c>
    </row>
    <row r="2403" spans="1:7">
      <c r="A2403" s="3">
        <v>18</v>
      </c>
      <c r="B2403" s="3">
        <v>8</v>
      </c>
      <c r="C2403" s="3">
        <v>78</v>
      </c>
      <c r="D2403" s="3">
        <v>46</v>
      </c>
      <c r="E2403" s="3">
        <v>-603.346</v>
      </c>
      <c r="F2403" s="4" t="str">
        <f>HYPERLINK("http://141.218.60.56/~jnz1568/getInfo.php?workbook=18_08.xlsx&amp;sheet=A0&amp;row=2403&amp;col=6&amp;number=0.005172&amp;sourceID=14","0.005172")</f>
        <v>0.005172</v>
      </c>
      <c r="G2403" s="4" t="str">
        <f>HYPERLINK("http://141.218.60.56/~jnz1568/getInfo.php?workbook=18_08.xlsx&amp;sheet=A0&amp;row=2403&amp;col=7&amp;number=0&amp;sourceID=14","0")</f>
        <v>0</v>
      </c>
    </row>
    <row r="2404" spans="1:7">
      <c r="A2404" s="3">
        <v>18</v>
      </c>
      <c r="B2404" s="3">
        <v>8</v>
      </c>
      <c r="C2404" s="3">
        <v>79</v>
      </c>
      <c r="D2404" s="3">
        <v>46</v>
      </c>
      <c r="E2404" s="3">
        <v>-592.666</v>
      </c>
      <c r="F2404" s="4" t="str">
        <f>HYPERLINK("http://141.218.60.56/~jnz1568/getInfo.php?workbook=18_08.xlsx&amp;sheet=A0&amp;row=2404&amp;col=6&amp;number=899000&amp;sourceID=14","899000")</f>
        <v>899000</v>
      </c>
      <c r="G2404" s="4" t="str">
        <f>HYPERLINK("http://141.218.60.56/~jnz1568/getInfo.php?workbook=18_08.xlsx&amp;sheet=A0&amp;row=2404&amp;col=7&amp;number=0&amp;sourceID=14","0")</f>
        <v>0</v>
      </c>
    </row>
    <row r="2405" spans="1:7">
      <c r="A2405" s="3">
        <v>18</v>
      </c>
      <c r="B2405" s="3">
        <v>8</v>
      </c>
      <c r="C2405" s="3">
        <v>80</v>
      </c>
      <c r="D2405" s="3">
        <v>46</v>
      </c>
      <c r="E2405" s="3">
        <v>-585.938</v>
      </c>
      <c r="F2405" s="4" t="str">
        <f>HYPERLINK("http://141.218.60.56/~jnz1568/getInfo.php?workbook=18_08.xlsx&amp;sheet=A0&amp;row=2405&amp;col=6&amp;number=29600000&amp;sourceID=14","29600000")</f>
        <v>29600000</v>
      </c>
      <c r="G2405" s="4" t="str">
        <f>HYPERLINK("http://141.218.60.56/~jnz1568/getInfo.php?workbook=18_08.xlsx&amp;sheet=A0&amp;row=2405&amp;col=7&amp;number=0&amp;sourceID=14","0")</f>
        <v>0</v>
      </c>
    </row>
    <row r="2406" spans="1:7">
      <c r="A2406" s="3">
        <v>18</v>
      </c>
      <c r="B2406" s="3">
        <v>8</v>
      </c>
      <c r="C2406" s="3">
        <v>81</v>
      </c>
      <c r="D2406" s="3">
        <v>46</v>
      </c>
      <c r="E2406" s="3">
        <v>-552.498</v>
      </c>
      <c r="F2406" s="4" t="str">
        <f>HYPERLINK("http://141.218.60.56/~jnz1568/getInfo.php?workbook=18_08.xlsx&amp;sheet=A0&amp;row=2406&amp;col=6&amp;number=12070000&amp;sourceID=14","12070000")</f>
        <v>12070000</v>
      </c>
      <c r="G2406" s="4" t="str">
        <f>HYPERLINK("http://141.218.60.56/~jnz1568/getInfo.php?workbook=18_08.xlsx&amp;sheet=A0&amp;row=2406&amp;col=7&amp;number=0&amp;sourceID=14","0")</f>
        <v>0</v>
      </c>
    </row>
    <row r="2407" spans="1:7">
      <c r="A2407" s="3">
        <v>18</v>
      </c>
      <c r="B2407" s="3">
        <v>8</v>
      </c>
      <c r="C2407" s="3">
        <v>82</v>
      </c>
      <c r="D2407" s="3">
        <v>46</v>
      </c>
      <c r="E2407" s="3">
        <v>-542.693</v>
      </c>
      <c r="F2407" s="4" t="str">
        <f>HYPERLINK("http://141.218.60.56/~jnz1568/getInfo.php?workbook=18_08.xlsx&amp;sheet=A0&amp;row=2407&amp;col=6&amp;number=24820000&amp;sourceID=14","24820000")</f>
        <v>24820000</v>
      </c>
      <c r="G2407" s="4" t="str">
        <f>HYPERLINK("http://141.218.60.56/~jnz1568/getInfo.php?workbook=18_08.xlsx&amp;sheet=A0&amp;row=2407&amp;col=7&amp;number=0&amp;sourceID=14","0")</f>
        <v>0</v>
      </c>
    </row>
    <row r="2408" spans="1:7">
      <c r="A2408" s="3">
        <v>18</v>
      </c>
      <c r="B2408" s="3">
        <v>8</v>
      </c>
      <c r="C2408" s="3">
        <v>83</v>
      </c>
      <c r="D2408" s="3">
        <v>46</v>
      </c>
      <c r="E2408" s="3">
        <v>-542.064</v>
      </c>
      <c r="F2408" s="4" t="str">
        <f>HYPERLINK("http://141.218.60.56/~jnz1568/getInfo.php?workbook=18_08.xlsx&amp;sheet=A0&amp;row=2408&amp;col=6&amp;number=469400&amp;sourceID=14","469400")</f>
        <v>469400</v>
      </c>
      <c r="G2408" s="4" t="str">
        <f>HYPERLINK("http://141.218.60.56/~jnz1568/getInfo.php?workbook=18_08.xlsx&amp;sheet=A0&amp;row=2408&amp;col=7&amp;number=0&amp;sourceID=14","0")</f>
        <v>0</v>
      </c>
    </row>
    <row r="2409" spans="1:7">
      <c r="A2409" s="3">
        <v>18</v>
      </c>
      <c r="B2409" s="3">
        <v>8</v>
      </c>
      <c r="C2409" s="3">
        <v>84</v>
      </c>
      <c r="D2409" s="3">
        <v>46</v>
      </c>
      <c r="E2409" s="3">
        <v>-507.028</v>
      </c>
      <c r="F2409" s="4" t="str">
        <f>HYPERLINK("http://141.218.60.56/~jnz1568/getInfo.php?workbook=18_08.xlsx&amp;sheet=A0&amp;row=2409&amp;col=6&amp;number=1397000&amp;sourceID=14","1397000")</f>
        <v>1397000</v>
      </c>
      <c r="G2409" s="4" t="str">
        <f>HYPERLINK("http://141.218.60.56/~jnz1568/getInfo.php?workbook=18_08.xlsx&amp;sheet=A0&amp;row=2409&amp;col=7&amp;number=0&amp;sourceID=14","0")</f>
        <v>0</v>
      </c>
    </row>
    <row r="2410" spans="1:7">
      <c r="A2410" s="3">
        <v>18</v>
      </c>
      <c r="B2410" s="3">
        <v>8</v>
      </c>
      <c r="C2410" s="3">
        <v>85</v>
      </c>
      <c r="D2410" s="3">
        <v>46</v>
      </c>
      <c r="E2410" s="3">
        <v>-497.808</v>
      </c>
      <c r="F2410" s="4" t="str">
        <f>HYPERLINK("http://141.218.60.56/~jnz1568/getInfo.php?workbook=18_08.xlsx&amp;sheet=A0&amp;row=2410&amp;col=6&amp;number=622300000&amp;sourceID=14","622300000")</f>
        <v>622300000</v>
      </c>
      <c r="G2410" s="4" t="str">
        <f>HYPERLINK("http://141.218.60.56/~jnz1568/getInfo.php?workbook=18_08.xlsx&amp;sheet=A0&amp;row=2410&amp;col=7&amp;number=0&amp;sourceID=14","0")</f>
        <v>0</v>
      </c>
    </row>
    <row r="2411" spans="1:7">
      <c r="A2411" s="3">
        <v>18</v>
      </c>
      <c r="B2411" s="3">
        <v>8</v>
      </c>
      <c r="C2411" s="3">
        <v>86</v>
      </c>
      <c r="D2411" s="3">
        <v>46</v>
      </c>
      <c r="E2411" s="3">
        <v>-431.288</v>
      </c>
      <c r="F2411" s="4" t="str">
        <f>HYPERLINK("http://141.218.60.56/~jnz1568/getInfo.php?workbook=18_08.xlsx&amp;sheet=A0&amp;row=2411&amp;col=6&amp;number=9547000&amp;sourceID=14","9547000")</f>
        <v>9547000</v>
      </c>
      <c r="G2411" s="4" t="str">
        <f>HYPERLINK("http://141.218.60.56/~jnz1568/getInfo.php?workbook=18_08.xlsx&amp;sheet=A0&amp;row=2411&amp;col=7&amp;number=0&amp;sourceID=14","0")</f>
        <v>0</v>
      </c>
    </row>
    <row r="2412" spans="1:7">
      <c r="A2412" s="3">
        <v>18</v>
      </c>
      <c r="B2412" s="3">
        <v>8</v>
      </c>
      <c r="C2412" s="3">
        <v>48</v>
      </c>
      <c r="D2412" s="3">
        <v>47</v>
      </c>
      <c r="E2412" s="3">
        <v>-10472.359</v>
      </c>
      <c r="F2412" s="4" t="str">
        <f>HYPERLINK("http://141.218.60.56/~jnz1568/getInfo.php?workbook=18_08.xlsx&amp;sheet=A0&amp;row=2412&amp;col=6&amp;number=5.154e-07&amp;sourceID=14","5.154e-07")</f>
        <v>5.154e-07</v>
      </c>
      <c r="G2412" s="4" t="str">
        <f>HYPERLINK("http://141.218.60.56/~jnz1568/getInfo.php?workbook=18_08.xlsx&amp;sheet=A0&amp;row=2412&amp;col=7&amp;number=0&amp;sourceID=14","0")</f>
        <v>0</v>
      </c>
    </row>
    <row r="2413" spans="1:7">
      <c r="A2413" s="3">
        <v>18</v>
      </c>
      <c r="B2413" s="3">
        <v>8</v>
      </c>
      <c r="C2413" s="3">
        <v>49</v>
      </c>
      <c r="D2413" s="3">
        <v>47</v>
      </c>
      <c r="E2413" s="3">
        <v>-4986.584</v>
      </c>
      <c r="F2413" s="4" t="str">
        <f>HYPERLINK("http://141.218.60.56/~jnz1568/getInfo.php?workbook=18_08.xlsx&amp;sheet=A0&amp;row=2413&amp;col=6&amp;number=2.972&amp;sourceID=14","2.972")</f>
        <v>2.972</v>
      </c>
      <c r="G2413" s="4" t="str">
        <f>HYPERLINK("http://141.218.60.56/~jnz1568/getInfo.php?workbook=18_08.xlsx&amp;sheet=A0&amp;row=2413&amp;col=7&amp;number=0&amp;sourceID=14","0")</f>
        <v>0</v>
      </c>
    </row>
    <row r="2414" spans="1:7">
      <c r="A2414" s="3">
        <v>18</v>
      </c>
      <c r="B2414" s="3">
        <v>8</v>
      </c>
      <c r="C2414" s="3">
        <v>50</v>
      </c>
      <c r="D2414" s="3">
        <v>47</v>
      </c>
      <c r="E2414" s="3">
        <v>-4356.356</v>
      </c>
      <c r="F2414" s="4" t="str">
        <f>HYPERLINK("http://141.218.60.56/~jnz1568/getInfo.php?workbook=18_08.xlsx&amp;sheet=A0&amp;row=2414&amp;col=6&amp;number=0.1092&amp;sourceID=14","0.1092")</f>
        <v>0.1092</v>
      </c>
      <c r="G2414" s="4" t="str">
        <f>HYPERLINK("http://141.218.60.56/~jnz1568/getInfo.php?workbook=18_08.xlsx&amp;sheet=A0&amp;row=2414&amp;col=7&amp;number=0&amp;sourceID=14","0")</f>
        <v>0</v>
      </c>
    </row>
    <row r="2415" spans="1:7">
      <c r="A2415" s="3">
        <v>18</v>
      </c>
      <c r="B2415" s="3">
        <v>8</v>
      </c>
      <c r="C2415" s="3">
        <v>51</v>
      </c>
      <c r="D2415" s="3">
        <v>47</v>
      </c>
      <c r="E2415" s="3">
        <v>-2190.381</v>
      </c>
      <c r="F2415" s="4" t="str">
        <f>HYPERLINK("http://141.218.60.56/~jnz1568/getInfo.php?workbook=18_08.xlsx&amp;sheet=A0&amp;row=2415&amp;col=6&amp;number=128700&amp;sourceID=14","128700")</f>
        <v>128700</v>
      </c>
      <c r="G2415" s="4" t="str">
        <f>HYPERLINK("http://141.218.60.56/~jnz1568/getInfo.php?workbook=18_08.xlsx&amp;sheet=A0&amp;row=2415&amp;col=7&amp;number=0&amp;sourceID=14","0")</f>
        <v>0</v>
      </c>
    </row>
    <row r="2416" spans="1:7">
      <c r="A2416" s="3">
        <v>18</v>
      </c>
      <c r="B2416" s="3">
        <v>8</v>
      </c>
      <c r="C2416" s="3">
        <v>52</v>
      </c>
      <c r="D2416" s="3">
        <v>47</v>
      </c>
      <c r="E2416" s="3">
        <v>-2143.853</v>
      </c>
      <c r="F2416" s="4" t="str">
        <f>HYPERLINK("http://141.218.60.56/~jnz1568/getInfo.php?workbook=18_08.xlsx&amp;sheet=A0&amp;row=2416&amp;col=6&amp;number=1.127e-05&amp;sourceID=14","1.127e-05")</f>
        <v>1.127e-05</v>
      </c>
      <c r="G2416" s="4" t="str">
        <f>HYPERLINK("http://141.218.60.56/~jnz1568/getInfo.php?workbook=18_08.xlsx&amp;sheet=A0&amp;row=2416&amp;col=7&amp;number=0&amp;sourceID=14","0")</f>
        <v>0</v>
      </c>
    </row>
    <row r="2417" spans="1:7">
      <c r="A2417" s="3">
        <v>18</v>
      </c>
      <c r="B2417" s="3">
        <v>8</v>
      </c>
      <c r="C2417" s="3">
        <v>54</v>
      </c>
      <c r="D2417" s="3">
        <v>47</v>
      </c>
      <c r="E2417" s="3">
        <v>-2103.749</v>
      </c>
      <c r="F2417" s="4" t="str">
        <f>HYPERLINK("http://141.218.60.56/~jnz1568/getInfo.php?workbook=18_08.xlsx&amp;sheet=A0&amp;row=2417&amp;col=6&amp;number=473200&amp;sourceID=14","473200")</f>
        <v>473200</v>
      </c>
      <c r="G2417" s="4" t="str">
        <f>HYPERLINK("http://141.218.60.56/~jnz1568/getInfo.php?workbook=18_08.xlsx&amp;sheet=A0&amp;row=2417&amp;col=7&amp;number=0&amp;sourceID=14","0")</f>
        <v>0</v>
      </c>
    </row>
    <row r="2418" spans="1:7">
      <c r="A2418" s="3">
        <v>18</v>
      </c>
      <c r="B2418" s="3">
        <v>8</v>
      </c>
      <c r="C2418" s="3">
        <v>55</v>
      </c>
      <c r="D2418" s="3">
        <v>47</v>
      </c>
      <c r="E2418" s="3">
        <v>-1853.149</v>
      </c>
      <c r="F2418" s="4" t="str">
        <f>HYPERLINK("http://141.218.60.56/~jnz1568/getInfo.php?workbook=18_08.xlsx&amp;sheet=A0&amp;row=2418&amp;col=6&amp;number=15.31&amp;sourceID=14","15.31")</f>
        <v>15.31</v>
      </c>
      <c r="G2418" s="4" t="str">
        <f>HYPERLINK("http://141.218.60.56/~jnz1568/getInfo.php?workbook=18_08.xlsx&amp;sheet=A0&amp;row=2418&amp;col=7&amp;number=0&amp;sourceID=14","0")</f>
        <v>0</v>
      </c>
    </row>
    <row r="2419" spans="1:7">
      <c r="A2419" s="3">
        <v>18</v>
      </c>
      <c r="B2419" s="3">
        <v>8</v>
      </c>
      <c r="C2419" s="3">
        <v>56</v>
      </c>
      <c r="D2419" s="3">
        <v>47</v>
      </c>
      <c r="E2419" s="3">
        <v>-981.085</v>
      </c>
      <c r="F2419" s="4" t="str">
        <f>HYPERLINK("http://141.218.60.56/~jnz1568/getInfo.php?workbook=18_08.xlsx&amp;sheet=A0&amp;row=2419&amp;col=6&amp;number=97290&amp;sourceID=14","97290")</f>
        <v>97290</v>
      </c>
      <c r="G2419" s="4" t="str">
        <f>HYPERLINK("http://141.218.60.56/~jnz1568/getInfo.php?workbook=18_08.xlsx&amp;sheet=A0&amp;row=2419&amp;col=7&amp;number=0&amp;sourceID=14","0")</f>
        <v>0</v>
      </c>
    </row>
    <row r="2420" spans="1:7">
      <c r="A2420" s="3">
        <v>18</v>
      </c>
      <c r="B2420" s="3">
        <v>8</v>
      </c>
      <c r="C2420" s="3">
        <v>57</v>
      </c>
      <c r="D2420" s="3">
        <v>47</v>
      </c>
      <c r="E2420" s="3">
        <v>-948.28</v>
      </c>
      <c r="F2420" s="4" t="str">
        <f>HYPERLINK("http://141.218.60.56/~jnz1568/getInfo.php?workbook=18_08.xlsx&amp;sheet=A0&amp;row=2420&amp;col=6&amp;number=23080&amp;sourceID=14","23080")</f>
        <v>23080</v>
      </c>
      <c r="G2420" s="4" t="str">
        <f>HYPERLINK("http://141.218.60.56/~jnz1568/getInfo.php?workbook=18_08.xlsx&amp;sheet=A0&amp;row=2420&amp;col=7&amp;number=0&amp;sourceID=14","0")</f>
        <v>0</v>
      </c>
    </row>
    <row r="2421" spans="1:7">
      <c r="A2421" s="3">
        <v>18</v>
      </c>
      <c r="B2421" s="3">
        <v>8</v>
      </c>
      <c r="C2421" s="3">
        <v>59</v>
      </c>
      <c r="D2421" s="3">
        <v>47</v>
      </c>
      <c r="E2421" s="3">
        <v>-912.524</v>
      </c>
      <c r="F2421" s="4" t="str">
        <f>HYPERLINK("http://141.218.60.56/~jnz1568/getInfo.php?workbook=18_08.xlsx&amp;sheet=A0&amp;row=2421&amp;col=6&amp;number=4828000&amp;sourceID=14","4828000")</f>
        <v>4828000</v>
      </c>
      <c r="G2421" s="4" t="str">
        <f>HYPERLINK("http://141.218.60.56/~jnz1568/getInfo.php?workbook=18_08.xlsx&amp;sheet=A0&amp;row=2421&amp;col=7&amp;number=0&amp;sourceID=14","0")</f>
        <v>0</v>
      </c>
    </row>
    <row r="2422" spans="1:7">
      <c r="A2422" s="3">
        <v>18</v>
      </c>
      <c r="B2422" s="3">
        <v>8</v>
      </c>
      <c r="C2422" s="3">
        <v>60</v>
      </c>
      <c r="D2422" s="3">
        <v>47</v>
      </c>
      <c r="E2422" s="3">
        <v>-857.943</v>
      </c>
      <c r="F2422" s="4" t="str">
        <f>HYPERLINK("http://141.218.60.56/~jnz1568/getInfo.php?workbook=18_08.xlsx&amp;sheet=A0&amp;row=2422&amp;col=6&amp;number=115900&amp;sourceID=14","115900")</f>
        <v>115900</v>
      </c>
      <c r="G2422" s="4" t="str">
        <f>HYPERLINK("http://141.218.60.56/~jnz1568/getInfo.php?workbook=18_08.xlsx&amp;sheet=A0&amp;row=2422&amp;col=7&amp;number=0&amp;sourceID=14","0")</f>
        <v>0</v>
      </c>
    </row>
    <row r="2423" spans="1:7">
      <c r="A2423" s="3">
        <v>18</v>
      </c>
      <c r="B2423" s="3">
        <v>8</v>
      </c>
      <c r="C2423" s="3">
        <v>61</v>
      </c>
      <c r="D2423" s="3">
        <v>47</v>
      </c>
      <c r="E2423" s="3">
        <v>-846.3</v>
      </c>
      <c r="F2423" s="4" t="str">
        <f>HYPERLINK("http://141.218.60.56/~jnz1568/getInfo.php?workbook=18_08.xlsx&amp;sheet=A0&amp;row=2423&amp;col=6&amp;number=1150000&amp;sourceID=14","1150000")</f>
        <v>1150000</v>
      </c>
      <c r="G2423" s="4" t="str">
        <f>HYPERLINK("http://141.218.60.56/~jnz1568/getInfo.php?workbook=18_08.xlsx&amp;sheet=A0&amp;row=2423&amp;col=7&amp;number=0&amp;sourceID=14","0")</f>
        <v>0</v>
      </c>
    </row>
    <row r="2424" spans="1:7">
      <c r="A2424" s="3">
        <v>18</v>
      </c>
      <c r="B2424" s="3">
        <v>8</v>
      </c>
      <c r="C2424" s="3">
        <v>62</v>
      </c>
      <c r="D2424" s="3">
        <v>47</v>
      </c>
      <c r="E2424" s="3">
        <v>-832.134</v>
      </c>
      <c r="F2424" s="4" t="str">
        <f>HYPERLINK("http://141.218.60.56/~jnz1568/getInfo.php?workbook=18_08.xlsx&amp;sheet=A0&amp;row=2424&amp;col=6&amp;number=0.0004444&amp;sourceID=14","0.0004444")</f>
        <v>0.0004444</v>
      </c>
      <c r="G2424" s="4" t="str">
        <f>HYPERLINK("http://141.218.60.56/~jnz1568/getInfo.php?workbook=18_08.xlsx&amp;sheet=A0&amp;row=2424&amp;col=7&amp;number=0&amp;sourceID=14","0")</f>
        <v>0</v>
      </c>
    </row>
    <row r="2425" spans="1:7">
      <c r="A2425" s="3">
        <v>18</v>
      </c>
      <c r="B2425" s="3">
        <v>8</v>
      </c>
      <c r="C2425" s="3">
        <v>63</v>
      </c>
      <c r="D2425" s="3">
        <v>47</v>
      </c>
      <c r="E2425" s="3">
        <v>-810.814</v>
      </c>
      <c r="F2425" s="4" t="str">
        <f>HYPERLINK("http://141.218.60.56/~jnz1568/getInfo.php?workbook=18_08.xlsx&amp;sheet=A0&amp;row=2425&amp;col=6&amp;number=632200&amp;sourceID=14","632200")</f>
        <v>632200</v>
      </c>
      <c r="G2425" s="4" t="str">
        <f>HYPERLINK("http://141.218.60.56/~jnz1568/getInfo.php?workbook=18_08.xlsx&amp;sheet=A0&amp;row=2425&amp;col=7&amp;number=0&amp;sourceID=14","0")</f>
        <v>0</v>
      </c>
    </row>
    <row r="2426" spans="1:7">
      <c r="A2426" s="3">
        <v>18</v>
      </c>
      <c r="B2426" s="3">
        <v>8</v>
      </c>
      <c r="C2426" s="3">
        <v>64</v>
      </c>
      <c r="D2426" s="3">
        <v>47</v>
      </c>
      <c r="E2426" s="3">
        <v>-742.575</v>
      </c>
      <c r="F2426" s="4" t="str">
        <f>HYPERLINK("http://141.218.60.56/~jnz1568/getInfo.php?workbook=18_08.xlsx&amp;sheet=A0&amp;row=2426&amp;col=6&amp;number=0.007989&amp;sourceID=14","0.007989")</f>
        <v>0.007989</v>
      </c>
      <c r="G2426" s="4" t="str">
        <f>HYPERLINK("http://141.218.60.56/~jnz1568/getInfo.php?workbook=18_08.xlsx&amp;sheet=A0&amp;row=2426&amp;col=7&amp;number=0&amp;sourceID=14","0")</f>
        <v>0</v>
      </c>
    </row>
    <row r="2427" spans="1:7">
      <c r="A2427" s="3">
        <v>18</v>
      </c>
      <c r="B2427" s="3">
        <v>8</v>
      </c>
      <c r="C2427" s="3">
        <v>66</v>
      </c>
      <c r="D2427" s="3">
        <v>47</v>
      </c>
      <c r="E2427" s="3">
        <v>-752.807</v>
      </c>
      <c r="F2427" s="4" t="str">
        <f>HYPERLINK("http://141.218.60.56/~jnz1568/getInfo.php?workbook=18_08.xlsx&amp;sheet=A0&amp;row=2427&amp;col=6&amp;number=490700&amp;sourceID=14","490700")</f>
        <v>490700</v>
      </c>
      <c r="G2427" s="4" t="str">
        <f>HYPERLINK("http://141.218.60.56/~jnz1568/getInfo.php?workbook=18_08.xlsx&amp;sheet=A0&amp;row=2427&amp;col=7&amp;number=0&amp;sourceID=14","0")</f>
        <v>0</v>
      </c>
    </row>
    <row r="2428" spans="1:7">
      <c r="A2428" s="3">
        <v>18</v>
      </c>
      <c r="B2428" s="3">
        <v>8</v>
      </c>
      <c r="C2428" s="3">
        <v>67</v>
      </c>
      <c r="D2428" s="3">
        <v>47</v>
      </c>
      <c r="E2428" s="3">
        <v>-798.256</v>
      </c>
      <c r="F2428" s="4" t="str">
        <f>HYPERLINK("http://141.218.60.56/~jnz1568/getInfo.php?workbook=18_08.xlsx&amp;sheet=A0&amp;row=2428&amp;col=6&amp;number=0.001596&amp;sourceID=14","0.001596")</f>
        <v>0.001596</v>
      </c>
      <c r="G2428" s="4" t="str">
        <f>HYPERLINK("http://141.218.60.56/~jnz1568/getInfo.php?workbook=18_08.xlsx&amp;sheet=A0&amp;row=2428&amp;col=7&amp;number=0&amp;sourceID=14","0")</f>
        <v>0</v>
      </c>
    </row>
    <row r="2429" spans="1:7">
      <c r="A2429" s="3">
        <v>18</v>
      </c>
      <c r="B2429" s="3">
        <v>8</v>
      </c>
      <c r="C2429" s="3">
        <v>68</v>
      </c>
      <c r="D2429" s="3">
        <v>47</v>
      </c>
      <c r="E2429" s="3">
        <v>-738.117</v>
      </c>
      <c r="F2429" s="4" t="str">
        <f>HYPERLINK("http://141.218.60.56/~jnz1568/getInfo.php?workbook=18_08.xlsx&amp;sheet=A0&amp;row=2429&amp;col=6&amp;number=9356000&amp;sourceID=14","9356000")</f>
        <v>9356000</v>
      </c>
      <c r="G2429" s="4" t="str">
        <f>HYPERLINK("http://141.218.60.56/~jnz1568/getInfo.php?workbook=18_08.xlsx&amp;sheet=A0&amp;row=2429&amp;col=7&amp;number=0&amp;sourceID=14","0")</f>
        <v>0</v>
      </c>
    </row>
    <row r="2430" spans="1:7">
      <c r="A2430" s="3">
        <v>18</v>
      </c>
      <c r="B2430" s="3">
        <v>8</v>
      </c>
      <c r="C2430" s="3">
        <v>69</v>
      </c>
      <c r="D2430" s="3">
        <v>47</v>
      </c>
      <c r="E2430" s="3">
        <v>-698.79</v>
      </c>
      <c r="F2430" s="4" t="str">
        <f>HYPERLINK("http://141.218.60.56/~jnz1568/getInfo.php?workbook=18_08.xlsx&amp;sheet=A0&amp;row=2430&amp;col=6&amp;number=77250000&amp;sourceID=14","77250000")</f>
        <v>77250000</v>
      </c>
      <c r="G2430" s="4" t="str">
        <f>HYPERLINK("http://141.218.60.56/~jnz1568/getInfo.php?workbook=18_08.xlsx&amp;sheet=A0&amp;row=2430&amp;col=7&amp;number=0&amp;sourceID=14","0")</f>
        <v>0</v>
      </c>
    </row>
    <row r="2431" spans="1:7">
      <c r="A2431" s="3">
        <v>18</v>
      </c>
      <c r="B2431" s="3">
        <v>8</v>
      </c>
      <c r="C2431" s="3">
        <v>71</v>
      </c>
      <c r="D2431" s="3">
        <v>47</v>
      </c>
      <c r="E2431" s="3">
        <v>-676.567</v>
      </c>
      <c r="F2431" s="4" t="str">
        <f>HYPERLINK("http://141.218.60.56/~jnz1568/getInfo.php?workbook=18_08.xlsx&amp;sheet=A0&amp;row=2431&amp;col=6&amp;number=0.01108&amp;sourceID=14","0.01108")</f>
        <v>0.01108</v>
      </c>
      <c r="G2431" s="4" t="str">
        <f>HYPERLINK("http://141.218.60.56/~jnz1568/getInfo.php?workbook=18_08.xlsx&amp;sheet=A0&amp;row=2431&amp;col=7&amp;number=0&amp;sourceID=14","0")</f>
        <v>0</v>
      </c>
    </row>
    <row r="2432" spans="1:7">
      <c r="A2432" s="3">
        <v>18</v>
      </c>
      <c r="B2432" s="3">
        <v>8</v>
      </c>
      <c r="C2432" s="3">
        <v>72</v>
      </c>
      <c r="D2432" s="3">
        <v>47</v>
      </c>
      <c r="E2432" s="3">
        <v>-708.947</v>
      </c>
      <c r="F2432" s="4" t="str">
        <f>HYPERLINK("http://141.218.60.56/~jnz1568/getInfo.php?workbook=18_08.xlsx&amp;sheet=A0&amp;row=2432&amp;col=6&amp;number=6105000&amp;sourceID=14","6105000")</f>
        <v>6105000</v>
      </c>
      <c r="G2432" s="4" t="str">
        <f>HYPERLINK("http://141.218.60.56/~jnz1568/getInfo.php?workbook=18_08.xlsx&amp;sheet=A0&amp;row=2432&amp;col=7&amp;number=0&amp;sourceID=14","0")</f>
        <v>0</v>
      </c>
    </row>
    <row r="2433" spans="1:7">
      <c r="A2433" s="3">
        <v>18</v>
      </c>
      <c r="B2433" s="3">
        <v>8</v>
      </c>
      <c r="C2433" s="3">
        <v>73</v>
      </c>
      <c r="D2433" s="3">
        <v>47</v>
      </c>
      <c r="E2433" s="3">
        <v>-656.319</v>
      </c>
      <c r="F2433" s="4" t="str">
        <f>HYPERLINK("http://141.218.60.56/~jnz1568/getInfo.php?workbook=18_08.xlsx&amp;sheet=A0&amp;row=2433&amp;col=6&amp;number=0.01121&amp;sourceID=14","0.01121")</f>
        <v>0.01121</v>
      </c>
      <c r="G2433" s="4" t="str">
        <f>HYPERLINK("http://141.218.60.56/~jnz1568/getInfo.php?workbook=18_08.xlsx&amp;sheet=A0&amp;row=2433&amp;col=7&amp;number=0&amp;sourceID=14","0")</f>
        <v>0</v>
      </c>
    </row>
    <row r="2434" spans="1:7">
      <c r="A2434" s="3">
        <v>18</v>
      </c>
      <c r="B2434" s="3">
        <v>8</v>
      </c>
      <c r="C2434" s="3">
        <v>74</v>
      </c>
      <c r="D2434" s="3">
        <v>47</v>
      </c>
      <c r="E2434" s="3">
        <v>-599.589</v>
      </c>
      <c r="F2434" s="4" t="str">
        <f>HYPERLINK("http://141.218.60.56/~jnz1568/getInfo.php?workbook=18_08.xlsx&amp;sheet=A0&amp;row=2434&amp;col=6&amp;number=151300000&amp;sourceID=14","151300000")</f>
        <v>151300000</v>
      </c>
      <c r="G2434" s="4" t="str">
        <f>HYPERLINK("http://141.218.60.56/~jnz1568/getInfo.php?workbook=18_08.xlsx&amp;sheet=A0&amp;row=2434&amp;col=7&amp;number=0&amp;sourceID=14","0")</f>
        <v>0</v>
      </c>
    </row>
    <row r="2435" spans="1:7">
      <c r="A2435" s="3">
        <v>18</v>
      </c>
      <c r="B2435" s="3">
        <v>8</v>
      </c>
      <c r="C2435" s="3">
        <v>75</v>
      </c>
      <c r="D2435" s="3">
        <v>47</v>
      </c>
      <c r="E2435" s="3">
        <v>-587.436</v>
      </c>
      <c r="F2435" s="4" t="str">
        <f>HYPERLINK("http://141.218.60.56/~jnz1568/getInfo.php?workbook=18_08.xlsx&amp;sheet=A0&amp;row=2435&amp;col=6&amp;number=6549000&amp;sourceID=14","6549000")</f>
        <v>6549000</v>
      </c>
      <c r="G2435" s="4" t="str">
        <f>HYPERLINK("http://141.218.60.56/~jnz1568/getInfo.php?workbook=18_08.xlsx&amp;sheet=A0&amp;row=2435&amp;col=7&amp;number=0&amp;sourceID=14","0")</f>
        <v>0</v>
      </c>
    </row>
    <row r="2436" spans="1:7">
      <c r="A2436" s="3">
        <v>18</v>
      </c>
      <c r="B2436" s="3">
        <v>8</v>
      </c>
      <c r="C2436" s="3">
        <v>76</v>
      </c>
      <c r="D2436" s="3">
        <v>47</v>
      </c>
      <c r="E2436" s="3">
        <v>-586.572</v>
      </c>
      <c r="F2436" s="4" t="str">
        <f>HYPERLINK("http://141.218.60.56/~jnz1568/getInfo.php?workbook=18_08.xlsx&amp;sheet=A0&amp;row=2436&amp;col=6&amp;number=2885000000&amp;sourceID=14","2885000000")</f>
        <v>2885000000</v>
      </c>
      <c r="G2436" s="4" t="str">
        <f>HYPERLINK("http://141.218.60.56/~jnz1568/getInfo.php?workbook=18_08.xlsx&amp;sheet=A0&amp;row=2436&amp;col=7&amp;number=0&amp;sourceID=14","0")</f>
        <v>0</v>
      </c>
    </row>
    <row r="2437" spans="1:7">
      <c r="A2437" s="3">
        <v>18</v>
      </c>
      <c r="B2437" s="3">
        <v>8</v>
      </c>
      <c r="C2437" s="3">
        <v>77</v>
      </c>
      <c r="D2437" s="3">
        <v>47</v>
      </c>
      <c r="E2437" s="3">
        <v>-579.651</v>
      </c>
      <c r="F2437" s="4" t="str">
        <f>HYPERLINK("http://141.218.60.56/~jnz1568/getInfo.php?workbook=18_08.xlsx&amp;sheet=A0&amp;row=2437&amp;col=6&amp;number=10510000&amp;sourceID=14","10510000")</f>
        <v>10510000</v>
      </c>
      <c r="G2437" s="4" t="str">
        <f>HYPERLINK("http://141.218.60.56/~jnz1568/getInfo.php?workbook=18_08.xlsx&amp;sheet=A0&amp;row=2437&amp;col=7&amp;number=0&amp;sourceID=14","0")</f>
        <v>0</v>
      </c>
    </row>
    <row r="2438" spans="1:7">
      <c r="A2438" s="3">
        <v>18</v>
      </c>
      <c r="B2438" s="3">
        <v>8</v>
      </c>
      <c r="C2438" s="3">
        <v>79</v>
      </c>
      <c r="D2438" s="3">
        <v>47</v>
      </c>
      <c r="E2438" s="3">
        <v>-574.579</v>
      </c>
      <c r="F2438" s="4" t="str">
        <f>HYPERLINK("http://141.218.60.56/~jnz1568/getInfo.php?workbook=18_08.xlsx&amp;sheet=A0&amp;row=2438&amp;col=6&amp;number=0.05445&amp;sourceID=14","0.05445")</f>
        <v>0.05445</v>
      </c>
      <c r="G2438" s="4" t="str">
        <f>HYPERLINK("http://141.218.60.56/~jnz1568/getInfo.php?workbook=18_08.xlsx&amp;sheet=A0&amp;row=2438&amp;col=7&amp;number=0&amp;sourceID=14","0")</f>
        <v>0</v>
      </c>
    </row>
    <row r="2439" spans="1:7">
      <c r="A2439" s="3">
        <v>18</v>
      </c>
      <c r="B2439" s="3">
        <v>8</v>
      </c>
      <c r="C2439" s="3">
        <v>80</v>
      </c>
      <c r="D2439" s="3">
        <v>47</v>
      </c>
      <c r="E2439" s="3">
        <v>-568.253</v>
      </c>
      <c r="F2439" s="4" t="str">
        <f>HYPERLINK("http://141.218.60.56/~jnz1568/getInfo.php?workbook=18_08.xlsx&amp;sheet=A0&amp;row=2439&amp;col=6&amp;number=3955000&amp;sourceID=14","3955000")</f>
        <v>3955000</v>
      </c>
      <c r="G2439" s="4" t="str">
        <f>HYPERLINK("http://141.218.60.56/~jnz1568/getInfo.php?workbook=18_08.xlsx&amp;sheet=A0&amp;row=2439&amp;col=7&amp;number=0&amp;sourceID=14","0")</f>
        <v>0</v>
      </c>
    </row>
    <row r="2440" spans="1:7">
      <c r="A2440" s="3">
        <v>18</v>
      </c>
      <c r="B2440" s="3">
        <v>8</v>
      </c>
      <c r="C2440" s="3">
        <v>81</v>
      </c>
      <c r="D2440" s="3">
        <v>47</v>
      </c>
      <c r="E2440" s="3">
        <v>-536.747</v>
      </c>
      <c r="F2440" s="4" t="str">
        <f>HYPERLINK("http://141.218.60.56/~jnz1568/getInfo.php?workbook=18_08.xlsx&amp;sheet=A0&amp;row=2440&amp;col=6&amp;number=66510000&amp;sourceID=14","66510000")</f>
        <v>66510000</v>
      </c>
      <c r="G2440" s="4" t="str">
        <f>HYPERLINK("http://141.218.60.56/~jnz1568/getInfo.php?workbook=18_08.xlsx&amp;sheet=A0&amp;row=2440&amp;col=7&amp;number=0&amp;sourceID=14","0")</f>
        <v>0</v>
      </c>
    </row>
    <row r="2441" spans="1:7">
      <c r="A2441" s="3">
        <v>18</v>
      </c>
      <c r="B2441" s="3">
        <v>8</v>
      </c>
      <c r="C2441" s="3">
        <v>82</v>
      </c>
      <c r="D2441" s="3">
        <v>47</v>
      </c>
      <c r="E2441" s="3">
        <v>-527.489</v>
      </c>
      <c r="F2441" s="4" t="str">
        <f>HYPERLINK("http://141.218.60.56/~jnz1568/getInfo.php?workbook=18_08.xlsx&amp;sheet=A0&amp;row=2441&amp;col=6&amp;number=1052000000&amp;sourceID=14","1052000000")</f>
        <v>1052000000</v>
      </c>
      <c r="G2441" s="4" t="str">
        <f>HYPERLINK("http://141.218.60.56/~jnz1568/getInfo.php?workbook=18_08.xlsx&amp;sheet=A0&amp;row=2441&amp;col=7&amp;number=0&amp;sourceID=14","0")</f>
        <v>0</v>
      </c>
    </row>
    <row r="2442" spans="1:7">
      <c r="A2442" s="3">
        <v>18</v>
      </c>
      <c r="B2442" s="3">
        <v>8</v>
      </c>
      <c r="C2442" s="3">
        <v>83</v>
      </c>
      <c r="D2442" s="3">
        <v>47</v>
      </c>
      <c r="E2442" s="3">
        <v>-526.895</v>
      </c>
      <c r="F2442" s="4" t="str">
        <f>HYPERLINK("http://141.218.60.56/~jnz1568/getInfo.php?workbook=18_08.xlsx&amp;sheet=A0&amp;row=2442&amp;col=6&amp;number=0.09285&amp;sourceID=14","0.09285")</f>
        <v>0.09285</v>
      </c>
      <c r="G2442" s="4" t="str">
        <f>HYPERLINK("http://141.218.60.56/~jnz1568/getInfo.php?workbook=18_08.xlsx&amp;sheet=A0&amp;row=2442&amp;col=7&amp;number=0&amp;sourceID=14","0")</f>
        <v>0</v>
      </c>
    </row>
    <row r="2443" spans="1:7">
      <c r="A2443" s="3">
        <v>18</v>
      </c>
      <c r="B2443" s="3">
        <v>8</v>
      </c>
      <c r="C2443" s="3">
        <v>84</v>
      </c>
      <c r="D2443" s="3">
        <v>47</v>
      </c>
      <c r="E2443" s="3">
        <v>-493.732</v>
      </c>
      <c r="F2443" s="4" t="str">
        <f>HYPERLINK("http://141.218.60.56/~jnz1568/getInfo.php?workbook=18_08.xlsx&amp;sheet=A0&amp;row=2443&amp;col=6&amp;number=100100000&amp;sourceID=14","100100000")</f>
        <v>100100000</v>
      </c>
      <c r="G2443" s="4" t="str">
        <f>HYPERLINK("http://141.218.60.56/~jnz1568/getInfo.php?workbook=18_08.xlsx&amp;sheet=A0&amp;row=2443&amp;col=7&amp;number=0&amp;sourceID=14","0")</f>
        <v>0</v>
      </c>
    </row>
    <row r="2444" spans="1:7">
      <c r="A2444" s="3">
        <v>18</v>
      </c>
      <c r="B2444" s="3">
        <v>8</v>
      </c>
      <c r="C2444" s="3">
        <v>85</v>
      </c>
      <c r="D2444" s="3">
        <v>47</v>
      </c>
      <c r="E2444" s="3">
        <v>-484.985</v>
      </c>
      <c r="F2444" s="4" t="str">
        <f>HYPERLINK("http://141.218.60.56/~jnz1568/getInfo.php?workbook=18_08.xlsx&amp;sheet=A0&amp;row=2444&amp;col=6&amp;number=144600000&amp;sourceID=14","144600000")</f>
        <v>144600000</v>
      </c>
      <c r="G2444" s="4" t="str">
        <f>HYPERLINK("http://141.218.60.56/~jnz1568/getInfo.php?workbook=18_08.xlsx&amp;sheet=A0&amp;row=2444&amp;col=7&amp;number=0&amp;sourceID=14","0")</f>
        <v>0</v>
      </c>
    </row>
    <row r="2445" spans="1:7">
      <c r="A2445" s="3">
        <v>18</v>
      </c>
      <c r="B2445" s="3">
        <v>8</v>
      </c>
      <c r="C2445" s="3">
        <v>86</v>
      </c>
      <c r="D2445" s="3">
        <v>47</v>
      </c>
      <c r="E2445" s="3">
        <v>-421.63</v>
      </c>
      <c r="F2445" s="4" t="str">
        <f>HYPERLINK("http://141.218.60.56/~jnz1568/getInfo.php?workbook=18_08.xlsx&amp;sheet=A0&amp;row=2445&amp;col=6&amp;number=0.02598&amp;sourceID=14","0.02598")</f>
        <v>0.02598</v>
      </c>
      <c r="G2445" s="4" t="str">
        <f>HYPERLINK("http://141.218.60.56/~jnz1568/getInfo.php?workbook=18_08.xlsx&amp;sheet=A0&amp;row=2445&amp;col=7&amp;number=0&amp;sourceID=14","0")</f>
        <v>0</v>
      </c>
    </row>
    <row r="2446" spans="1:7">
      <c r="A2446" s="3">
        <v>18</v>
      </c>
      <c r="B2446" s="3">
        <v>8</v>
      </c>
      <c r="C2446" s="3">
        <v>49</v>
      </c>
      <c r="D2446" s="3">
        <v>48</v>
      </c>
      <c r="E2446" s="3">
        <v>-9519.404</v>
      </c>
      <c r="F2446" s="4" t="str">
        <f>HYPERLINK("http://141.218.60.56/~jnz1568/getInfo.php?workbook=18_08.xlsx&amp;sheet=A0&amp;row=2446&amp;col=6&amp;number=0.04449&amp;sourceID=14","0.04449")</f>
        <v>0.04449</v>
      </c>
      <c r="G2446" s="4" t="str">
        <f>HYPERLINK("http://141.218.60.56/~jnz1568/getInfo.php?workbook=18_08.xlsx&amp;sheet=A0&amp;row=2446&amp;col=7&amp;number=0&amp;sourceID=14","0")</f>
        <v>0</v>
      </c>
    </row>
    <row r="2447" spans="1:7">
      <c r="A2447" s="3">
        <v>18</v>
      </c>
      <c r="B2447" s="3">
        <v>8</v>
      </c>
      <c r="C2447" s="3">
        <v>50</v>
      </c>
      <c r="D2447" s="3">
        <v>48</v>
      </c>
      <c r="E2447" s="3">
        <v>-7459.336</v>
      </c>
      <c r="F2447" s="4" t="str">
        <f>HYPERLINK("http://141.218.60.56/~jnz1568/getInfo.php?workbook=18_08.xlsx&amp;sheet=A0&amp;row=2447&amp;col=6&amp;number=2.732&amp;sourceID=14","2.732")</f>
        <v>2.732</v>
      </c>
      <c r="G2447" s="4" t="str">
        <f>HYPERLINK("http://141.218.60.56/~jnz1568/getInfo.php?workbook=18_08.xlsx&amp;sheet=A0&amp;row=2447&amp;col=7&amp;number=0&amp;sourceID=14","0")</f>
        <v>0</v>
      </c>
    </row>
    <row r="2448" spans="1:7">
      <c r="A2448" s="3">
        <v>18</v>
      </c>
      <c r="B2448" s="3">
        <v>8</v>
      </c>
      <c r="C2448" s="3">
        <v>51</v>
      </c>
      <c r="D2448" s="3">
        <v>48</v>
      </c>
      <c r="E2448" s="3">
        <v>-2769.683</v>
      </c>
      <c r="F2448" s="4" t="str">
        <f>HYPERLINK("http://141.218.60.56/~jnz1568/getInfo.php?workbook=18_08.xlsx&amp;sheet=A0&amp;row=2448&amp;col=6&amp;number=27580&amp;sourceID=14","27580")</f>
        <v>27580</v>
      </c>
      <c r="G2448" s="4" t="str">
        <f>HYPERLINK("http://141.218.60.56/~jnz1568/getInfo.php?workbook=18_08.xlsx&amp;sheet=A0&amp;row=2448&amp;col=7&amp;number=0&amp;sourceID=14","0")</f>
        <v>0</v>
      </c>
    </row>
    <row r="2449" spans="1:7">
      <c r="A2449" s="3">
        <v>18</v>
      </c>
      <c r="B2449" s="3">
        <v>8</v>
      </c>
      <c r="C2449" s="3">
        <v>52</v>
      </c>
      <c r="D2449" s="3">
        <v>48</v>
      </c>
      <c r="E2449" s="3">
        <v>-2695.705</v>
      </c>
      <c r="F2449" s="4" t="str">
        <f>HYPERLINK("http://141.218.60.56/~jnz1568/getInfo.php?workbook=18_08.xlsx&amp;sheet=A0&amp;row=2449&amp;col=6&amp;number=76960&amp;sourceID=14","76960")</f>
        <v>76960</v>
      </c>
      <c r="G2449" s="4" t="str">
        <f>HYPERLINK("http://141.218.60.56/~jnz1568/getInfo.php?workbook=18_08.xlsx&amp;sheet=A0&amp;row=2449&amp;col=7&amp;number=0&amp;sourceID=14","0")</f>
        <v>0</v>
      </c>
    </row>
    <row r="2450" spans="1:7">
      <c r="A2450" s="3">
        <v>18</v>
      </c>
      <c r="B2450" s="3">
        <v>8</v>
      </c>
      <c r="C2450" s="3">
        <v>53</v>
      </c>
      <c r="D2450" s="3">
        <v>48</v>
      </c>
      <c r="E2450" s="3">
        <v>-6765.944</v>
      </c>
      <c r="F2450" s="4" t="str">
        <f>HYPERLINK("http://141.218.60.56/~jnz1568/getInfo.php?workbook=18_08.xlsx&amp;sheet=A0&amp;row=2450&amp;col=6&amp;number=13.19&amp;sourceID=14","13.19")</f>
        <v>13.19</v>
      </c>
      <c r="G2450" s="4" t="str">
        <f>HYPERLINK("http://141.218.60.56/~jnz1568/getInfo.php?workbook=18_08.xlsx&amp;sheet=A0&amp;row=2450&amp;col=7&amp;number=0&amp;sourceID=14","0")</f>
        <v>0</v>
      </c>
    </row>
    <row r="2451" spans="1:7">
      <c r="A2451" s="3">
        <v>18</v>
      </c>
      <c r="B2451" s="3">
        <v>8</v>
      </c>
      <c r="C2451" s="3">
        <v>54</v>
      </c>
      <c r="D2451" s="3">
        <v>48</v>
      </c>
      <c r="E2451" s="3">
        <v>-2632.601</v>
      </c>
      <c r="F2451" s="4" t="str">
        <f>HYPERLINK("http://141.218.60.56/~jnz1568/getInfo.php?workbook=18_08.xlsx&amp;sheet=A0&amp;row=2451&amp;col=6&amp;number=8.659e-09&amp;sourceID=14","8.659e-09")</f>
        <v>8.659e-09</v>
      </c>
      <c r="G2451" s="4" t="str">
        <f>HYPERLINK("http://141.218.60.56/~jnz1568/getInfo.php?workbook=18_08.xlsx&amp;sheet=A0&amp;row=2451&amp;col=7&amp;number=0&amp;sourceID=14","0")</f>
        <v>0</v>
      </c>
    </row>
    <row r="2452" spans="1:7">
      <c r="A2452" s="3">
        <v>18</v>
      </c>
      <c r="B2452" s="3">
        <v>8</v>
      </c>
      <c r="C2452" s="3">
        <v>55</v>
      </c>
      <c r="D2452" s="3">
        <v>48</v>
      </c>
      <c r="E2452" s="3">
        <v>-2251.581</v>
      </c>
      <c r="F2452" s="4" t="str">
        <f>HYPERLINK("http://141.218.60.56/~jnz1568/getInfo.php?workbook=18_08.xlsx&amp;sheet=A0&amp;row=2452&amp;col=6&amp;number=1.987&amp;sourceID=14","1.987")</f>
        <v>1.987</v>
      </c>
      <c r="G2452" s="4" t="str">
        <f>HYPERLINK("http://141.218.60.56/~jnz1568/getInfo.php?workbook=18_08.xlsx&amp;sheet=A0&amp;row=2452&amp;col=7&amp;number=0&amp;sourceID=14","0")</f>
        <v>0</v>
      </c>
    </row>
    <row r="2453" spans="1:7">
      <c r="A2453" s="3">
        <v>18</v>
      </c>
      <c r="B2453" s="3">
        <v>8</v>
      </c>
      <c r="C2453" s="3">
        <v>56</v>
      </c>
      <c r="D2453" s="3">
        <v>48</v>
      </c>
      <c r="E2453" s="3">
        <v>-1082.497</v>
      </c>
      <c r="F2453" s="4" t="str">
        <f>HYPERLINK("http://141.218.60.56/~jnz1568/getInfo.php?workbook=18_08.xlsx&amp;sheet=A0&amp;row=2453&amp;col=6&amp;number=639100&amp;sourceID=14","639100")</f>
        <v>639100</v>
      </c>
      <c r="G2453" s="4" t="str">
        <f>HYPERLINK("http://141.218.60.56/~jnz1568/getInfo.php?workbook=18_08.xlsx&amp;sheet=A0&amp;row=2453&amp;col=7&amp;number=0&amp;sourceID=14","0")</f>
        <v>0</v>
      </c>
    </row>
    <row r="2454" spans="1:7">
      <c r="A2454" s="3">
        <v>18</v>
      </c>
      <c r="B2454" s="3">
        <v>8</v>
      </c>
      <c r="C2454" s="3">
        <v>57</v>
      </c>
      <c r="D2454" s="3">
        <v>48</v>
      </c>
      <c r="E2454" s="3">
        <v>-1042.697</v>
      </c>
      <c r="F2454" s="4" t="str">
        <f>HYPERLINK("http://141.218.60.56/~jnz1568/getInfo.php?workbook=18_08.xlsx&amp;sheet=A0&amp;row=2454&amp;col=6&amp;number=0.000189&amp;sourceID=14","0.000189")</f>
        <v>0.000189</v>
      </c>
      <c r="G2454" s="4" t="str">
        <f>HYPERLINK("http://141.218.60.56/~jnz1568/getInfo.php?workbook=18_08.xlsx&amp;sheet=A0&amp;row=2454&amp;col=7&amp;number=0&amp;sourceID=14","0")</f>
        <v>0</v>
      </c>
    </row>
    <row r="2455" spans="1:7">
      <c r="A2455" s="3">
        <v>18</v>
      </c>
      <c r="B2455" s="3">
        <v>8</v>
      </c>
      <c r="C2455" s="3">
        <v>58</v>
      </c>
      <c r="D2455" s="3">
        <v>48</v>
      </c>
      <c r="E2455" s="3">
        <v>-1013.883</v>
      </c>
      <c r="F2455" s="4" t="str">
        <f>HYPERLINK("http://141.218.60.56/~jnz1568/getInfo.php?workbook=18_08.xlsx&amp;sheet=A0&amp;row=2455&amp;col=6&amp;number=50350000&amp;sourceID=14","50350000")</f>
        <v>50350000</v>
      </c>
      <c r="G2455" s="4" t="str">
        <f>HYPERLINK("http://141.218.60.56/~jnz1568/getInfo.php?workbook=18_08.xlsx&amp;sheet=A0&amp;row=2455&amp;col=7&amp;number=0&amp;sourceID=14","0")</f>
        <v>0</v>
      </c>
    </row>
    <row r="2456" spans="1:7">
      <c r="A2456" s="3">
        <v>18</v>
      </c>
      <c r="B2456" s="3">
        <v>8</v>
      </c>
      <c r="C2456" s="3">
        <v>60</v>
      </c>
      <c r="D2456" s="3">
        <v>48</v>
      </c>
      <c r="E2456" s="3">
        <v>-934.502</v>
      </c>
      <c r="F2456" s="4" t="str">
        <f>HYPERLINK("http://141.218.60.56/~jnz1568/getInfo.php?workbook=18_08.xlsx&amp;sheet=A0&amp;row=2456&amp;col=6&amp;number=5.753e-05&amp;sourceID=14","5.753e-05")</f>
        <v>5.753e-05</v>
      </c>
      <c r="G2456" s="4" t="str">
        <f>HYPERLINK("http://141.218.60.56/~jnz1568/getInfo.php?workbook=18_08.xlsx&amp;sheet=A0&amp;row=2456&amp;col=7&amp;number=0&amp;sourceID=14","0")</f>
        <v>0</v>
      </c>
    </row>
    <row r="2457" spans="1:7">
      <c r="A2457" s="3">
        <v>18</v>
      </c>
      <c r="B2457" s="3">
        <v>8</v>
      </c>
      <c r="C2457" s="3">
        <v>64</v>
      </c>
      <c r="D2457" s="3">
        <v>48</v>
      </c>
      <c r="E2457" s="3">
        <v>-799.248</v>
      </c>
      <c r="F2457" s="4" t="str">
        <f>HYPERLINK("http://141.218.60.56/~jnz1568/getInfo.php?workbook=18_08.xlsx&amp;sheet=A0&amp;row=2457&amp;col=6&amp;number=52010000&amp;sourceID=14","52010000")</f>
        <v>52010000</v>
      </c>
      <c r="G2457" s="4" t="str">
        <f>HYPERLINK("http://141.218.60.56/~jnz1568/getInfo.php?workbook=18_08.xlsx&amp;sheet=A0&amp;row=2457&amp;col=7&amp;number=0&amp;sourceID=14","0")</f>
        <v>0</v>
      </c>
    </row>
    <row r="2458" spans="1:7">
      <c r="A2458" s="3">
        <v>18</v>
      </c>
      <c r="B2458" s="3">
        <v>8</v>
      </c>
      <c r="C2458" s="3">
        <v>65</v>
      </c>
      <c r="D2458" s="3">
        <v>48</v>
      </c>
      <c r="E2458" s="3">
        <v>-1047.68</v>
      </c>
      <c r="F2458" s="4" t="str">
        <f>HYPERLINK("http://141.218.60.56/~jnz1568/getInfo.php?workbook=18_08.xlsx&amp;sheet=A0&amp;row=2458&amp;col=6&amp;number=122.4&amp;sourceID=14","122.4")</f>
        <v>122.4</v>
      </c>
      <c r="G2458" s="4" t="str">
        <f>HYPERLINK("http://141.218.60.56/~jnz1568/getInfo.php?workbook=18_08.xlsx&amp;sheet=A0&amp;row=2458&amp;col=7&amp;number=0&amp;sourceID=14","0")</f>
        <v>0</v>
      </c>
    </row>
    <row r="2459" spans="1:7">
      <c r="A2459" s="3">
        <v>18</v>
      </c>
      <c r="B2459" s="3">
        <v>8</v>
      </c>
      <c r="C2459" s="3">
        <v>66</v>
      </c>
      <c r="D2459" s="3">
        <v>48</v>
      </c>
      <c r="E2459" s="3">
        <v>-811.114</v>
      </c>
      <c r="F2459" s="4" t="str">
        <f>HYPERLINK("http://141.218.60.56/~jnz1568/getInfo.php?workbook=18_08.xlsx&amp;sheet=A0&amp;row=2459&amp;col=6&amp;number=8820000&amp;sourceID=14","8820000")</f>
        <v>8820000</v>
      </c>
      <c r="G2459" s="4" t="str">
        <f>HYPERLINK("http://141.218.60.56/~jnz1568/getInfo.php?workbook=18_08.xlsx&amp;sheet=A0&amp;row=2459&amp;col=7&amp;number=0&amp;sourceID=14","0")</f>
        <v>0</v>
      </c>
    </row>
    <row r="2460" spans="1:7">
      <c r="A2460" s="3">
        <v>18</v>
      </c>
      <c r="B2460" s="3">
        <v>8</v>
      </c>
      <c r="C2460" s="3">
        <v>67</v>
      </c>
      <c r="D2460" s="3">
        <v>48</v>
      </c>
      <c r="E2460" s="3">
        <v>-864.123</v>
      </c>
      <c r="F2460" s="4" t="str">
        <f>HYPERLINK("http://141.218.60.56/~jnz1568/getInfo.php?workbook=18_08.xlsx&amp;sheet=A0&amp;row=2460&amp;col=6&amp;number=17000000&amp;sourceID=14","17000000")</f>
        <v>17000000</v>
      </c>
      <c r="G2460" s="4" t="str">
        <f>HYPERLINK("http://141.218.60.56/~jnz1568/getInfo.php?workbook=18_08.xlsx&amp;sheet=A0&amp;row=2460&amp;col=7&amp;number=0&amp;sourceID=14","0")</f>
        <v>0</v>
      </c>
    </row>
    <row r="2461" spans="1:7">
      <c r="A2461" s="3">
        <v>18</v>
      </c>
      <c r="B2461" s="3">
        <v>8</v>
      </c>
      <c r="C2461" s="3">
        <v>68</v>
      </c>
      <c r="D2461" s="3">
        <v>48</v>
      </c>
      <c r="E2461" s="3">
        <v>-794.086</v>
      </c>
      <c r="F2461" s="4" t="str">
        <f>HYPERLINK("http://141.218.60.56/~jnz1568/getInfo.php?workbook=18_08.xlsx&amp;sheet=A0&amp;row=2461&amp;col=6&amp;number=0.005812&amp;sourceID=14","0.005812")</f>
        <v>0.005812</v>
      </c>
      <c r="G2461" s="4" t="str">
        <f>HYPERLINK("http://141.218.60.56/~jnz1568/getInfo.php?workbook=18_08.xlsx&amp;sheet=A0&amp;row=2461&amp;col=7&amp;number=0&amp;sourceID=14","0")</f>
        <v>0</v>
      </c>
    </row>
    <row r="2462" spans="1:7">
      <c r="A2462" s="3">
        <v>18</v>
      </c>
      <c r="B2462" s="3">
        <v>8</v>
      </c>
      <c r="C2462" s="3">
        <v>69</v>
      </c>
      <c r="D2462" s="3">
        <v>48</v>
      </c>
      <c r="E2462" s="3">
        <v>-748.752</v>
      </c>
      <c r="F2462" s="4" t="str">
        <f>HYPERLINK("http://141.218.60.56/~jnz1568/getInfo.php?workbook=18_08.xlsx&amp;sheet=A0&amp;row=2462&amp;col=6&amp;number=11120000&amp;sourceID=14","11120000")</f>
        <v>11120000</v>
      </c>
      <c r="G2462" s="4" t="str">
        <f>HYPERLINK("http://141.218.60.56/~jnz1568/getInfo.php?workbook=18_08.xlsx&amp;sheet=A0&amp;row=2462&amp;col=7&amp;number=0&amp;sourceID=14","0")</f>
        <v>0</v>
      </c>
    </row>
    <row r="2463" spans="1:7">
      <c r="A2463" s="3">
        <v>18</v>
      </c>
      <c r="B2463" s="3">
        <v>8</v>
      </c>
      <c r="C2463" s="3">
        <v>70</v>
      </c>
      <c r="D2463" s="3">
        <v>48</v>
      </c>
      <c r="E2463" s="3">
        <v>-726.754</v>
      </c>
      <c r="F2463" s="4" t="str">
        <f>HYPERLINK("http://141.218.60.56/~jnz1568/getInfo.php?workbook=18_08.xlsx&amp;sheet=A0&amp;row=2463&amp;col=6&amp;number=19800000&amp;sourceID=14","19800000")</f>
        <v>19800000</v>
      </c>
      <c r="G2463" s="4" t="str">
        <f>HYPERLINK("http://141.218.60.56/~jnz1568/getInfo.php?workbook=18_08.xlsx&amp;sheet=A0&amp;row=2463&amp;col=7&amp;number=0&amp;sourceID=14","0")</f>
        <v>0</v>
      </c>
    </row>
    <row r="2464" spans="1:7">
      <c r="A2464" s="3">
        <v>18</v>
      </c>
      <c r="B2464" s="3">
        <v>8</v>
      </c>
      <c r="C2464" s="3">
        <v>71</v>
      </c>
      <c r="D2464" s="3">
        <v>48</v>
      </c>
      <c r="E2464" s="3">
        <v>-723.296</v>
      </c>
      <c r="F2464" s="4" t="str">
        <f>HYPERLINK("http://141.218.60.56/~jnz1568/getInfo.php?workbook=18_08.xlsx&amp;sheet=A0&amp;row=2464&amp;col=6&amp;number=12420000&amp;sourceID=14","12420000")</f>
        <v>12420000</v>
      </c>
      <c r="G2464" s="4" t="str">
        <f>HYPERLINK("http://141.218.60.56/~jnz1568/getInfo.php?workbook=18_08.xlsx&amp;sheet=A0&amp;row=2464&amp;col=7&amp;number=0&amp;sourceID=14","0")</f>
        <v>0</v>
      </c>
    </row>
    <row r="2465" spans="1:7">
      <c r="A2465" s="3">
        <v>18</v>
      </c>
      <c r="B2465" s="3">
        <v>8</v>
      </c>
      <c r="C2465" s="3">
        <v>72</v>
      </c>
      <c r="D2465" s="3">
        <v>48</v>
      </c>
      <c r="E2465" s="3">
        <v>-760.425</v>
      </c>
      <c r="F2465" s="4" t="str">
        <f>HYPERLINK("http://141.218.60.56/~jnz1568/getInfo.php?workbook=18_08.xlsx&amp;sheet=A0&amp;row=2465&amp;col=6&amp;number=110400000&amp;sourceID=14","110400000")</f>
        <v>110400000</v>
      </c>
      <c r="G2465" s="4" t="str">
        <f>HYPERLINK("http://141.218.60.56/~jnz1568/getInfo.php?workbook=18_08.xlsx&amp;sheet=A0&amp;row=2465&amp;col=7&amp;number=0&amp;sourceID=14","0")</f>
        <v>0</v>
      </c>
    </row>
    <row r="2466" spans="1:7">
      <c r="A2466" s="3">
        <v>18</v>
      </c>
      <c r="B2466" s="3">
        <v>8</v>
      </c>
      <c r="C2466" s="3">
        <v>73</v>
      </c>
      <c r="D2466" s="3">
        <v>48</v>
      </c>
      <c r="E2466" s="3">
        <v>-700.201</v>
      </c>
      <c r="F2466" s="4" t="str">
        <f>HYPERLINK("http://141.218.60.56/~jnz1568/getInfo.php?workbook=18_08.xlsx&amp;sheet=A0&amp;row=2466&amp;col=6&amp;number=13990000&amp;sourceID=14","13990000")</f>
        <v>13990000</v>
      </c>
      <c r="G2466" s="4" t="str">
        <f>HYPERLINK("http://141.218.60.56/~jnz1568/getInfo.php?workbook=18_08.xlsx&amp;sheet=A0&amp;row=2466&amp;col=7&amp;number=0&amp;sourceID=14","0")</f>
        <v>0</v>
      </c>
    </row>
    <row r="2467" spans="1:7">
      <c r="A2467" s="3">
        <v>18</v>
      </c>
      <c r="B2467" s="3">
        <v>8</v>
      </c>
      <c r="C2467" s="3">
        <v>74</v>
      </c>
      <c r="D2467" s="3">
        <v>48</v>
      </c>
      <c r="E2467" s="3">
        <v>-636.003</v>
      </c>
      <c r="F2467" s="4" t="str">
        <f>HYPERLINK("http://141.218.60.56/~jnz1568/getInfo.php?workbook=18_08.xlsx&amp;sheet=A0&amp;row=2467&amp;col=6&amp;number=0.002182&amp;sourceID=14","0.002182")</f>
        <v>0.002182</v>
      </c>
      <c r="G2467" s="4" t="str">
        <f>HYPERLINK("http://141.218.60.56/~jnz1568/getInfo.php?workbook=18_08.xlsx&amp;sheet=A0&amp;row=2467&amp;col=7&amp;number=0&amp;sourceID=14","0")</f>
        <v>0</v>
      </c>
    </row>
    <row r="2468" spans="1:7">
      <c r="A2468" s="3">
        <v>18</v>
      </c>
      <c r="B2468" s="3">
        <v>8</v>
      </c>
      <c r="C2468" s="3">
        <v>75</v>
      </c>
      <c r="D2468" s="3">
        <v>48</v>
      </c>
      <c r="E2468" s="3">
        <v>-622.346</v>
      </c>
      <c r="F2468" s="4" t="str">
        <f>HYPERLINK("http://141.218.60.56/~jnz1568/getInfo.php?workbook=18_08.xlsx&amp;sheet=A0&amp;row=2468&amp;col=6&amp;number=102400000&amp;sourceID=14","102400000")</f>
        <v>102400000</v>
      </c>
      <c r="G2468" s="4" t="str">
        <f>HYPERLINK("http://141.218.60.56/~jnz1568/getInfo.php?workbook=18_08.xlsx&amp;sheet=A0&amp;row=2468&amp;col=7&amp;number=0&amp;sourceID=14","0")</f>
        <v>0</v>
      </c>
    </row>
    <row r="2469" spans="1:7">
      <c r="A2469" s="3">
        <v>18</v>
      </c>
      <c r="B2469" s="3">
        <v>8</v>
      </c>
      <c r="C2469" s="3">
        <v>77</v>
      </c>
      <c r="D2469" s="3">
        <v>48</v>
      </c>
      <c r="E2469" s="3">
        <v>-613.615</v>
      </c>
      <c r="F2469" s="4" t="str">
        <f>HYPERLINK("http://141.218.60.56/~jnz1568/getInfo.php?workbook=18_08.xlsx&amp;sheet=A0&amp;row=2469&amp;col=6&amp;number=1.174e-05&amp;sourceID=14","1.174e-05")</f>
        <v>1.174e-05</v>
      </c>
      <c r="G2469" s="4" t="str">
        <f>HYPERLINK("http://141.218.60.56/~jnz1568/getInfo.php?workbook=18_08.xlsx&amp;sheet=A0&amp;row=2469&amp;col=7&amp;number=0&amp;sourceID=14","0")</f>
        <v>0</v>
      </c>
    </row>
    <row r="2470" spans="1:7">
      <c r="A2470" s="3">
        <v>18</v>
      </c>
      <c r="B2470" s="3">
        <v>8</v>
      </c>
      <c r="C2470" s="3">
        <v>78</v>
      </c>
      <c r="D2470" s="3">
        <v>48</v>
      </c>
      <c r="E2470" s="3">
        <v>-619.177</v>
      </c>
      <c r="F2470" s="4" t="str">
        <f>HYPERLINK("http://141.218.60.56/~jnz1568/getInfo.php?workbook=18_08.xlsx&amp;sheet=A0&amp;row=2470&amp;col=6&amp;number=14090000&amp;sourceID=14","14090000")</f>
        <v>14090000</v>
      </c>
      <c r="G2470" s="4" t="str">
        <f>HYPERLINK("http://141.218.60.56/~jnz1568/getInfo.php?workbook=18_08.xlsx&amp;sheet=A0&amp;row=2470&amp;col=7&amp;number=0&amp;sourceID=14","0")</f>
        <v>0</v>
      </c>
    </row>
    <row r="2471" spans="1:7">
      <c r="A2471" s="3">
        <v>18</v>
      </c>
      <c r="B2471" s="3">
        <v>8</v>
      </c>
      <c r="C2471" s="3">
        <v>79</v>
      </c>
      <c r="D2471" s="3">
        <v>48</v>
      </c>
      <c r="E2471" s="3">
        <v>-607.934</v>
      </c>
      <c r="F2471" s="4" t="str">
        <f>HYPERLINK("http://141.218.60.56/~jnz1568/getInfo.php?workbook=18_08.xlsx&amp;sheet=A0&amp;row=2471&amp;col=6&amp;number=32700000&amp;sourceID=14","32700000")</f>
        <v>32700000</v>
      </c>
      <c r="G2471" s="4" t="str">
        <f>HYPERLINK("http://141.218.60.56/~jnz1568/getInfo.php?workbook=18_08.xlsx&amp;sheet=A0&amp;row=2471&amp;col=7&amp;number=0&amp;sourceID=14","0")</f>
        <v>0</v>
      </c>
    </row>
    <row r="2472" spans="1:7">
      <c r="A2472" s="3">
        <v>18</v>
      </c>
      <c r="B2472" s="3">
        <v>8</v>
      </c>
      <c r="C2472" s="3">
        <v>80</v>
      </c>
      <c r="D2472" s="3">
        <v>48</v>
      </c>
      <c r="E2472" s="3">
        <v>-600.857</v>
      </c>
      <c r="F2472" s="4" t="str">
        <f>HYPERLINK("http://141.218.60.56/~jnz1568/getInfo.php?workbook=18_08.xlsx&amp;sheet=A0&amp;row=2472&amp;col=6&amp;number=28110000&amp;sourceID=14","28110000")</f>
        <v>28110000</v>
      </c>
      <c r="G2472" s="4" t="str">
        <f>HYPERLINK("http://141.218.60.56/~jnz1568/getInfo.php?workbook=18_08.xlsx&amp;sheet=A0&amp;row=2472&amp;col=7&amp;number=0&amp;sourceID=14","0")</f>
        <v>0</v>
      </c>
    </row>
    <row r="2473" spans="1:7">
      <c r="A2473" s="3">
        <v>18</v>
      </c>
      <c r="B2473" s="3">
        <v>8</v>
      </c>
      <c r="C2473" s="3">
        <v>81</v>
      </c>
      <c r="D2473" s="3">
        <v>48</v>
      </c>
      <c r="E2473" s="3">
        <v>-565.744</v>
      </c>
      <c r="F2473" s="4" t="str">
        <f>HYPERLINK("http://141.218.60.56/~jnz1568/getInfo.php?workbook=18_08.xlsx&amp;sheet=A0&amp;row=2473&amp;col=6&amp;number=794000000&amp;sourceID=14","794000000")</f>
        <v>794000000</v>
      </c>
      <c r="G2473" s="4" t="str">
        <f>HYPERLINK("http://141.218.60.56/~jnz1568/getInfo.php?workbook=18_08.xlsx&amp;sheet=A0&amp;row=2473&amp;col=7&amp;number=0&amp;sourceID=14","0")</f>
        <v>0</v>
      </c>
    </row>
    <row r="2474" spans="1:7">
      <c r="A2474" s="3">
        <v>18</v>
      </c>
      <c r="B2474" s="3">
        <v>8</v>
      </c>
      <c r="C2474" s="3">
        <v>82</v>
      </c>
      <c r="D2474" s="3">
        <v>48</v>
      </c>
      <c r="E2474" s="3">
        <v>-555.467</v>
      </c>
      <c r="F2474" s="4" t="str">
        <f>HYPERLINK("http://141.218.60.56/~jnz1568/getInfo.php?workbook=18_08.xlsx&amp;sheet=A0&amp;row=2474&amp;col=6&amp;number=0.1414&amp;sourceID=14","0.1414")</f>
        <v>0.1414</v>
      </c>
      <c r="G2474" s="4" t="str">
        <f>HYPERLINK("http://141.218.60.56/~jnz1568/getInfo.php?workbook=18_08.xlsx&amp;sheet=A0&amp;row=2474&amp;col=7&amp;number=0&amp;sourceID=14","0")</f>
        <v>0</v>
      </c>
    </row>
    <row r="2475" spans="1:7">
      <c r="A2475" s="3">
        <v>18</v>
      </c>
      <c r="B2475" s="3">
        <v>8</v>
      </c>
      <c r="C2475" s="3">
        <v>83</v>
      </c>
      <c r="D2475" s="3">
        <v>48</v>
      </c>
      <c r="E2475" s="3">
        <v>-554.809</v>
      </c>
      <c r="F2475" s="4" t="str">
        <f>HYPERLINK("http://141.218.60.56/~jnz1568/getInfo.php?workbook=18_08.xlsx&amp;sheet=A0&amp;row=2475&amp;col=6&amp;number=7785000&amp;sourceID=14","7785000")</f>
        <v>7785000</v>
      </c>
      <c r="G2475" s="4" t="str">
        <f>HYPERLINK("http://141.218.60.56/~jnz1568/getInfo.php?workbook=18_08.xlsx&amp;sheet=A0&amp;row=2475&amp;col=7&amp;number=0&amp;sourceID=14","0")</f>
        <v>0</v>
      </c>
    </row>
    <row r="2476" spans="1:7">
      <c r="A2476" s="3">
        <v>18</v>
      </c>
      <c r="B2476" s="3">
        <v>8</v>
      </c>
      <c r="C2476" s="3">
        <v>84</v>
      </c>
      <c r="D2476" s="3">
        <v>48</v>
      </c>
      <c r="E2476" s="3">
        <v>-518.161</v>
      </c>
      <c r="F2476" s="4" t="str">
        <f>HYPERLINK("http://141.218.60.56/~jnz1568/getInfo.php?workbook=18_08.xlsx&amp;sheet=A0&amp;row=2476&amp;col=6&amp;number=1477000000&amp;sourceID=14","1477000000")</f>
        <v>1477000000</v>
      </c>
      <c r="G2476" s="4" t="str">
        <f>HYPERLINK("http://141.218.60.56/~jnz1568/getInfo.php?workbook=18_08.xlsx&amp;sheet=A0&amp;row=2476&amp;col=7&amp;number=0&amp;sourceID=14","0")</f>
        <v>0</v>
      </c>
    </row>
    <row r="2477" spans="1:7">
      <c r="A2477" s="3">
        <v>18</v>
      </c>
      <c r="B2477" s="3">
        <v>8</v>
      </c>
      <c r="C2477" s="3">
        <v>85</v>
      </c>
      <c r="D2477" s="3">
        <v>48</v>
      </c>
      <c r="E2477" s="3">
        <v>-508.536</v>
      </c>
      <c r="F2477" s="4" t="str">
        <f>HYPERLINK("http://141.218.60.56/~jnz1568/getInfo.php?workbook=18_08.xlsx&amp;sheet=A0&amp;row=2477&amp;col=6&amp;number=0.1402&amp;sourceID=14","0.1402")</f>
        <v>0.1402</v>
      </c>
      <c r="G2477" s="4" t="str">
        <f>HYPERLINK("http://141.218.60.56/~jnz1568/getInfo.php?workbook=18_08.xlsx&amp;sheet=A0&amp;row=2477&amp;col=7&amp;number=0&amp;sourceID=14","0")</f>
        <v>0</v>
      </c>
    </row>
    <row r="2478" spans="1:7">
      <c r="A2478" s="3">
        <v>18</v>
      </c>
      <c r="B2478" s="3">
        <v>8</v>
      </c>
      <c r="C2478" s="3">
        <v>86</v>
      </c>
      <c r="D2478" s="3">
        <v>48</v>
      </c>
      <c r="E2478" s="3">
        <v>-439.317</v>
      </c>
      <c r="F2478" s="4" t="str">
        <f>HYPERLINK("http://141.218.60.56/~jnz1568/getInfo.php?workbook=18_08.xlsx&amp;sheet=A0&amp;row=2478&amp;col=6&amp;number=2981000000&amp;sourceID=14","2981000000")</f>
        <v>2981000000</v>
      </c>
      <c r="G2478" s="4" t="str">
        <f>HYPERLINK("http://141.218.60.56/~jnz1568/getInfo.php?workbook=18_08.xlsx&amp;sheet=A0&amp;row=2478&amp;col=7&amp;number=0&amp;sourceID=14","0")</f>
        <v>0</v>
      </c>
    </row>
    <row r="2479" spans="1:7">
      <c r="A2479" s="3">
        <v>18</v>
      </c>
      <c r="B2479" s="3">
        <v>8</v>
      </c>
      <c r="C2479" s="3">
        <v>50</v>
      </c>
      <c r="D2479" s="3">
        <v>49</v>
      </c>
      <c r="E2479" s="3">
        <v>-34468.984</v>
      </c>
      <c r="F2479" s="4" t="str">
        <f>HYPERLINK("http://141.218.60.56/~jnz1568/getInfo.php?workbook=18_08.xlsx&amp;sheet=A0&amp;row=2479&amp;col=6&amp;number=0.3476&amp;sourceID=14","0.3476")</f>
        <v>0.3476</v>
      </c>
      <c r="G2479" s="4" t="str">
        <f>HYPERLINK("http://141.218.60.56/~jnz1568/getInfo.php?workbook=18_08.xlsx&amp;sheet=A0&amp;row=2479&amp;col=7&amp;number=0&amp;sourceID=14","0")</f>
        <v>0</v>
      </c>
    </row>
    <row r="2480" spans="1:7">
      <c r="A2480" s="3">
        <v>18</v>
      </c>
      <c r="B2480" s="3">
        <v>8</v>
      </c>
      <c r="C2480" s="3">
        <v>51</v>
      </c>
      <c r="D2480" s="3">
        <v>49</v>
      </c>
      <c r="E2480" s="3">
        <v>-3906.197</v>
      </c>
      <c r="F2480" s="4" t="str">
        <f>HYPERLINK("http://141.218.60.56/~jnz1568/getInfo.php?workbook=18_08.xlsx&amp;sheet=A0&amp;row=2480&amp;col=6&amp;number=47.09&amp;sourceID=14","47.09")</f>
        <v>47.09</v>
      </c>
      <c r="G2480" s="4" t="str">
        <f>HYPERLINK("http://141.218.60.56/~jnz1568/getInfo.php?workbook=18_08.xlsx&amp;sheet=A0&amp;row=2480&amp;col=7&amp;number=0&amp;sourceID=14","0")</f>
        <v>0</v>
      </c>
    </row>
    <row r="2481" spans="1:7">
      <c r="A2481" s="3">
        <v>18</v>
      </c>
      <c r="B2481" s="3">
        <v>8</v>
      </c>
      <c r="C2481" s="3">
        <v>52</v>
      </c>
      <c r="D2481" s="3">
        <v>49</v>
      </c>
      <c r="E2481" s="3">
        <v>-3760.645</v>
      </c>
      <c r="F2481" s="4" t="str">
        <f>HYPERLINK("http://141.218.60.56/~jnz1568/getInfo.php?workbook=18_08.xlsx&amp;sheet=A0&amp;row=2481&amp;col=6&amp;number=327.9&amp;sourceID=14","327.9")</f>
        <v>327.9</v>
      </c>
      <c r="G2481" s="4" t="str">
        <f>HYPERLINK("http://141.218.60.56/~jnz1568/getInfo.php?workbook=18_08.xlsx&amp;sheet=A0&amp;row=2481&amp;col=7&amp;number=0&amp;sourceID=14","0")</f>
        <v>0</v>
      </c>
    </row>
    <row r="2482" spans="1:7">
      <c r="A2482" s="3">
        <v>18</v>
      </c>
      <c r="B2482" s="3">
        <v>8</v>
      </c>
      <c r="C2482" s="3">
        <v>53</v>
      </c>
      <c r="D2482" s="3">
        <v>49</v>
      </c>
      <c r="E2482" s="3">
        <v>-23391.566</v>
      </c>
      <c r="F2482" s="4" t="str">
        <f>HYPERLINK("http://141.218.60.56/~jnz1568/getInfo.php?workbook=18_08.xlsx&amp;sheet=A0&amp;row=2482&amp;col=6&amp;number=3.747e-06&amp;sourceID=14","3.747e-06")</f>
        <v>3.747e-06</v>
      </c>
      <c r="G2482" s="4" t="str">
        <f>HYPERLINK("http://141.218.60.56/~jnz1568/getInfo.php?workbook=18_08.xlsx&amp;sheet=A0&amp;row=2482&amp;col=7&amp;number=0&amp;sourceID=14","0")</f>
        <v>0</v>
      </c>
    </row>
    <row r="2483" spans="1:7">
      <c r="A2483" s="3">
        <v>18</v>
      </c>
      <c r="B2483" s="3">
        <v>8</v>
      </c>
      <c r="C2483" s="3">
        <v>54</v>
      </c>
      <c r="D2483" s="3">
        <v>49</v>
      </c>
      <c r="E2483" s="3">
        <v>-3638.959</v>
      </c>
      <c r="F2483" s="4" t="str">
        <f>HYPERLINK("http://141.218.60.56/~jnz1568/getInfo.php?workbook=18_08.xlsx&amp;sheet=A0&amp;row=2483&amp;col=6&amp;number=7362&amp;sourceID=14","7362")</f>
        <v>7362</v>
      </c>
      <c r="G2483" s="4" t="str">
        <f>HYPERLINK("http://141.218.60.56/~jnz1568/getInfo.php?workbook=18_08.xlsx&amp;sheet=A0&amp;row=2483&amp;col=7&amp;number=0&amp;sourceID=14","0")</f>
        <v>0</v>
      </c>
    </row>
    <row r="2484" spans="1:7">
      <c r="A2484" s="3">
        <v>18</v>
      </c>
      <c r="B2484" s="3">
        <v>8</v>
      </c>
      <c r="C2484" s="3">
        <v>55</v>
      </c>
      <c r="D2484" s="3">
        <v>49</v>
      </c>
      <c r="E2484" s="3">
        <v>-2949.123</v>
      </c>
      <c r="F2484" s="4" t="str">
        <f>HYPERLINK("http://141.218.60.56/~jnz1568/getInfo.php?workbook=18_08.xlsx&amp;sheet=A0&amp;row=2484&amp;col=6&amp;number=32.73&amp;sourceID=14","32.73")</f>
        <v>32.73</v>
      </c>
      <c r="G2484" s="4" t="str">
        <f>HYPERLINK("http://141.218.60.56/~jnz1568/getInfo.php?workbook=18_08.xlsx&amp;sheet=A0&amp;row=2484&amp;col=7&amp;number=0&amp;sourceID=14","0")</f>
        <v>0</v>
      </c>
    </row>
    <row r="2485" spans="1:7">
      <c r="A2485" s="3">
        <v>18</v>
      </c>
      <c r="B2485" s="3">
        <v>8</v>
      </c>
      <c r="C2485" s="3">
        <v>56</v>
      </c>
      <c r="D2485" s="3">
        <v>49</v>
      </c>
      <c r="E2485" s="3">
        <v>-1221.386</v>
      </c>
      <c r="F2485" s="4" t="str">
        <f>HYPERLINK("http://141.218.60.56/~jnz1568/getInfo.php?workbook=18_08.xlsx&amp;sheet=A0&amp;row=2485&amp;col=6&amp;number=10870&amp;sourceID=14","10870")</f>
        <v>10870</v>
      </c>
      <c r="G2485" s="4" t="str">
        <f>HYPERLINK("http://141.218.60.56/~jnz1568/getInfo.php?workbook=18_08.xlsx&amp;sheet=A0&amp;row=2485&amp;col=7&amp;number=0&amp;sourceID=14","0")</f>
        <v>0</v>
      </c>
    </row>
    <row r="2486" spans="1:7">
      <c r="A2486" s="3">
        <v>18</v>
      </c>
      <c r="B2486" s="3">
        <v>8</v>
      </c>
      <c r="C2486" s="3">
        <v>57</v>
      </c>
      <c r="D2486" s="3">
        <v>49</v>
      </c>
      <c r="E2486" s="3">
        <v>-1170.956</v>
      </c>
      <c r="F2486" s="4" t="str">
        <f>HYPERLINK("http://141.218.60.56/~jnz1568/getInfo.php?workbook=18_08.xlsx&amp;sheet=A0&amp;row=2486&amp;col=6&amp;number=41080&amp;sourceID=14","41080")</f>
        <v>41080</v>
      </c>
      <c r="G2486" s="4" t="str">
        <f>HYPERLINK("http://141.218.60.56/~jnz1568/getInfo.php?workbook=18_08.xlsx&amp;sheet=A0&amp;row=2486&amp;col=7&amp;number=0&amp;sourceID=14","0")</f>
        <v>0</v>
      </c>
    </row>
    <row r="2487" spans="1:7">
      <c r="A2487" s="3">
        <v>18</v>
      </c>
      <c r="B2487" s="3">
        <v>8</v>
      </c>
      <c r="C2487" s="3">
        <v>58</v>
      </c>
      <c r="D2487" s="3">
        <v>49</v>
      </c>
      <c r="E2487" s="3">
        <v>-1134.741</v>
      </c>
      <c r="F2487" s="4" t="str">
        <f>HYPERLINK("http://141.218.60.56/~jnz1568/getInfo.php?workbook=18_08.xlsx&amp;sheet=A0&amp;row=2487&amp;col=6&amp;number=0.0001899&amp;sourceID=14","0.0001899")</f>
        <v>0.0001899</v>
      </c>
      <c r="G2487" s="4" t="str">
        <f>HYPERLINK("http://141.218.60.56/~jnz1568/getInfo.php?workbook=18_08.xlsx&amp;sheet=A0&amp;row=2487&amp;col=7&amp;number=0&amp;sourceID=14","0")</f>
        <v>0</v>
      </c>
    </row>
    <row r="2488" spans="1:7">
      <c r="A2488" s="3">
        <v>18</v>
      </c>
      <c r="B2488" s="3">
        <v>8</v>
      </c>
      <c r="C2488" s="3">
        <v>59</v>
      </c>
      <c r="D2488" s="3">
        <v>49</v>
      </c>
      <c r="E2488" s="3">
        <v>-1116.915</v>
      </c>
      <c r="F2488" s="4" t="str">
        <f>HYPERLINK("http://141.218.60.56/~jnz1568/getInfo.php?workbook=18_08.xlsx&amp;sheet=A0&amp;row=2488&amp;col=6&amp;number=0.0001837&amp;sourceID=14","0.0001837")</f>
        <v>0.0001837</v>
      </c>
      <c r="G2488" s="4" t="str">
        <f>HYPERLINK("http://141.218.60.56/~jnz1568/getInfo.php?workbook=18_08.xlsx&amp;sheet=A0&amp;row=2488&amp;col=7&amp;number=0&amp;sourceID=14","0")</f>
        <v>0</v>
      </c>
    </row>
    <row r="2489" spans="1:7">
      <c r="A2489" s="3">
        <v>18</v>
      </c>
      <c r="B2489" s="3">
        <v>8</v>
      </c>
      <c r="C2489" s="3">
        <v>60</v>
      </c>
      <c r="D2489" s="3">
        <v>49</v>
      </c>
      <c r="E2489" s="3">
        <v>-1036.226</v>
      </c>
      <c r="F2489" s="4" t="str">
        <f>HYPERLINK("http://141.218.60.56/~jnz1568/getInfo.php?workbook=18_08.xlsx&amp;sheet=A0&amp;row=2489&amp;col=6&amp;number=3249&amp;sourceID=14","3249")</f>
        <v>3249</v>
      </c>
      <c r="G2489" s="4" t="str">
        <f>HYPERLINK("http://141.218.60.56/~jnz1568/getInfo.php?workbook=18_08.xlsx&amp;sheet=A0&amp;row=2489&amp;col=7&amp;number=0&amp;sourceID=14","0")</f>
        <v>0</v>
      </c>
    </row>
    <row r="2490" spans="1:7">
      <c r="A2490" s="3">
        <v>18</v>
      </c>
      <c r="B2490" s="3">
        <v>8</v>
      </c>
      <c r="C2490" s="3">
        <v>61</v>
      </c>
      <c r="D2490" s="3">
        <v>49</v>
      </c>
      <c r="E2490" s="3">
        <v>-1019.289</v>
      </c>
      <c r="F2490" s="4" t="str">
        <f>HYPERLINK("http://141.218.60.56/~jnz1568/getInfo.php?workbook=18_08.xlsx&amp;sheet=A0&amp;row=2490&amp;col=6&amp;number=2.994e-05&amp;sourceID=14","2.994e-05")</f>
        <v>2.994e-05</v>
      </c>
      <c r="G2490" s="4" t="str">
        <f>HYPERLINK("http://141.218.60.56/~jnz1568/getInfo.php?workbook=18_08.xlsx&amp;sheet=A0&amp;row=2490&amp;col=7&amp;number=0&amp;sourceID=14","0")</f>
        <v>0</v>
      </c>
    </row>
    <row r="2491" spans="1:7">
      <c r="A2491" s="3">
        <v>18</v>
      </c>
      <c r="B2491" s="3">
        <v>8</v>
      </c>
      <c r="C2491" s="3">
        <v>63</v>
      </c>
      <c r="D2491" s="3">
        <v>49</v>
      </c>
      <c r="E2491" s="3">
        <v>-968.251</v>
      </c>
      <c r="F2491" s="4" t="str">
        <f>HYPERLINK("http://141.218.60.56/~jnz1568/getInfo.php?workbook=18_08.xlsx&amp;sheet=A0&amp;row=2491&amp;col=6&amp;number=3.291e-05&amp;sourceID=14","3.291e-05")</f>
        <v>3.291e-05</v>
      </c>
      <c r="G2491" s="4" t="str">
        <f>HYPERLINK("http://141.218.60.56/~jnz1568/getInfo.php?workbook=18_08.xlsx&amp;sheet=A0&amp;row=2491&amp;col=7&amp;number=0&amp;sourceID=14","0")</f>
        <v>0</v>
      </c>
    </row>
    <row r="2492" spans="1:7">
      <c r="A2492" s="3">
        <v>18</v>
      </c>
      <c r="B2492" s="3">
        <v>8</v>
      </c>
      <c r="C2492" s="3">
        <v>64</v>
      </c>
      <c r="D2492" s="3">
        <v>49</v>
      </c>
      <c r="E2492" s="3">
        <v>-872.503</v>
      </c>
      <c r="F2492" s="4" t="str">
        <f>HYPERLINK("http://141.218.60.56/~jnz1568/getInfo.php?workbook=18_08.xlsx&amp;sheet=A0&amp;row=2492&amp;col=6&amp;number=3445000&amp;sourceID=14","3445000")</f>
        <v>3445000</v>
      </c>
      <c r="G2492" s="4" t="str">
        <f>HYPERLINK("http://141.218.60.56/~jnz1568/getInfo.php?workbook=18_08.xlsx&amp;sheet=A0&amp;row=2492&amp;col=7&amp;number=0&amp;sourceID=14","0")</f>
        <v>0</v>
      </c>
    </row>
    <row r="2493" spans="1:7">
      <c r="A2493" s="3">
        <v>18</v>
      </c>
      <c r="B2493" s="3">
        <v>8</v>
      </c>
      <c r="C2493" s="3">
        <v>65</v>
      </c>
      <c r="D2493" s="3">
        <v>49</v>
      </c>
      <c r="E2493" s="3">
        <v>-1177.244</v>
      </c>
      <c r="F2493" s="4" t="str">
        <f>HYPERLINK("http://141.218.60.56/~jnz1568/getInfo.php?workbook=18_08.xlsx&amp;sheet=A0&amp;row=2493&amp;col=6&amp;number=36.06&amp;sourceID=14","36.06")</f>
        <v>36.06</v>
      </c>
      <c r="G2493" s="4" t="str">
        <f>HYPERLINK("http://141.218.60.56/~jnz1568/getInfo.php?workbook=18_08.xlsx&amp;sheet=A0&amp;row=2493&amp;col=7&amp;number=0&amp;sourceID=14","0")</f>
        <v>0</v>
      </c>
    </row>
    <row r="2494" spans="1:7">
      <c r="A2494" s="3">
        <v>18</v>
      </c>
      <c r="B2494" s="3">
        <v>8</v>
      </c>
      <c r="C2494" s="3">
        <v>66</v>
      </c>
      <c r="D2494" s="3">
        <v>49</v>
      </c>
      <c r="E2494" s="3">
        <v>-886.663</v>
      </c>
      <c r="F2494" s="4" t="str">
        <f>HYPERLINK("http://141.218.60.56/~jnz1568/getInfo.php?workbook=18_08.xlsx&amp;sheet=A0&amp;row=2494&amp;col=6&amp;number=5708000&amp;sourceID=14","5708000")</f>
        <v>5708000</v>
      </c>
      <c r="G2494" s="4" t="str">
        <f>HYPERLINK("http://141.218.60.56/~jnz1568/getInfo.php?workbook=18_08.xlsx&amp;sheet=A0&amp;row=2494&amp;col=7&amp;number=0&amp;sourceID=14","0")</f>
        <v>0</v>
      </c>
    </row>
    <row r="2495" spans="1:7">
      <c r="A2495" s="3">
        <v>18</v>
      </c>
      <c r="B2495" s="3">
        <v>8</v>
      </c>
      <c r="C2495" s="3">
        <v>67</v>
      </c>
      <c r="D2495" s="3">
        <v>49</v>
      </c>
      <c r="E2495" s="3">
        <v>-950.395</v>
      </c>
      <c r="F2495" s="4" t="str">
        <f>HYPERLINK("http://141.218.60.56/~jnz1568/getInfo.php?workbook=18_08.xlsx&amp;sheet=A0&amp;row=2495&amp;col=6&amp;number=301100&amp;sourceID=14","301100")</f>
        <v>301100</v>
      </c>
      <c r="G2495" s="4" t="str">
        <f>HYPERLINK("http://141.218.60.56/~jnz1568/getInfo.php?workbook=18_08.xlsx&amp;sheet=A0&amp;row=2495&amp;col=7&amp;number=0&amp;sourceID=14","0")</f>
        <v>0</v>
      </c>
    </row>
    <row r="2496" spans="1:7">
      <c r="A2496" s="3">
        <v>18</v>
      </c>
      <c r="B2496" s="3">
        <v>8</v>
      </c>
      <c r="C2496" s="3">
        <v>68</v>
      </c>
      <c r="D2496" s="3">
        <v>49</v>
      </c>
      <c r="E2496" s="3">
        <v>-866.356</v>
      </c>
      <c r="F2496" s="4" t="str">
        <f>HYPERLINK("http://141.218.60.56/~jnz1568/getInfo.php?workbook=18_08.xlsx&amp;sheet=A0&amp;row=2496&amp;col=6&amp;number=167400&amp;sourceID=14","167400")</f>
        <v>167400</v>
      </c>
      <c r="G2496" s="4" t="str">
        <f>HYPERLINK("http://141.218.60.56/~jnz1568/getInfo.php?workbook=18_08.xlsx&amp;sheet=A0&amp;row=2496&amp;col=7&amp;number=0&amp;sourceID=14","0")</f>
        <v>0</v>
      </c>
    </row>
    <row r="2497" spans="1:7">
      <c r="A2497" s="3">
        <v>18</v>
      </c>
      <c r="B2497" s="3">
        <v>8</v>
      </c>
      <c r="C2497" s="3">
        <v>69</v>
      </c>
      <c r="D2497" s="3">
        <v>49</v>
      </c>
      <c r="E2497" s="3">
        <v>-812.674</v>
      </c>
      <c r="F2497" s="4" t="str">
        <f>HYPERLINK("http://141.218.60.56/~jnz1568/getInfo.php?workbook=18_08.xlsx&amp;sheet=A0&amp;row=2497&amp;col=6&amp;number=5751000&amp;sourceID=14","5751000")</f>
        <v>5751000</v>
      </c>
      <c r="G2497" s="4" t="str">
        <f>HYPERLINK("http://141.218.60.56/~jnz1568/getInfo.php?workbook=18_08.xlsx&amp;sheet=A0&amp;row=2497&amp;col=7&amp;number=0&amp;sourceID=14","0")</f>
        <v>0</v>
      </c>
    </row>
    <row r="2498" spans="1:7">
      <c r="A2498" s="3">
        <v>18</v>
      </c>
      <c r="B2498" s="3">
        <v>8</v>
      </c>
      <c r="C2498" s="3">
        <v>70</v>
      </c>
      <c r="D2498" s="3">
        <v>49</v>
      </c>
      <c r="E2498" s="3">
        <v>-786.824</v>
      </c>
      <c r="F2498" s="4" t="str">
        <f>HYPERLINK("http://141.218.60.56/~jnz1568/getInfo.php?workbook=18_08.xlsx&amp;sheet=A0&amp;row=2498&amp;col=6&amp;number=0.000514&amp;sourceID=14","0.000514")</f>
        <v>0.000514</v>
      </c>
      <c r="G2498" s="4" t="str">
        <f>HYPERLINK("http://141.218.60.56/~jnz1568/getInfo.php?workbook=18_08.xlsx&amp;sheet=A0&amp;row=2498&amp;col=7&amp;number=0&amp;sourceID=14","0")</f>
        <v>0</v>
      </c>
    </row>
    <row r="2499" spans="1:7">
      <c r="A2499" s="3">
        <v>18</v>
      </c>
      <c r="B2499" s="3">
        <v>8</v>
      </c>
      <c r="C2499" s="3">
        <v>71</v>
      </c>
      <c r="D2499" s="3">
        <v>49</v>
      </c>
      <c r="E2499" s="3">
        <v>-782.771</v>
      </c>
      <c r="F2499" s="4" t="str">
        <f>HYPERLINK("http://141.218.60.56/~jnz1568/getInfo.php?workbook=18_08.xlsx&amp;sheet=A0&amp;row=2499&amp;col=6&amp;number=1247000&amp;sourceID=14","1247000")</f>
        <v>1247000</v>
      </c>
      <c r="G2499" s="4" t="str">
        <f>HYPERLINK("http://141.218.60.56/~jnz1568/getInfo.php?workbook=18_08.xlsx&amp;sheet=A0&amp;row=2499&amp;col=7&amp;number=0&amp;sourceID=14","0")</f>
        <v>0</v>
      </c>
    </row>
    <row r="2500" spans="1:7">
      <c r="A2500" s="3">
        <v>18</v>
      </c>
      <c r="B2500" s="3">
        <v>8</v>
      </c>
      <c r="C2500" s="3">
        <v>72</v>
      </c>
      <c r="D2500" s="3">
        <v>49</v>
      </c>
      <c r="E2500" s="3">
        <v>-826.443</v>
      </c>
      <c r="F2500" s="4" t="str">
        <f>HYPERLINK("http://141.218.60.56/~jnz1568/getInfo.php?workbook=18_08.xlsx&amp;sheet=A0&amp;row=2500&amp;col=6&amp;number=5975000&amp;sourceID=14","5975000")</f>
        <v>5975000</v>
      </c>
      <c r="G2500" s="4" t="str">
        <f>HYPERLINK("http://141.218.60.56/~jnz1568/getInfo.php?workbook=18_08.xlsx&amp;sheet=A0&amp;row=2500&amp;col=7&amp;number=0&amp;sourceID=14","0")</f>
        <v>0</v>
      </c>
    </row>
    <row r="2501" spans="1:7">
      <c r="A2501" s="3">
        <v>18</v>
      </c>
      <c r="B2501" s="3">
        <v>8</v>
      </c>
      <c r="C2501" s="3">
        <v>73</v>
      </c>
      <c r="D2501" s="3">
        <v>49</v>
      </c>
      <c r="E2501" s="3">
        <v>-755.794</v>
      </c>
      <c r="F2501" s="4" t="str">
        <f>HYPERLINK("http://141.218.60.56/~jnz1568/getInfo.php?workbook=18_08.xlsx&amp;sheet=A0&amp;row=2501&amp;col=6&amp;number=10980000&amp;sourceID=14","10980000")</f>
        <v>10980000</v>
      </c>
      <c r="G2501" s="4" t="str">
        <f>HYPERLINK("http://141.218.60.56/~jnz1568/getInfo.php?workbook=18_08.xlsx&amp;sheet=A0&amp;row=2501&amp;col=7&amp;number=0&amp;sourceID=14","0")</f>
        <v>0</v>
      </c>
    </row>
    <row r="2502" spans="1:7">
      <c r="A2502" s="3">
        <v>18</v>
      </c>
      <c r="B2502" s="3">
        <v>8</v>
      </c>
      <c r="C2502" s="3">
        <v>74</v>
      </c>
      <c r="D2502" s="3">
        <v>49</v>
      </c>
      <c r="E2502" s="3">
        <v>-681.537</v>
      </c>
      <c r="F2502" s="4" t="str">
        <f>HYPERLINK("http://141.218.60.56/~jnz1568/getInfo.php?workbook=18_08.xlsx&amp;sheet=A0&amp;row=2502&amp;col=6&amp;number=67500&amp;sourceID=14","67500")</f>
        <v>67500</v>
      </c>
      <c r="G2502" s="4" t="str">
        <f>HYPERLINK("http://141.218.60.56/~jnz1568/getInfo.php?workbook=18_08.xlsx&amp;sheet=A0&amp;row=2502&amp;col=7&amp;number=0&amp;sourceID=14","0")</f>
        <v>0</v>
      </c>
    </row>
    <row r="2503" spans="1:7">
      <c r="A2503" s="3">
        <v>18</v>
      </c>
      <c r="B2503" s="3">
        <v>8</v>
      </c>
      <c r="C2503" s="3">
        <v>75</v>
      </c>
      <c r="D2503" s="3">
        <v>49</v>
      </c>
      <c r="E2503" s="3">
        <v>-665.879</v>
      </c>
      <c r="F2503" s="4" t="str">
        <f>HYPERLINK("http://141.218.60.56/~jnz1568/getInfo.php?workbook=18_08.xlsx&amp;sheet=A0&amp;row=2503&amp;col=6&amp;number=7169000&amp;sourceID=14","7169000")</f>
        <v>7169000</v>
      </c>
      <c r="G2503" s="4" t="str">
        <f>HYPERLINK("http://141.218.60.56/~jnz1568/getInfo.php?workbook=18_08.xlsx&amp;sheet=A0&amp;row=2503&amp;col=7&amp;number=0&amp;sourceID=14","0")</f>
        <v>0</v>
      </c>
    </row>
    <row r="2504" spans="1:7">
      <c r="A2504" s="3">
        <v>18</v>
      </c>
      <c r="B2504" s="3">
        <v>8</v>
      </c>
      <c r="C2504" s="3">
        <v>76</v>
      </c>
      <c r="D2504" s="3">
        <v>49</v>
      </c>
      <c r="E2504" s="3">
        <v>-664.768</v>
      </c>
      <c r="F2504" s="4" t="str">
        <f>HYPERLINK("http://141.218.60.56/~jnz1568/getInfo.php?workbook=18_08.xlsx&amp;sheet=A0&amp;row=2504&amp;col=6&amp;number=0.003613&amp;sourceID=14","0.003613")</f>
        <v>0.003613</v>
      </c>
      <c r="G2504" s="4" t="str">
        <f>HYPERLINK("http://141.218.60.56/~jnz1568/getInfo.php?workbook=18_08.xlsx&amp;sheet=A0&amp;row=2504&amp;col=7&amp;number=0&amp;sourceID=14","0")</f>
        <v>0</v>
      </c>
    </row>
    <row r="2505" spans="1:7">
      <c r="A2505" s="3">
        <v>18</v>
      </c>
      <c r="B2505" s="3">
        <v>8</v>
      </c>
      <c r="C2505" s="3">
        <v>77</v>
      </c>
      <c r="D2505" s="3">
        <v>49</v>
      </c>
      <c r="E2505" s="3">
        <v>-655.893</v>
      </c>
      <c r="F2505" s="4" t="str">
        <f>HYPERLINK("http://141.218.60.56/~jnz1568/getInfo.php?workbook=18_08.xlsx&amp;sheet=A0&amp;row=2505&amp;col=6&amp;number=21550000&amp;sourceID=14","21550000")</f>
        <v>21550000</v>
      </c>
      <c r="G2505" s="4" t="str">
        <f>HYPERLINK("http://141.218.60.56/~jnz1568/getInfo.php?workbook=18_08.xlsx&amp;sheet=A0&amp;row=2505&amp;col=7&amp;number=0&amp;sourceID=14","0")</f>
        <v>0</v>
      </c>
    </row>
    <row r="2506" spans="1:7">
      <c r="A2506" s="3">
        <v>18</v>
      </c>
      <c r="B2506" s="3">
        <v>8</v>
      </c>
      <c r="C2506" s="3">
        <v>78</v>
      </c>
      <c r="D2506" s="3">
        <v>49</v>
      </c>
      <c r="E2506" s="3">
        <v>-662.252</v>
      </c>
      <c r="F2506" s="4" t="str">
        <f>HYPERLINK("http://141.218.60.56/~jnz1568/getInfo.php?workbook=18_08.xlsx&amp;sheet=A0&amp;row=2506&amp;col=6&amp;number=0.3711&amp;sourceID=14","0.3711")</f>
        <v>0.3711</v>
      </c>
      <c r="G2506" s="4" t="str">
        <f>HYPERLINK("http://141.218.60.56/~jnz1568/getInfo.php?workbook=18_08.xlsx&amp;sheet=A0&amp;row=2506&amp;col=7&amp;number=0&amp;sourceID=14","0")</f>
        <v>0</v>
      </c>
    </row>
    <row r="2507" spans="1:7">
      <c r="A2507" s="3">
        <v>18</v>
      </c>
      <c r="B2507" s="3">
        <v>8</v>
      </c>
      <c r="C2507" s="3">
        <v>79</v>
      </c>
      <c r="D2507" s="3">
        <v>49</v>
      </c>
      <c r="E2507" s="3">
        <v>-649.407</v>
      </c>
      <c r="F2507" s="4" t="str">
        <f>HYPERLINK("http://141.218.60.56/~jnz1568/getInfo.php?workbook=18_08.xlsx&amp;sheet=A0&amp;row=2507&amp;col=6&amp;number=286100000&amp;sourceID=14","286100000")</f>
        <v>286100000</v>
      </c>
      <c r="G2507" s="4" t="str">
        <f>HYPERLINK("http://141.218.60.56/~jnz1568/getInfo.php?workbook=18_08.xlsx&amp;sheet=A0&amp;row=2507&amp;col=7&amp;number=0&amp;sourceID=14","0")</f>
        <v>0</v>
      </c>
    </row>
    <row r="2508" spans="1:7">
      <c r="A2508" s="3">
        <v>18</v>
      </c>
      <c r="B2508" s="3">
        <v>8</v>
      </c>
      <c r="C2508" s="3">
        <v>80</v>
      </c>
      <c r="D2508" s="3">
        <v>49</v>
      </c>
      <c r="E2508" s="3">
        <v>-641.338</v>
      </c>
      <c r="F2508" s="4" t="str">
        <f>HYPERLINK("http://141.218.60.56/~jnz1568/getInfo.php?workbook=18_08.xlsx&amp;sheet=A0&amp;row=2508&amp;col=6&amp;number=444200000&amp;sourceID=14","444200000")</f>
        <v>444200000</v>
      </c>
      <c r="G2508" s="4" t="str">
        <f>HYPERLINK("http://141.218.60.56/~jnz1568/getInfo.php?workbook=18_08.xlsx&amp;sheet=A0&amp;row=2508&amp;col=7&amp;number=0&amp;sourceID=14","0")</f>
        <v>0</v>
      </c>
    </row>
    <row r="2509" spans="1:7">
      <c r="A2509" s="3">
        <v>18</v>
      </c>
      <c r="B2509" s="3">
        <v>8</v>
      </c>
      <c r="C2509" s="3">
        <v>81</v>
      </c>
      <c r="D2509" s="3">
        <v>49</v>
      </c>
      <c r="E2509" s="3">
        <v>-601.491</v>
      </c>
      <c r="F2509" s="4" t="str">
        <f>HYPERLINK("http://141.218.60.56/~jnz1568/getInfo.php?workbook=18_08.xlsx&amp;sheet=A0&amp;row=2509&amp;col=6&amp;number=709200000&amp;sourceID=14","709200000")</f>
        <v>709200000</v>
      </c>
      <c r="G2509" s="4" t="str">
        <f>HYPERLINK("http://141.218.60.56/~jnz1568/getInfo.php?workbook=18_08.xlsx&amp;sheet=A0&amp;row=2509&amp;col=7&amp;number=0&amp;sourceID=14","0")</f>
        <v>0</v>
      </c>
    </row>
    <row r="2510" spans="1:7">
      <c r="A2510" s="3">
        <v>18</v>
      </c>
      <c r="B2510" s="3">
        <v>8</v>
      </c>
      <c r="C2510" s="3">
        <v>82</v>
      </c>
      <c r="D2510" s="3">
        <v>49</v>
      </c>
      <c r="E2510" s="3">
        <v>-589.888</v>
      </c>
      <c r="F2510" s="4" t="str">
        <f>HYPERLINK("http://141.218.60.56/~jnz1568/getInfo.php?workbook=18_08.xlsx&amp;sheet=A0&amp;row=2510&amp;col=6&amp;number=2163000000&amp;sourceID=14","2163000000")</f>
        <v>2163000000</v>
      </c>
      <c r="G2510" s="4" t="str">
        <f>HYPERLINK("http://141.218.60.56/~jnz1568/getInfo.php?workbook=18_08.xlsx&amp;sheet=A0&amp;row=2510&amp;col=7&amp;number=0&amp;sourceID=14","0")</f>
        <v>0</v>
      </c>
    </row>
    <row r="2511" spans="1:7">
      <c r="A2511" s="3">
        <v>18</v>
      </c>
      <c r="B2511" s="3">
        <v>8</v>
      </c>
      <c r="C2511" s="3">
        <v>83</v>
      </c>
      <c r="D2511" s="3">
        <v>49</v>
      </c>
      <c r="E2511" s="3">
        <v>-589.146</v>
      </c>
      <c r="F2511" s="4" t="str">
        <f>HYPERLINK("http://141.218.60.56/~jnz1568/getInfo.php?workbook=18_08.xlsx&amp;sheet=A0&amp;row=2511&amp;col=6&amp;number=104200000&amp;sourceID=14","104200000")</f>
        <v>104200000</v>
      </c>
      <c r="G2511" s="4" t="str">
        <f>HYPERLINK("http://141.218.60.56/~jnz1568/getInfo.php?workbook=18_08.xlsx&amp;sheet=A0&amp;row=2511&amp;col=7&amp;number=0&amp;sourceID=14","0")</f>
        <v>0</v>
      </c>
    </row>
    <row r="2512" spans="1:7">
      <c r="A2512" s="3">
        <v>18</v>
      </c>
      <c r="B2512" s="3">
        <v>8</v>
      </c>
      <c r="C2512" s="3">
        <v>84</v>
      </c>
      <c r="D2512" s="3">
        <v>49</v>
      </c>
      <c r="E2512" s="3">
        <v>-547.989</v>
      </c>
      <c r="F2512" s="4" t="str">
        <f>HYPERLINK("http://141.218.60.56/~jnz1568/getInfo.php?workbook=18_08.xlsx&amp;sheet=A0&amp;row=2512&amp;col=6&amp;number=76360000&amp;sourceID=14","76360000")</f>
        <v>76360000</v>
      </c>
      <c r="G2512" s="4" t="str">
        <f>HYPERLINK("http://141.218.60.56/~jnz1568/getInfo.php?workbook=18_08.xlsx&amp;sheet=A0&amp;row=2512&amp;col=7&amp;number=0&amp;sourceID=14","0")</f>
        <v>0</v>
      </c>
    </row>
    <row r="2513" spans="1:7">
      <c r="A2513" s="3">
        <v>18</v>
      </c>
      <c r="B2513" s="3">
        <v>8</v>
      </c>
      <c r="C2513" s="3">
        <v>85</v>
      </c>
      <c r="D2513" s="3">
        <v>49</v>
      </c>
      <c r="E2513" s="3">
        <v>-537.235</v>
      </c>
      <c r="F2513" s="4" t="str">
        <f>HYPERLINK("http://141.218.60.56/~jnz1568/getInfo.php?workbook=18_08.xlsx&amp;sheet=A0&amp;row=2513&amp;col=6&amp;number=79980000&amp;sourceID=14","79980000")</f>
        <v>79980000</v>
      </c>
      <c r="G2513" s="4" t="str">
        <f>HYPERLINK("http://141.218.60.56/~jnz1568/getInfo.php?workbook=18_08.xlsx&amp;sheet=A0&amp;row=2513&amp;col=7&amp;number=0&amp;sourceID=14","0")</f>
        <v>0</v>
      </c>
    </row>
    <row r="2514" spans="1:7">
      <c r="A2514" s="3">
        <v>18</v>
      </c>
      <c r="B2514" s="3">
        <v>8</v>
      </c>
      <c r="C2514" s="3">
        <v>86</v>
      </c>
      <c r="D2514" s="3">
        <v>49</v>
      </c>
      <c r="E2514" s="3">
        <v>-460.573</v>
      </c>
      <c r="F2514" s="4" t="str">
        <f>HYPERLINK("http://141.218.60.56/~jnz1568/getInfo.php?workbook=18_08.xlsx&amp;sheet=A0&amp;row=2514&amp;col=6&amp;number=1832000&amp;sourceID=14","1832000")</f>
        <v>1832000</v>
      </c>
      <c r="G2514" s="4" t="str">
        <f>HYPERLINK("http://141.218.60.56/~jnz1568/getInfo.php?workbook=18_08.xlsx&amp;sheet=A0&amp;row=2514&amp;col=7&amp;number=0&amp;sourceID=14","0")</f>
        <v>0</v>
      </c>
    </row>
    <row r="2515" spans="1:7">
      <c r="A2515" s="3">
        <v>18</v>
      </c>
      <c r="B2515" s="3">
        <v>8</v>
      </c>
      <c r="C2515" s="3">
        <v>51</v>
      </c>
      <c r="D2515" s="3">
        <v>50</v>
      </c>
      <c r="E2515" s="3">
        <v>-4405.443</v>
      </c>
      <c r="F2515" s="4" t="str">
        <f>HYPERLINK("http://141.218.60.56/~jnz1568/getInfo.php?workbook=18_08.xlsx&amp;sheet=A0&amp;row=2515&amp;col=6&amp;number=23590&amp;sourceID=14","23590")</f>
        <v>23590</v>
      </c>
      <c r="G2515" s="4" t="str">
        <f>HYPERLINK("http://141.218.60.56/~jnz1568/getInfo.php?workbook=18_08.xlsx&amp;sheet=A0&amp;row=2515&amp;col=7&amp;number=0&amp;sourceID=14","0")</f>
        <v>0</v>
      </c>
    </row>
    <row r="2516" spans="1:7">
      <c r="A2516" s="3">
        <v>18</v>
      </c>
      <c r="B2516" s="3">
        <v>8</v>
      </c>
      <c r="C2516" s="3">
        <v>52</v>
      </c>
      <c r="D2516" s="3">
        <v>50</v>
      </c>
      <c r="E2516" s="3">
        <v>-4221.186</v>
      </c>
      <c r="F2516" s="4" t="str">
        <f>HYPERLINK("http://141.218.60.56/~jnz1568/getInfo.php?workbook=18_08.xlsx&amp;sheet=A0&amp;row=2516&amp;col=6&amp;number=8735&amp;sourceID=14","8735")</f>
        <v>8735</v>
      </c>
      <c r="G2516" s="4" t="str">
        <f>HYPERLINK("http://141.218.60.56/~jnz1568/getInfo.php?workbook=18_08.xlsx&amp;sheet=A0&amp;row=2516&amp;col=7&amp;number=0&amp;sourceID=14","0")</f>
        <v>0</v>
      </c>
    </row>
    <row r="2517" spans="1:7">
      <c r="A2517" s="3">
        <v>18</v>
      </c>
      <c r="B2517" s="3">
        <v>8</v>
      </c>
      <c r="C2517" s="3">
        <v>53</v>
      </c>
      <c r="D2517" s="3">
        <v>50</v>
      </c>
      <c r="E2517" s="3">
        <v>-72786.242</v>
      </c>
      <c r="F2517" s="4" t="str">
        <f>HYPERLINK("http://141.218.60.56/~jnz1568/getInfo.php?workbook=18_08.xlsx&amp;sheet=A0&amp;row=2517&amp;col=6&amp;number=0.1255&amp;sourceID=14","0.1255")</f>
        <v>0.1255</v>
      </c>
      <c r="G2517" s="4" t="str">
        <f>HYPERLINK("http://141.218.60.56/~jnz1568/getInfo.php?workbook=18_08.xlsx&amp;sheet=A0&amp;row=2517&amp;col=7&amp;number=0&amp;sourceID=14","0")</f>
        <v>0</v>
      </c>
    </row>
    <row r="2518" spans="1:7">
      <c r="A2518" s="3">
        <v>18</v>
      </c>
      <c r="B2518" s="3">
        <v>8</v>
      </c>
      <c r="C2518" s="3">
        <v>54</v>
      </c>
      <c r="D2518" s="3">
        <v>50</v>
      </c>
      <c r="E2518" s="3">
        <v>-4068.476</v>
      </c>
      <c r="F2518" s="4" t="str">
        <f>HYPERLINK("http://141.218.60.56/~jnz1568/getInfo.php?workbook=18_08.xlsx&amp;sheet=A0&amp;row=2518&amp;col=6&amp;number=1.393e-07&amp;sourceID=14","1.393e-07")</f>
        <v>1.393e-07</v>
      </c>
      <c r="G2518" s="4" t="str">
        <f>HYPERLINK("http://141.218.60.56/~jnz1568/getInfo.php?workbook=18_08.xlsx&amp;sheet=A0&amp;row=2518&amp;col=7&amp;number=0&amp;sourceID=14","0")</f>
        <v>0</v>
      </c>
    </row>
    <row r="2519" spans="1:7">
      <c r="A2519" s="3">
        <v>18</v>
      </c>
      <c r="B2519" s="3">
        <v>8</v>
      </c>
      <c r="C2519" s="3">
        <v>55</v>
      </c>
      <c r="D2519" s="3">
        <v>50</v>
      </c>
      <c r="E2519" s="3">
        <v>-3225.055</v>
      </c>
      <c r="F2519" s="4" t="str">
        <f>HYPERLINK("http://141.218.60.56/~jnz1568/getInfo.php?workbook=18_08.xlsx&amp;sheet=A0&amp;row=2519&amp;col=6&amp;number=13.16&amp;sourceID=14","13.16")</f>
        <v>13.16</v>
      </c>
      <c r="G2519" s="4" t="str">
        <f>HYPERLINK("http://141.218.60.56/~jnz1568/getInfo.php?workbook=18_08.xlsx&amp;sheet=A0&amp;row=2519&amp;col=7&amp;number=0&amp;sourceID=14","0")</f>
        <v>0</v>
      </c>
    </row>
    <row r="2520" spans="1:7">
      <c r="A2520" s="3">
        <v>18</v>
      </c>
      <c r="B2520" s="3">
        <v>8</v>
      </c>
      <c r="C2520" s="3">
        <v>56</v>
      </c>
      <c r="D2520" s="3">
        <v>50</v>
      </c>
      <c r="E2520" s="3">
        <v>-1266.255</v>
      </c>
      <c r="F2520" s="4" t="str">
        <f>HYPERLINK("http://141.218.60.56/~jnz1568/getInfo.php?workbook=18_08.xlsx&amp;sheet=A0&amp;row=2520&amp;col=6&amp;number=139900&amp;sourceID=14","139900")</f>
        <v>139900</v>
      </c>
      <c r="G2520" s="4" t="str">
        <f>HYPERLINK("http://141.218.60.56/~jnz1568/getInfo.php?workbook=18_08.xlsx&amp;sheet=A0&amp;row=2520&amp;col=7&amp;number=0&amp;sourceID=14","0")</f>
        <v>0</v>
      </c>
    </row>
    <row r="2521" spans="1:7">
      <c r="A2521" s="3">
        <v>18</v>
      </c>
      <c r="B2521" s="3">
        <v>8</v>
      </c>
      <c r="C2521" s="3">
        <v>57</v>
      </c>
      <c r="D2521" s="3">
        <v>50</v>
      </c>
      <c r="E2521" s="3">
        <v>-1212.134</v>
      </c>
      <c r="F2521" s="4" t="str">
        <f>HYPERLINK("http://141.218.60.56/~jnz1568/getInfo.php?workbook=18_08.xlsx&amp;sheet=A0&amp;row=2521&amp;col=6&amp;number=1.793e-05&amp;sourceID=14","1.793e-05")</f>
        <v>1.793e-05</v>
      </c>
      <c r="G2521" s="4" t="str">
        <f>HYPERLINK("http://141.218.60.56/~jnz1568/getInfo.php?workbook=18_08.xlsx&amp;sheet=A0&amp;row=2521&amp;col=7&amp;number=0&amp;sourceID=14","0")</f>
        <v>0</v>
      </c>
    </row>
    <row r="2522" spans="1:7">
      <c r="A2522" s="3">
        <v>18</v>
      </c>
      <c r="B2522" s="3">
        <v>8</v>
      </c>
      <c r="C2522" s="3">
        <v>58</v>
      </c>
      <c r="D2522" s="3">
        <v>50</v>
      </c>
      <c r="E2522" s="3">
        <v>-1173.369</v>
      </c>
      <c r="F2522" s="4" t="str">
        <f>HYPERLINK("http://141.218.60.56/~jnz1568/getInfo.php?workbook=18_08.xlsx&amp;sheet=A0&amp;row=2522&amp;col=6&amp;number=531300&amp;sourceID=14","531300")</f>
        <v>531300</v>
      </c>
      <c r="G2522" s="4" t="str">
        <f>HYPERLINK("http://141.218.60.56/~jnz1568/getInfo.php?workbook=18_08.xlsx&amp;sheet=A0&amp;row=2522&amp;col=7&amp;number=0&amp;sourceID=14","0")</f>
        <v>0</v>
      </c>
    </row>
    <row r="2523" spans="1:7">
      <c r="A2523" s="3">
        <v>18</v>
      </c>
      <c r="B2523" s="3">
        <v>8</v>
      </c>
      <c r="C2523" s="3">
        <v>60</v>
      </c>
      <c r="D2523" s="3">
        <v>50</v>
      </c>
      <c r="E2523" s="3">
        <v>-1068.343</v>
      </c>
      <c r="F2523" s="4" t="str">
        <f>HYPERLINK("http://141.218.60.56/~jnz1568/getInfo.php?workbook=18_08.xlsx&amp;sheet=A0&amp;row=2523&amp;col=6&amp;number=2.643e-06&amp;sourceID=14","2.643e-06")</f>
        <v>2.643e-06</v>
      </c>
      <c r="G2523" s="4" t="str">
        <f>HYPERLINK("http://141.218.60.56/~jnz1568/getInfo.php?workbook=18_08.xlsx&amp;sheet=A0&amp;row=2523&amp;col=7&amp;number=0&amp;sourceID=14","0")</f>
        <v>0</v>
      </c>
    </row>
    <row r="2524" spans="1:7">
      <c r="A2524" s="3">
        <v>18</v>
      </c>
      <c r="B2524" s="3">
        <v>8</v>
      </c>
      <c r="C2524" s="3">
        <v>64</v>
      </c>
      <c r="D2524" s="3">
        <v>50</v>
      </c>
      <c r="E2524" s="3">
        <v>-895.162</v>
      </c>
      <c r="F2524" s="4" t="str">
        <f>HYPERLINK("http://141.218.60.56/~jnz1568/getInfo.php?workbook=18_08.xlsx&amp;sheet=A0&amp;row=2524&amp;col=6&amp;number=335500&amp;sourceID=14","335500")</f>
        <v>335500</v>
      </c>
      <c r="G2524" s="4" t="str">
        <f>HYPERLINK("http://141.218.60.56/~jnz1568/getInfo.php?workbook=18_08.xlsx&amp;sheet=A0&amp;row=2524&amp;col=7&amp;number=0&amp;sourceID=14","0")</f>
        <v>0</v>
      </c>
    </row>
    <row r="2525" spans="1:7">
      <c r="A2525" s="3">
        <v>18</v>
      </c>
      <c r="B2525" s="3">
        <v>8</v>
      </c>
      <c r="C2525" s="3">
        <v>65</v>
      </c>
      <c r="D2525" s="3">
        <v>50</v>
      </c>
      <c r="E2525" s="3">
        <v>-1218.873</v>
      </c>
      <c r="F2525" s="4" t="str">
        <f>HYPERLINK("http://141.218.60.56/~jnz1568/getInfo.php?workbook=18_08.xlsx&amp;sheet=A0&amp;row=2525&amp;col=6&amp;number=329.1&amp;sourceID=14","329.1")</f>
        <v>329.1</v>
      </c>
      <c r="G2525" s="4" t="str">
        <f>HYPERLINK("http://141.218.60.56/~jnz1568/getInfo.php?workbook=18_08.xlsx&amp;sheet=A0&amp;row=2525&amp;col=7&amp;number=0&amp;sourceID=14","0")</f>
        <v>0</v>
      </c>
    </row>
    <row r="2526" spans="1:7">
      <c r="A2526" s="3">
        <v>18</v>
      </c>
      <c r="B2526" s="3">
        <v>8</v>
      </c>
      <c r="C2526" s="3">
        <v>66</v>
      </c>
      <c r="D2526" s="3">
        <v>50</v>
      </c>
      <c r="E2526" s="3">
        <v>-910.073</v>
      </c>
      <c r="F2526" s="4" t="str">
        <f>HYPERLINK("http://141.218.60.56/~jnz1568/getInfo.php?workbook=18_08.xlsx&amp;sheet=A0&amp;row=2526&amp;col=6&amp;number=11630000&amp;sourceID=14","11630000")</f>
        <v>11630000</v>
      </c>
      <c r="G2526" s="4" t="str">
        <f>HYPERLINK("http://141.218.60.56/~jnz1568/getInfo.php?workbook=18_08.xlsx&amp;sheet=A0&amp;row=2526&amp;col=7&amp;number=0&amp;sourceID=14","0")</f>
        <v>0</v>
      </c>
    </row>
    <row r="2527" spans="1:7">
      <c r="A2527" s="3">
        <v>18</v>
      </c>
      <c r="B2527" s="3">
        <v>8</v>
      </c>
      <c r="C2527" s="3">
        <v>67</v>
      </c>
      <c r="D2527" s="3">
        <v>50</v>
      </c>
      <c r="E2527" s="3">
        <v>-977.343</v>
      </c>
      <c r="F2527" s="4" t="str">
        <f>HYPERLINK("http://141.218.60.56/~jnz1568/getInfo.php?workbook=18_08.xlsx&amp;sheet=A0&amp;row=2527&amp;col=6&amp;number=318900&amp;sourceID=14","318900")</f>
        <v>318900</v>
      </c>
      <c r="G2527" s="4" t="str">
        <f>HYPERLINK("http://141.218.60.56/~jnz1568/getInfo.php?workbook=18_08.xlsx&amp;sheet=A0&amp;row=2527&amp;col=7&amp;number=0&amp;sourceID=14","0")</f>
        <v>0</v>
      </c>
    </row>
    <row r="2528" spans="1:7">
      <c r="A2528" s="3">
        <v>18</v>
      </c>
      <c r="B2528" s="3">
        <v>8</v>
      </c>
      <c r="C2528" s="3">
        <v>68</v>
      </c>
      <c r="D2528" s="3">
        <v>50</v>
      </c>
      <c r="E2528" s="3">
        <v>-888.693</v>
      </c>
      <c r="F2528" s="4" t="str">
        <f>HYPERLINK("http://141.218.60.56/~jnz1568/getInfo.php?workbook=18_08.xlsx&amp;sheet=A0&amp;row=2528&amp;col=6&amp;number=8.833e-05&amp;sourceID=14","8.833e-05")</f>
        <v>8.833e-05</v>
      </c>
      <c r="G2528" s="4" t="str">
        <f>HYPERLINK("http://141.218.60.56/~jnz1568/getInfo.php?workbook=18_08.xlsx&amp;sheet=A0&amp;row=2528&amp;col=7&amp;number=0&amp;sourceID=14","0")</f>
        <v>0</v>
      </c>
    </row>
    <row r="2529" spans="1:7">
      <c r="A2529" s="3">
        <v>18</v>
      </c>
      <c r="B2529" s="3">
        <v>8</v>
      </c>
      <c r="C2529" s="3">
        <v>69</v>
      </c>
      <c r="D2529" s="3">
        <v>50</v>
      </c>
      <c r="E2529" s="3">
        <v>-832.297</v>
      </c>
      <c r="F2529" s="4" t="str">
        <f>HYPERLINK("http://141.218.60.56/~jnz1568/getInfo.php?workbook=18_08.xlsx&amp;sheet=A0&amp;row=2529&amp;col=6&amp;number=8531000&amp;sourceID=14","8531000")</f>
        <v>8531000</v>
      </c>
      <c r="G2529" s="4" t="str">
        <f>HYPERLINK("http://141.218.60.56/~jnz1568/getInfo.php?workbook=18_08.xlsx&amp;sheet=A0&amp;row=2529&amp;col=7&amp;number=0&amp;sourceID=14","0")</f>
        <v>0</v>
      </c>
    </row>
    <row r="2530" spans="1:7">
      <c r="A2530" s="3">
        <v>18</v>
      </c>
      <c r="B2530" s="3">
        <v>8</v>
      </c>
      <c r="C2530" s="3">
        <v>70</v>
      </c>
      <c r="D2530" s="3">
        <v>50</v>
      </c>
      <c r="E2530" s="3">
        <v>-805.205</v>
      </c>
      <c r="F2530" s="4" t="str">
        <f>HYPERLINK("http://141.218.60.56/~jnz1568/getInfo.php?workbook=18_08.xlsx&amp;sheet=A0&amp;row=2530&amp;col=6&amp;number=4343000&amp;sourceID=14","4343000")</f>
        <v>4343000</v>
      </c>
      <c r="G2530" s="4" t="str">
        <f>HYPERLINK("http://141.218.60.56/~jnz1568/getInfo.php?workbook=18_08.xlsx&amp;sheet=A0&amp;row=2530&amp;col=7&amp;number=0&amp;sourceID=14","0")</f>
        <v>0</v>
      </c>
    </row>
    <row r="2531" spans="1:7">
      <c r="A2531" s="3">
        <v>18</v>
      </c>
      <c r="B2531" s="3">
        <v>8</v>
      </c>
      <c r="C2531" s="3">
        <v>71</v>
      </c>
      <c r="D2531" s="3">
        <v>50</v>
      </c>
      <c r="E2531" s="3">
        <v>-800.961</v>
      </c>
      <c r="F2531" s="4" t="str">
        <f>HYPERLINK("http://141.218.60.56/~jnz1568/getInfo.php?workbook=18_08.xlsx&amp;sheet=A0&amp;row=2531&amp;col=6&amp;number=7866000&amp;sourceID=14","7866000")</f>
        <v>7866000</v>
      </c>
      <c r="G2531" s="4" t="str">
        <f>HYPERLINK("http://141.218.60.56/~jnz1568/getInfo.php?workbook=18_08.xlsx&amp;sheet=A0&amp;row=2531&amp;col=7&amp;number=0&amp;sourceID=14","0")</f>
        <v>0</v>
      </c>
    </row>
    <row r="2532" spans="1:7">
      <c r="A2532" s="3">
        <v>18</v>
      </c>
      <c r="B2532" s="3">
        <v>8</v>
      </c>
      <c r="C2532" s="3">
        <v>72</v>
      </c>
      <c r="D2532" s="3">
        <v>50</v>
      </c>
      <c r="E2532" s="3">
        <v>-846.745</v>
      </c>
      <c r="F2532" s="4" t="str">
        <f>HYPERLINK("http://141.218.60.56/~jnz1568/getInfo.php?workbook=18_08.xlsx&amp;sheet=A0&amp;row=2532&amp;col=6&amp;number=1133000&amp;sourceID=14","1133000")</f>
        <v>1133000</v>
      </c>
      <c r="G2532" s="4" t="str">
        <f>HYPERLINK("http://141.218.60.56/~jnz1568/getInfo.php?workbook=18_08.xlsx&amp;sheet=A0&amp;row=2532&amp;col=7&amp;number=0&amp;sourceID=14","0")</f>
        <v>0</v>
      </c>
    </row>
    <row r="2533" spans="1:7">
      <c r="A2533" s="3">
        <v>18</v>
      </c>
      <c r="B2533" s="3">
        <v>8</v>
      </c>
      <c r="C2533" s="3">
        <v>73</v>
      </c>
      <c r="D2533" s="3">
        <v>50</v>
      </c>
      <c r="E2533" s="3">
        <v>-772.738</v>
      </c>
      <c r="F2533" s="4" t="str">
        <f>HYPERLINK("http://141.218.60.56/~jnz1568/getInfo.php?workbook=18_08.xlsx&amp;sheet=A0&amp;row=2533&amp;col=6&amp;number=1045000&amp;sourceID=14","1045000")</f>
        <v>1045000</v>
      </c>
      <c r="G2533" s="4" t="str">
        <f>HYPERLINK("http://141.218.60.56/~jnz1568/getInfo.php?workbook=18_08.xlsx&amp;sheet=A0&amp;row=2533&amp;col=7&amp;number=0&amp;sourceID=14","0")</f>
        <v>0</v>
      </c>
    </row>
    <row r="2534" spans="1:7">
      <c r="A2534" s="3">
        <v>18</v>
      </c>
      <c r="B2534" s="3">
        <v>8</v>
      </c>
      <c r="C2534" s="3">
        <v>74</v>
      </c>
      <c r="D2534" s="3">
        <v>50</v>
      </c>
      <c r="E2534" s="3">
        <v>-695.285</v>
      </c>
      <c r="F2534" s="4" t="str">
        <f>HYPERLINK("http://141.218.60.56/~jnz1568/getInfo.php?workbook=18_08.xlsx&amp;sheet=A0&amp;row=2534&amp;col=6&amp;number=0.02196&amp;sourceID=14","0.02196")</f>
        <v>0.02196</v>
      </c>
      <c r="G2534" s="4" t="str">
        <f>HYPERLINK("http://141.218.60.56/~jnz1568/getInfo.php?workbook=18_08.xlsx&amp;sheet=A0&amp;row=2534&amp;col=7&amp;number=0&amp;sourceID=14","0")</f>
        <v>0</v>
      </c>
    </row>
    <row r="2535" spans="1:7">
      <c r="A2535" s="3">
        <v>18</v>
      </c>
      <c r="B2535" s="3">
        <v>8</v>
      </c>
      <c r="C2535" s="3">
        <v>75</v>
      </c>
      <c r="D2535" s="3">
        <v>50</v>
      </c>
      <c r="E2535" s="3">
        <v>-678.996</v>
      </c>
      <c r="F2535" s="4" t="str">
        <f>HYPERLINK("http://141.218.60.56/~jnz1568/getInfo.php?workbook=18_08.xlsx&amp;sheet=A0&amp;row=2535&amp;col=6&amp;number=4778000&amp;sourceID=14","4778000")</f>
        <v>4778000</v>
      </c>
      <c r="G2535" s="4" t="str">
        <f>HYPERLINK("http://141.218.60.56/~jnz1568/getInfo.php?workbook=18_08.xlsx&amp;sheet=A0&amp;row=2535&amp;col=7&amp;number=0&amp;sourceID=14","0")</f>
        <v>0</v>
      </c>
    </row>
    <row r="2536" spans="1:7">
      <c r="A2536" s="3">
        <v>18</v>
      </c>
      <c r="B2536" s="3">
        <v>8</v>
      </c>
      <c r="C2536" s="3">
        <v>77</v>
      </c>
      <c r="D2536" s="3">
        <v>50</v>
      </c>
      <c r="E2536" s="3">
        <v>-668.616</v>
      </c>
      <c r="F2536" s="4" t="str">
        <f>HYPERLINK("http://141.218.60.56/~jnz1568/getInfo.php?workbook=18_08.xlsx&amp;sheet=A0&amp;row=2536&amp;col=6&amp;number=0.0001632&amp;sourceID=14","0.0001632")</f>
        <v>0.0001632</v>
      </c>
      <c r="G2536" s="4" t="str">
        <f>HYPERLINK("http://141.218.60.56/~jnz1568/getInfo.php?workbook=18_08.xlsx&amp;sheet=A0&amp;row=2536&amp;col=7&amp;number=0&amp;sourceID=14","0")</f>
        <v>0</v>
      </c>
    </row>
    <row r="2537" spans="1:7">
      <c r="A2537" s="3">
        <v>18</v>
      </c>
      <c r="B2537" s="3">
        <v>8</v>
      </c>
      <c r="C2537" s="3">
        <v>78</v>
      </c>
      <c r="D2537" s="3">
        <v>50</v>
      </c>
      <c r="E2537" s="3">
        <v>-675.226</v>
      </c>
      <c r="F2537" s="4" t="str">
        <f>HYPERLINK("http://141.218.60.56/~jnz1568/getInfo.php?workbook=18_08.xlsx&amp;sheet=A0&amp;row=2537&amp;col=6&amp;number=708800000&amp;sourceID=14","708800000")</f>
        <v>708800000</v>
      </c>
      <c r="G2537" s="4" t="str">
        <f>HYPERLINK("http://141.218.60.56/~jnz1568/getInfo.php?workbook=18_08.xlsx&amp;sheet=A0&amp;row=2537&amp;col=7&amp;number=0&amp;sourceID=14","0")</f>
        <v>0</v>
      </c>
    </row>
    <row r="2538" spans="1:7">
      <c r="A2538" s="3">
        <v>18</v>
      </c>
      <c r="B2538" s="3">
        <v>8</v>
      </c>
      <c r="C2538" s="3">
        <v>79</v>
      </c>
      <c r="D2538" s="3">
        <v>50</v>
      </c>
      <c r="E2538" s="3">
        <v>-661.877</v>
      </c>
      <c r="F2538" s="4" t="str">
        <f>HYPERLINK("http://141.218.60.56/~jnz1568/getInfo.php?workbook=18_08.xlsx&amp;sheet=A0&amp;row=2538&amp;col=6&amp;number=185300000&amp;sourceID=14","185300000")</f>
        <v>185300000</v>
      </c>
      <c r="G2538" s="4" t="str">
        <f>HYPERLINK("http://141.218.60.56/~jnz1568/getInfo.php?workbook=18_08.xlsx&amp;sheet=A0&amp;row=2538&amp;col=7&amp;number=0&amp;sourceID=14","0")</f>
        <v>0</v>
      </c>
    </row>
    <row r="2539" spans="1:7">
      <c r="A2539" s="3">
        <v>18</v>
      </c>
      <c r="B2539" s="3">
        <v>8</v>
      </c>
      <c r="C2539" s="3">
        <v>80</v>
      </c>
      <c r="D2539" s="3">
        <v>50</v>
      </c>
      <c r="E2539" s="3">
        <v>-653.497</v>
      </c>
      <c r="F2539" s="4" t="str">
        <f>HYPERLINK("http://141.218.60.56/~jnz1568/getInfo.php?workbook=18_08.xlsx&amp;sheet=A0&amp;row=2539&amp;col=6&amp;number=214500000&amp;sourceID=14","214500000")</f>
        <v>214500000</v>
      </c>
      <c r="G2539" s="4" t="str">
        <f>HYPERLINK("http://141.218.60.56/~jnz1568/getInfo.php?workbook=18_08.xlsx&amp;sheet=A0&amp;row=2539&amp;col=7&amp;number=0&amp;sourceID=14","0")</f>
        <v>0</v>
      </c>
    </row>
    <row r="2540" spans="1:7">
      <c r="A2540" s="3">
        <v>18</v>
      </c>
      <c r="B2540" s="3">
        <v>8</v>
      </c>
      <c r="C2540" s="3">
        <v>81</v>
      </c>
      <c r="D2540" s="3">
        <v>50</v>
      </c>
      <c r="E2540" s="3">
        <v>-612.173</v>
      </c>
      <c r="F2540" s="4" t="str">
        <f>HYPERLINK("http://141.218.60.56/~jnz1568/getInfo.php?workbook=18_08.xlsx&amp;sheet=A0&amp;row=2540&amp;col=6&amp;number=694600000&amp;sourceID=14","694600000")</f>
        <v>694600000</v>
      </c>
      <c r="G2540" s="4" t="str">
        <f>HYPERLINK("http://141.218.60.56/~jnz1568/getInfo.php?workbook=18_08.xlsx&amp;sheet=A0&amp;row=2540&amp;col=7&amp;number=0&amp;sourceID=14","0")</f>
        <v>0</v>
      </c>
    </row>
    <row r="2541" spans="1:7">
      <c r="A2541" s="3">
        <v>18</v>
      </c>
      <c r="B2541" s="3">
        <v>8</v>
      </c>
      <c r="C2541" s="3">
        <v>82</v>
      </c>
      <c r="D2541" s="3">
        <v>50</v>
      </c>
      <c r="E2541" s="3">
        <v>-600.159</v>
      </c>
      <c r="F2541" s="4" t="str">
        <f>HYPERLINK("http://141.218.60.56/~jnz1568/getInfo.php?workbook=18_08.xlsx&amp;sheet=A0&amp;row=2541&amp;col=6&amp;number=0.2595&amp;sourceID=14","0.2595")</f>
        <v>0.2595</v>
      </c>
      <c r="G2541" s="4" t="str">
        <f>HYPERLINK("http://141.218.60.56/~jnz1568/getInfo.php?workbook=18_08.xlsx&amp;sheet=A0&amp;row=2541&amp;col=7&amp;number=0&amp;sourceID=14","0")</f>
        <v>0</v>
      </c>
    </row>
    <row r="2542" spans="1:7">
      <c r="A2542" s="3">
        <v>18</v>
      </c>
      <c r="B2542" s="3">
        <v>8</v>
      </c>
      <c r="C2542" s="3">
        <v>83</v>
      </c>
      <c r="D2542" s="3">
        <v>50</v>
      </c>
      <c r="E2542" s="3">
        <v>-599.39</v>
      </c>
      <c r="F2542" s="4" t="str">
        <f>HYPERLINK("http://141.218.60.56/~jnz1568/getInfo.php?workbook=18_08.xlsx&amp;sheet=A0&amp;row=2542&amp;col=6&amp;number=903200000&amp;sourceID=14","903200000")</f>
        <v>903200000</v>
      </c>
      <c r="G2542" s="4" t="str">
        <f>HYPERLINK("http://141.218.60.56/~jnz1568/getInfo.php?workbook=18_08.xlsx&amp;sheet=A0&amp;row=2542&amp;col=7&amp;number=0&amp;sourceID=14","0")</f>
        <v>0</v>
      </c>
    </row>
    <row r="2543" spans="1:7">
      <c r="A2543" s="3">
        <v>18</v>
      </c>
      <c r="B2543" s="3">
        <v>8</v>
      </c>
      <c r="C2543" s="3">
        <v>84</v>
      </c>
      <c r="D2543" s="3">
        <v>50</v>
      </c>
      <c r="E2543" s="3">
        <v>-556.842</v>
      </c>
      <c r="F2543" s="4" t="str">
        <f>HYPERLINK("http://141.218.60.56/~jnz1568/getInfo.php?workbook=18_08.xlsx&amp;sheet=A0&amp;row=2543&amp;col=6&amp;number=632000000&amp;sourceID=14","632000000")</f>
        <v>632000000</v>
      </c>
      <c r="G2543" s="4" t="str">
        <f>HYPERLINK("http://141.218.60.56/~jnz1568/getInfo.php?workbook=18_08.xlsx&amp;sheet=A0&amp;row=2543&amp;col=7&amp;number=0&amp;sourceID=14","0")</f>
        <v>0</v>
      </c>
    </row>
    <row r="2544" spans="1:7">
      <c r="A2544" s="3">
        <v>18</v>
      </c>
      <c r="B2544" s="3">
        <v>8</v>
      </c>
      <c r="C2544" s="3">
        <v>85</v>
      </c>
      <c r="D2544" s="3">
        <v>50</v>
      </c>
      <c r="E2544" s="3">
        <v>-545.741</v>
      </c>
      <c r="F2544" s="4" t="str">
        <f>HYPERLINK("http://141.218.60.56/~jnz1568/getInfo.php?workbook=18_08.xlsx&amp;sheet=A0&amp;row=2544&amp;col=6&amp;number=0.04348&amp;sourceID=14","0.04348")</f>
        <v>0.04348</v>
      </c>
      <c r="G2544" s="4" t="str">
        <f>HYPERLINK("http://141.218.60.56/~jnz1568/getInfo.php?workbook=18_08.xlsx&amp;sheet=A0&amp;row=2544&amp;col=7&amp;number=0&amp;sourceID=14","0")</f>
        <v>0</v>
      </c>
    </row>
    <row r="2545" spans="1:7">
      <c r="A2545" s="3">
        <v>18</v>
      </c>
      <c r="B2545" s="3">
        <v>8</v>
      </c>
      <c r="C2545" s="3">
        <v>86</v>
      </c>
      <c r="D2545" s="3">
        <v>50</v>
      </c>
      <c r="E2545" s="3">
        <v>-466.81</v>
      </c>
      <c r="F2545" s="4" t="str">
        <f>HYPERLINK("http://141.218.60.56/~jnz1568/getInfo.php?workbook=18_08.xlsx&amp;sheet=A0&amp;row=2545&amp;col=6&amp;number=298500000&amp;sourceID=14","298500000")</f>
        <v>298500000</v>
      </c>
      <c r="G2545" s="4" t="str">
        <f>HYPERLINK("http://141.218.60.56/~jnz1568/getInfo.php?workbook=18_08.xlsx&amp;sheet=A0&amp;row=2545&amp;col=7&amp;number=0&amp;sourceID=14","0")</f>
        <v>0</v>
      </c>
    </row>
    <row r="2546" spans="1:7">
      <c r="A2546" s="3">
        <v>18</v>
      </c>
      <c r="B2546" s="3">
        <v>8</v>
      </c>
      <c r="C2546" s="3">
        <v>55</v>
      </c>
      <c r="D2546" s="3">
        <v>51</v>
      </c>
      <c r="E2546" s="3">
        <v>-12036.542</v>
      </c>
      <c r="F2546" s="4" t="str">
        <f>HYPERLINK("http://141.218.60.56/~jnz1568/getInfo.php?workbook=18_08.xlsx&amp;sheet=A0&amp;row=2546&amp;col=6&amp;number=39.85&amp;sourceID=14","39.85")</f>
        <v>39.85</v>
      </c>
      <c r="G2546" s="4" t="str">
        <f>HYPERLINK("http://141.218.60.56/~jnz1568/getInfo.php?workbook=18_08.xlsx&amp;sheet=A0&amp;row=2546&amp;col=7&amp;number=0&amp;sourceID=14","0")</f>
        <v>0</v>
      </c>
    </row>
    <row r="2547" spans="1:7">
      <c r="A2547" s="3">
        <v>18</v>
      </c>
      <c r="B2547" s="3">
        <v>8</v>
      </c>
      <c r="C2547" s="3">
        <v>56</v>
      </c>
      <c r="D2547" s="3">
        <v>51</v>
      </c>
      <c r="E2547" s="3">
        <v>1618.071</v>
      </c>
      <c r="F2547" s="4" t="str">
        <f>HYPERLINK("http://141.218.60.56/~jnz1568/getInfo.php?workbook=18_08.xlsx&amp;sheet=A0&amp;row=2547&amp;col=6&amp;number=38.81&amp;sourceID=14","38.81")</f>
        <v>38.81</v>
      </c>
      <c r="G2547" s="4" t="str">
        <f>HYPERLINK("http://141.218.60.56/~jnz1568/getInfo.php?workbook=18_08.xlsx&amp;sheet=A0&amp;row=2547&amp;col=7&amp;number=0&amp;sourceID=14","0")</f>
        <v>0</v>
      </c>
    </row>
    <row r="2548" spans="1:7">
      <c r="A2548" s="3">
        <v>18</v>
      </c>
      <c r="B2548" s="3">
        <v>8</v>
      </c>
      <c r="C2548" s="3">
        <v>57</v>
      </c>
      <c r="D2548" s="3">
        <v>51</v>
      </c>
      <c r="E2548" s="3">
        <v>-1672.242</v>
      </c>
      <c r="F2548" s="4" t="str">
        <f>HYPERLINK("http://141.218.60.56/~jnz1568/getInfo.php?workbook=18_08.xlsx&amp;sheet=A0&amp;row=2548&amp;col=6&amp;number=4.869&amp;sourceID=14","4.869")</f>
        <v>4.869</v>
      </c>
      <c r="G2548" s="4" t="str">
        <f>HYPERLINK("http://141.218.60.56/~jnz1568/getInfo.php?workbook=18_08.xlsx&amp;sheet=A0&amp;row=2548&amp;col=7&amp;number=0&amp;sourceID=14","0")</f>
        <v>0</v>
      </c>
    </row>
    <row r="2549" spans="1:7">
      <c r="A2549" s="3">
        <v>18</v>
      </c>
      <c r="B2549" s="3">
        <v>8</v>
      </c>
      <c r="C2549" s="3">
        <v>58</v>
      </c>
      <c r="D2549" s="3">
        <v>51</v>
      </c>
      <c r="E2549" s="3">
        <v>-1599.347</v>
      </c>
      <c r="F2549" s="4" t="str">
        <f>HYPERLINK("http://141.218.60.56/~jnz1568/getInfo.php?workbook=18_08.xlsx&amp;sheet=A0&amp;row=2549&amp;col=6&amp;number=0.09164&amp;sourceID=14","0.09164")</f>
        <v>0.09164</v>
      </c>
      <c r="G2549" s="4" t="str">
        <f>HYPERLINK("http://141.218.60.56/~jnz1568/getInfo.php?workbook=18_08.xlsx&amp;sheet=A0&amp;row=2549&amp;col=7&amp;number=0&amp;sourceID=14","0")</f>
        <v>0</v>
      </c>
    </row>
    <row r="2550" spans="1:7">
      <c r="A2550" s="3">
        <v>18</v>
      </c>
      <c r="B2550" s="3">
        <v>8</v>
      </c>
      <c r="C2550" s="3">
        <v>59</v>
      </c>
      <c r="D2550" s="3">
        <v>51</v>
      </c>
      <c r="E2550" s="3">
        <v>-1564.163</v>
      </c>
      <c r="F2550" s="4" t="str">
        <f>HYPERLINK("http://141.218.60.56/~jnz1568/getInfo.php?workbook=18_08.xlsx&amp;sheet=A0&amp;row=2550&amp;col=6&amp;number=0.2068&amp;sourceID=14","0.2068")</f>
        <v>0.2068</v>
      </c>
      <c r="G2550" s="4" t="str">
        <f>HYPERLINK("http://141.218.60.56/~jnz1568/getInfo.php?workbook=18_08.xlsx&amp;sheet=A0&amp;row=2550&amp;col=7&amp;number=0&amp;sourceID=14","0")</f>
        <v>0</v>
      </c>
    </row>
    <row r="2551" spans="1:7">
      <c r="A2551" s="3">
        <v>18</v>
      </c>
      <c r="B2551" s="3">
        <v>8</v>
      </c>
      <c r="C2551" s="3">
        <v>60</v>
      </c>
      <c r="D2551" s="3">
        <v>51</v>
      </c>
      <c r="E2551" s="3">
        <v>-1410.364</v>
      </c>
      <c r="F2551" s="4" t="str">
        <f>HYPERLINK("http://141.218.60.56/~jnz1568/getInfo.php?workbook=18_08.xlsx&amp;sheet=A0&amp;row=2551&amp;col=6&amp;number=8.587&amp;sourceID=14","8.587")</f>
        <v>8.587</v>
      </c>
      <c r="G2551" s="4" t="str">
        <f>HYPERLINK("http://141.218.60.56/~jnz1568/getInfo.php?workbook=18_08.xlsx&amp;sheet=A0&amp;row=2551&amp;col=7&amp;number=0&amp;sourceID=14","0")</f>
        <v>0</v>
      </c>
    </row>
    <row r="2552" spans="1:7">
      <c r="A2552" s="3">
        <v>18</v>
      </c>
      <c r="B2552" s="3">
        <v>8</v>
      </c>
      <c r="C2552" s="3">
        <v>61</v>
      </c>
      <c r="D2552" s="3">
        <v>51</v>
      </c>
      <c r="E2552" s="3">
        <v>-1379.173</v>
      </c>
      <c r="F2552" s="4" t="str">
        <f>HYPERLINK("http://141.218.60.56/~jnz1568/getInfo.php?workbook=18_08.xlsx&amp;sheet=A0&amp;row=2552&amp;col=6&amp;number=0.02547&amp;sourceID=14","0.02547")</f>
        <v>0.02547</v>
      </c>
      <c r="G2552" s="4" t="str">
        <f>HYPERLINK("http://141.218.60.56/~jnz1568/getInfo.php?workbook=18_08.xlsx&amp;sheet=A0&amp;row=2552&amp;col=7&amp;number=0&amp;sourceID=14","0")</f>
        <v>0</v>
      </c>
    </row>
    <row r="2553" spans="1:7">
      <c r="A2553" s="3">
        <v>18</v>
      </c>
      <c r="B2553" s="3">
        <v>8</v>
      </c>
      <c r="C2553" s="3">
        <v>63</v>
      </c>
      <c r="D2553" s="3">
        <v>51</v>
      </c>
      <c r="E2553" s="3">
        <v>-1287.354</v>
      </c>
      <c r="F2553" s="4" t="str">
        <f>HYPERLINK("http://141.218.60.56/~jnz1568/getInfo.php?workbook=18_08.xlsx&amp;sheet=A0&amp;row=2553&amp;col=6&amp;number=0.00913&amp;sourceID=14","0.00913")</f>
        <v>0.00913</v>
      </c>
      <c r="G2553" s="4" t="str">
        <f>HYPERLINK("http://141.218.60.56/~jnz1568/getInfo.php?workbook=18_08.xlsx&amp;sheet=A0&amp;row=2553&amp;col=7&amp;number=0&amp;sourceID=14","0")</f>
        <v>0</v>
      </c>
    </row>
    <row r="2554" spans="1:7">
      <c r="A2554" s="3">
        <v>18</v>
      </c>
      <c r="B2554" s="3">
        <v>8</v>
      </c>
      <c r="C2554" s="3">
        <v>64</v>
      </c>
      <c r="D2554" s="3">
        <v>51</v>
      </c>
      <c r="E2554" s="3">
        <v>1169.81</v>
      </c>
      <c r="F2554" s="4" t="str">
        <f>HYPERLINK("http://141.218.60.56/~jnz1568/getInfo.php?workbook=18_08.xlsx&amp;sheet=A0&amp;row=2554&amp;col=6&amp;number=7.472&amp;sourceID=14","7.472")</f>
        <v>7.472</v>
      </c>
      <c r="G2554" s="4" t="str">
        <f>HYPERLINK("http://141.218.60.56/~jnz1568/getInfo.php?workbook=18_08.xlsx&amp;sheet=A0&amp;row=2554&amp;col=7&amp;number=0&amp;sourceID=14","0")</f>
        <v>0</v>
      </c>
    </row>
    <row r="2555" spans="1:7">
      <c r="A2555" s="3">
        <v>18</v>
      </c>
      <c r="B2555" s="3">
        <v>8</v>
      </c>
      <c r="C2555" s="3">
        <v>65</v>
      </c>
      <c r="D2555" s="3">
        <v>51</v>
      </c>
      <c r="E2555" s="3">
        <v>-1685.095</v>
      </c>
      <c r="F2555" s="4" t="str">
        <f>HYPERLINK("http://141.218.60.56/~jnz1568/getInfo.php?workbook=18_08.xlsx&amp;sheet=A0&amp;row=2555&amp;col=6&amp;number=5.416e-07&amp;sourceID=14","5.416e-07")</f>
        <v>5.416e-07</v>
      </c>
      <c r="G2555" s="4" t="str">
        <f>HYPERLINK("http://141.218.60.56/~jnz1568/getInfo.php?workbook=18_08.xlsx&amp;sheet=A0&amp;row=2555&amp;col=7&amp;number=0&amp;sourceID=14","0")</f>
        <v>0</v>
      </c>
    </row>
    <row r="2556" spans="1:7">
      <c r="A2556" s="3">
        <v>18</v>
      </c>
      <c r="B2556" s="3">
        <v>8</v>
      </c>
      <c r="C2556" s="3">
        <v>66</v>
      </c>
      <c r="D2556" s="3">
        <v>51</v>
      </c>
      <c r="E2556" s="3">
        <v>1174.95</v>
      </c>
      <c r="F2556" s="4" t="str">
        <f>HYPERLINK("http://141.218.60.56/~jnz1568/getInfo.php?workbook=18_08.xlsx&amp;sheet=A0&amp;row=2556&amp;col=6&amp;number=2.455&amp;sourceID=14","2.455")</f>
        <v>2.455</v>
      </c>
      <c r="G2556" s="4" t="str">
        <f>HYPERLINK("http://141.218.60.56/~jnz1568/getInfo.php?workbook=18_08.xlsx&amp;sheet=A0&amp;row=2556&amp;col=7&amp;number=0&amp;sourceID=14","0")</f>
        <v>0</v>
      </c>
    </row>
    <row r="2557" spans="1:7">
      <c r="A2557" s="3">
        <v>18</v>
      </c>
      <c r="B2557" s="3">
        <v>8</v>
      </c>
      <c r="C2557" s="3">
        <v>67</v>
      </c>
      <c r="D2557" s="3">
        <v>51</v>
      </c>
      <c r="E2557" s="3">
        <v>1308.661</v>
      </c>
      <c r="F2557" s="4" t="str">
        <f>HYPERLINK("http://141.218.60.56/~jnz1568/getInfo.php?workbook=18_08.xlsx&amp;sheet=A0&amp;row=2557&amp;col=6&amp;number=36.21&amp;sourceID=14","36.21")</f>
        <v>36.21</v>
      </c>
      <c r="G2557" s="4" t="str">
        <f>HYPERLINK("http://141.218.60.56/~jnz1568/getInfo.php?workbook=18_08.xlsx&amp;sheet=A0&amp;row=2557&amp;col=7&amp;number=0&amp;sourceID=14","0")</f>
        <v>0</v>
      </c>
    </row>
    <row r="2558" spans="1:7">
      <c r="A2558" s="3">
        <v>18</v>
      </c>
      <c r="B2558" s="3">
        <v>8</v>
      </c>
      <c r="C2558" s="3">
        <v>68</v>
      </c>
      <c r="D2558" s="3">
        <v>51</v>
      </c>
      <c r="E2558" s="3">
        <v>1153.562</v>
      </c>
      <c r="F2558" s="4" t="str">
        <f>HYPERLINK("http://141.218.60.56/~jnz1568/getInfo.php?workbook=18_08.xlsx&amp;sheet=A0&amp;row=2558&amp;col=6&amp;number=5.018&amp;sourceID=14","5.018")</f>
        <v>5.018</v>
      </c>
      <c r="G2558" s="4" t="str">
        <f>HYPERLINK("http://141.218.60.56/~jnz1568/getInfo.php?workbook=18_08.xlsx&amp;sheet=A0&amp;row=2558&amp;col=7&amp;number=0&amp;sourceID=14","0")</f>
        <v>0</v>
      </c>
    </row>
    <row r="2559" spans="1:7">
      <c r="A2559" s="3">
        <v>18</v>
      </c>
      <c r="B2559" s="3">
        <v>8</v>
      </c>
      <c r="C2559" s="3">
        <v>69</v>
      </c>
      <c r="D2559" s="3">
        <v>51</v>
      </c>
      <c r="E2559" s="3">
        <v>1044.921</v>
      </c>
      <c r="F2559" s="4" t="str">
        <f>HYPERLINK("http://141.218.60.56/~jnz1568/getInfo.php?workbook=18_08.xlsx&amp;sheet=A0&amp;row=2559&amp;col=6&amp;number=3.434&amp;sourceID=14","3.434")</f>
        <v>3.434</v>
      </c>
      <c r="G2559" s="4" t="str">
        <f>HYPERLINK("http://141.218.60.56/~jnz1568/getInfo.php?workbook=18_08.xlsx&amp;sheet=A0&amp;row=2559&amp;col=7&amp;number=0&amp;sourceID=14","0")</f>
        <v>0</v>
      </c>
    </row>
    <row r="2560" spans="1:7">
      <c r="A2560" s="3">
        <v>18</v>
      </c>
      <c r="B2560" s="3">
        <v>8</v>
      </c>
      <c r="C2560" s="3">
        <v>70</v>
      </c>
      <c r="D2560" s="3">
        <v>51</v>
      </c>
      <c r="E2560" s="3">
        <v>-985.291</v>
      </c>
      <c r="F2560" s="4" t="str">
        <f>HYPERLINK("http://141.218.60.56/~jnz1568/getInfo.php?workbook=18_08.xlsx&amp;sheet=A0&amp;row=2560&amp;col=6&amp;number=2.4&amp;sourceID=14","2.4")</f>
        <v>2.4</v>
      </c>
      <c r="G2560" s="4" t="str">
        <f>HYPERLINK("http://141.218.60.56/~jnz1568/getInfo.php?workbook=18_08.xlsx&amp;sheet=A0&amp;row=2560&amp;col=7&amp;number=0&amp;sourceID=14","0")</f>
        <v>0</v>
      </c>
    </row>
    <row r="2561" spans="1:7">
      <c r="A2561" s="3">
        <v>18</v>
      </c>
      <c r="B2561" s="3">
        <v>8</v>
      </c>
      <c r="C2561" s="3">
        <v>71</v>
      </c>
      <c r="D2561" s="3">
        <v>51</v>
      </c>
      <c r="E2561" s="3">
        <v>933.62</v>
      </c>
      <c r="F2561" s="4" t="str">
        <f>HYPERLINK("http://141.218.60.56/~jnz1568/getInfo.php?workbook=18_08.xlsx&amp;sheet=A0&amp;row=2561&amp;col=6&amp;number=6.71&amp;sourceID=14","6.71")</f>
        <v>6.71</v>
      </c>
      <c r="G2561" s="4" t="str">
        <f>HYPERLINK("http://141.218.60.56/~jnz1568/getInfo.php?workbook=18_08.xlsx&amp;sheet=A0&amp;row=2561&amp;col=7&amp;number=0&amp;sourceID=14","0")</f>
        <v>0</v>
      </c>
    </row>
    <row r="2562" spans="1:7">
      <c r="A2562" s="3">
        <v>18</v>
      </c>
      <c r="B2562" s="3">
        <v>8</v>
      </c>
      <c r="C2562" s="3">
        <v>72</v>
      </c>
      <c r="D2562" s="3">
        <v>51</v>
      </c>
      <c r="E2562" s="3">
        <v>1044.921</v>
      </c>
      <c r="F2562" s="4" t="str">
        <f>HYPERLINK("http://141.218.60.56/~jnz1568/getInfo.php?workbook=18_08.xlsx&amp;sheet=A0&amp;row=2562&amp;col=6&amp;number=28.86&amp;sourceID=14","28.86")</f>
        <v>28.86</v>
      </c>
      <c r="G2562" s="4" t="str">
        <f>HYPERLINK("http://141.218.60.56/~jnz1568/getInfo.php?workbook=18_08.xlsx&amp;sheet=A0&amp;row=2562&amp;col=7&amp;number=0&amp;sourceID=14","0")</f>
        <v>0</v>
      </c>
    </row>
    <row r="2563" spans="1:7">
      <c r="A2563" s="3">
        <v>18</v>
      </c>
      <c r="B2563" s="3">
        <v>8</v>
      </c>
      <c r="C2563" s="3">
        <v>73</v>
      </c>
      <c r="D2563" s="3">
        <v>51</v>
      </c>
      <c r="E2563" s="3">
        <v>933.62</v>
      </c>
      <c r="F2563" s="4" t="str">
        <f>HYPERLINK("http://141.218.60.56/~jnz1568/getInfo.php?workbook=18_08.xlsx&amp;sheet=A0&amp;row=2563&amp;col=6&amp;number=27.81&amp;sourceID=14","27.81")</f>
        <v>27.81</v>
      </c>
      <c r="G2563" s="4" t="str">
        <f>HYPERLINK("http://141.218.60.56/~jnz1568/getInfo.php?workbook=18_08.xlsx&amp;sheet=A0&amp;row=2563&amp;col=7&amp;number=0&amp;sourceID=14","0")</f>
        <v>0</v>
      </c>
    </row>
    <row r="2564" spans="1:7">
      <c r="A2564" s="3">
        <v>18</v>
      </c>
      <c r="B2564" s="3">
        <v>8</v>
      </c>
      <c r="C2564" s="3">
        <v>74</v>
      </c>
      <c r="D2564" s="3">
        <v>51</v>
      </c>
      <c r="E2564" s="3">
        <v>839.06</v>
      </c>
      <c r="F2564" s="4" t="str">
        <f>HYPERLINK("http://141.218.60.56/~jnz1568/getInfo.php?workbook=18_08.xlsx&amp;sheet=A0&amp;row=2564&amp;col=6&amp;number=13.04&amp;sourceID=14","13.04")</f>
        <v>13.04</v>
      </c>
      <c r="G2564" s="4" t="str">
        <f>HYPERLINK("http://141.218.60.56/~jnz1568/getInfo.php?workbook=18_08.xlsx&amp;sheet=A0&amp;row=2564&amp;col=7&amp;number=0&amp;sourceID=14","0")</f>
        <v>0</v>
      </c>
    </row>
    <row r="2565" spans="1:7">
      <c r="A2565" s="3">
        <v>18</v>
      </c>
      <c r="B2565" s="3">
        <v>8</v>
      </c>
      <c r="C2565" s="3">
        <v>75</v>
      </c>
      <c r="D2565" s="3">
        <v>51</v>
      </c>
      <c r="E2565" s="3">
        <v>-802.716</v>
      </c>
      <c r="F2565" s="4" t="str">
        <f>HYPERLINK("http://141.218.60.56/~jnz1568/getInfo.php?workbook=18_08.xlsx&amp;sheet=A0&amp;row=2565&amp;col=6&amp;number=116.3&amp;sourceID=14","116.3")</f>
        <v>116.3</v>
      </c>
      <c r="G2565" s="4" t="str">
        <f>HYPERLINK("http://141.218.60.56/~jnz1568/getInfo.php?workbook=18_08.xlsx&amp;sheet=A0&amp;row=2565&amp;col=7&amp;number=0&amp;sourceID=14","0")</f>
        <v>0</v>
      </c>
    </row>
    <row r="2566" spans="1:7">
      <c r="A2566" s="3">
        <v>18</v>
      </c>
      <c r="B2566" s="3">
        <v>8</v>
      </c>
      <c r="C2566" s="3">
        <v>76</v>
      </c>
      <c r="D2566" s="3">
        <v>51</v>
      </c>
      <c r="E2566" s="3">
        <v>-801.103</v>
      </c>
      <c r="F2566" s="4" t="str">
        <f>HYPERLINK("http://141.218.60.56/~jnz1568/getInfo.php?workbook=18_08.xlsx&amp;sheet=A0&amp;row=2566&amp;col=6&amp;number=1.117&amp;sourceID=14","1.117")</f>
        <v>1.117</v>
      </c>
      <c r="G2566" s="4" t="str">
        <f>HYPERLINK("http://141.218.60.56/~jnz1568/getInfo.php?workbook=18_08.xlsx&amp;sheet=A0&amp;row=2566&amp;col=7&amp;number=0&amp;sourceID=14","0")</f>
        <v>0</v>
      </c>
    </row>
    <row r="2567" spans="1:7">
      <c r="A2567" s="3">
        <v>18</v>
      </c>
      <c r="B2567" s="3">
        <v>8</v>
      </c>
      <c r="C2567" s="3">
        <v>77</v>
      </c>
      <c r="D2567" s="3">
        <v>51</v>
      </c>
      <c r="E2567" s="3">
        <v>838.828</v>
      </c>
      <c r="F2567" s="4" t="str">
        <f>HYPERLINK("http://141.218.60.56/~jnz1568/getInfo.php?workbook=18_08.xlsx&amp;sheet=A0&amp;row=2567&amp;col=6&amp;number=6.403&amp;sourceID=14","6.403")</f>
        <v>6.403</v>
      </c>
      <c r="G2567" s="4" t="str">
        <f>HYPERLINK("http://141.218.60.56/~jnz1568/getInfo.php?workbook=18_08.xlsx&amp;sheet=A0&amp;row=2567&amp;col=7&amp;number=0&amp;sourceID=14","0")</f>
        <v>0</v>
      </c>
    </row>
    <row r="2568" spans="1:7">
      <c r="A2568" s="3">
        <v>18</v>
      </c>
      <c r="B2568" s="3">
        <v>8</v>
      </c>
      <c r="C2568" s="3">
        <v>78</v>
      </c>
      <c r="D2568" s="3">
        <v>51</v>
      </c>
      <c r="E2568" s="3">
        <v>-797.451</v>
      </c>
      <c r="F2568" s="4" t="str">
        <f>HYPERLINK("http://141.218.60.56/~jnz1568/getInfo.php?workbook=18_08.xlsx&amp;sheet=A0&amp;row=2568&amp;col=6&amp;number=2.54&amp;sourceID=14","2.54")</f>
        <v>2.54</v>
      </c>
      <c r="G2568" s="4" t="str">
        <f>HYPERLINK("http://141.218.60.56/~jnz1568/getInfo.php?workbook=18_08.xlsx&amp;sheet=A0&amp;row=2568&amp;col=7&amp;number=0&amp;sourceID=14","0")</f>
        <v>0</v>
      </c>
    </row>
    <row r="2569" spans="1:7">
      <c r="A2569" s="3">
        <v>18</v>
      </c>
      <c r="B2569" s="3">
        <v>8</v>
      </c>
      <c r="C2569" s="3">
        <v>79</v>
      </c>
      <c r="D2569" s="3">
        <v>51</v>
      </c>
      <c r="E2569" s="3">
        <v>-778.899</v>
      </c>
      <c r="F2569" s="4" t="str">
        <f>HYPERLINK("http://141.218.60.56/~jnz1568/getInfo.php?workbook=18_08.xlsx&amp;sheet=A0&amp;row=2569&amp;col=6&amp;number=11.54&amp;sourceID=14","11.54")</f>
        <v>11.54</v>
      </c>
      <c r="G2569" s="4" t="str">
        <f>HYPERLINK("http://141.218.60.56/~jnz1568/getInfo.php?workbook=18_08.xlsx&amp;sheet=A0&amp;row=2569&amp;col=7&amp;number=0&amp;sourceID=14","0")</f>
        <v>0</v>
      </c>
    </row>
    <row r="2570" spans="1:7">
      <c r="A2570" s="3">
        <v>18</v>
      </c>
      <c r="B2570" s="3">
        <v>8</v>
      </c>
      <c r="C2570" s="3">
        <v>80</v>
      </c>
      <c r="D2570" s="3">
        <v>51</v>
      </c>
      <c r="E2570" s="3">
        <v>-767.32</v>
      </c>
      <c r="F2570" s="4" t="str">
        <f>HYPERLINK("http://141.218.60.56/~jnz1568/getInfo.php?workbook=18_08.xlsx&amp;sheet=A0&amp;row=2570&amp;col=6&amp;number=51.52&amp;sourceID=14","51.52")</f>
        <v>51.52</v>
      </c>
      <c r="G2570" s="4" t="str">
        <f>HYPERLINK("http://141.218.60.56/~jnz1568/getInfo.php?workbook=18_08.xlsx&amp;sheet=A0&amp;row=2570&amp;col=7&amp;number=0&amp;sourceID=14","0")</f>
        <v>0</v>
      </c>
    </row>
    <row r="2571" spans="1:7">
      <c r="A2571" s="3">
        <v>18</v>
      </c>
      <c r="B2571" s="3">
        <v>8</v>
      </c>
      <c r="C2571" s="3">
        <v>81</v>
      </c>
      <c r="D2571" s="3">
        <v>51</v>
      </c>
      <c r="E2571" s="3">
        <v>718.835</v>
      </c>
      <c r="F2571" s="4" t="str">
        <f>HYPERLINK("http://141.218.60.56/~jnz1568/getInfo.php?workbook=18_08.xlsx&amp;sheet=A0&amp;row=2571&amp;col=6&amp;number=17.03&amp;sourceID=14","17.03")</f>
        <v>17.03</v>
      </c>
      <c r="G2571" s="4" t="str">
        <f>HYPERLINK("http://141.218.60.56/~jnz1568/getInfo.php?workbook=18_08.xlsx&amp;sheet=A0&amp;row=2571&amp;col=7&amp;number=0&amp;sourceID=14","0")</f>
        <v>0</v>
      </c>
    </row>
    <row r="2572" spans="1:7">
      <c r="A2572" s="3">
        <v>18</v>
      </c>
      <c r="B2572" s="3">
        <v>8</v>
      </c>
      <c r="C2572" s="3">
        <v>82</v>
      </c>
      <c r="D2572" s="3">
        <v>51</v>
      </c>
      <c r="E2572" s="3">
        <v>699.335</v>
      </c>
      <c r="F2572" s="4" t="str">
        <f>HYPERLINK("http://141.218.60.56/~jnz1568/getInfo.php?workbook=18_08.xlsx&amp;sheet=A0&amp;row=2572&amp;col=6&amp;number=124.7&amp;sourceID=14","124.7")</f>
        <v>124.7</v>
      </c>
      <c r="G2572" s="4" t="str">
        <f>HYPERLINK("http://141.218.60.56/~jnz1568/getInfo.php?workbook=18_08.xlsx&amp;sheet=A0&amp;row=2572&amp;col=7&amp;number=0&amp;sourceID=14","0")</f>
        <v>0</v>
      </c>
    </row>
    <row r="2573" spans="1:7">
      <c r="A2573" s="3">
        <v>18</v>
      </c>
      <c r="B2573" s="3">
        <v>8</v>
      </c>
      <c r="C2573" s="3">
        <v>83</v>
      </c>
      <c r="D2573" s="3">
        <v>51</v>
      </c>
      <c r="E2573" s="3">
        <v>654.519</v>
      </c>
      <c r="F2573" s="4" t="str">
        <f>HYPERLINK("http://141.218.60.56/~jnz1568/getInfo.php?workbook=18_08.xlsx&amp;sheet=A0&amp;row=2573&amp;col=6&amp;number=19.14&amp;sourceID=14","19.14")</f>
        <v>19.14</v>
      </c>
      <c r="G2573" s="4" t="str">
        <f>HYPERLINK("http://141.218.60.56/~jnz1568/getInfo.php?workbook=18_08.xlsx&amp;sheet=A0&amp;row=2573&amp;col=7&amp;number=0&amp;sourceID=14","0")</f>
        <v>0</v>
      </c>
    </row>
    <row r="2574" spans="1:7">
      <c r="A2574" s="3">
        <v>18</v>
      </c>
      <c r="B2574" s="3">
        <v>8</v>
      </c>
      <c r="C2574" s="3">
        <v>84</v>
      </c>
      <c r="D2574" s="3">
        <v>51</v>
      </c>
      <c r="E2574" s="3">
        <v>697.915</v>
      </c>
      <c r="F2574" s="4" t="str">
        <f>HYPERLINK("http://141.218.60.56/~jnz1568/getInfo.php?workbook=18_08.xlsx&amp;sheet=A0&amp;row=2574&amp;col=6&amp;number=49.16&amp;sourceID=14","49.16")</f>
        <v>49.16</v>
      </c>
      <c r="G2574" s="4" t="str">
        <f>HYPERLINK("http://141.218.60.56/~jnz1568/getInfo.php?workbook=18_08.xlsx&amp;sheet=A0&amp;row=2574&amp;col=7&amp;number=0&amp;sourceID=14","0")</f>
        <v>0</v>
      </c>
    </row>
    <row r="2575" spans="1:7">
      <c r="A2575" s="3">
        <v>18</v>
      </c>
      <c r="B2575" s="3">
        <v>8</v>
      </c>
      <c r="C2575" s="3">
        <v>85</v>
      </c>
      <c r="D2575" s="3">
        <v>51</v>
      </c>
      <c r="E2575" s="3">
        <v>630.859</v>
      </c>
      <c r="F2575" s="4" t="str">
        <f>HYPERLINK("http://141.218.60.56/~jnz1568/getInfo.php?workbook=18_08.xlsx&amp;sheet=A0&amp;row=2575&amp;col=6&amp;number=122.3&amp;sourceID=14","122.3")</f>
        <v>122.3</v>
      </c>
      <c r="G2575" s="4" t="str">
        <f>HYPERLINK("http://141.218.60.56/~jnz1568/getInfo.php?workbook=18_08.xlsx&amp;sheet=A0&amp;row=2575&amp;col=7&amp;number=0&amp;sourceID=14","0")</f>
        <v>0</v>
      </c>
    </row>
    <row r="2576" spans="1:7">
      <c r="A2576" s="3">
        <v>18</v>
      </c>
      <c r="B2576" s="3">
        <v>8</v>
      </c>
      <c r="C2576" s="3">
        <v>86</v>
      </c>
      <c r="D2576" s="3">
        <v>51</v>
      </c>
      <c r="E2576" s="3">
        <v>528.502</v>
      </c>
      <c r="F2576" s="4" t="str">
        <f>HYPERLINK("http://141.218.60.56/~jnz1568/getInfo.php?workbook=18_08.xlsx&amp;sheet=A0&amp;row=2576&amp;col=6&amp;number=408.7&amp;sourceID=14","408.7")</f>
        <v>408.7</v>
      </c>
      <c r="G2576" s="4" t="str">
        <f>HYPERLINK("http://141.218.60.56/~jnz1568/getInfo.php?workbook=18_08.xlsx&amp;sheet=A0&amp;row=2576&amp;col=7&amp;number=0&amp;sourceID=14","0")</f>
        <v>0</v>
      </c>
    </row>
    <row r="2577" spans="1:7">
      <c r="A2577" s="3">
        <v>18</v>
      </c>
      <c r="B2577" s="3">
        <v>8</v>
      </c>
      <c r="C2577" s="3">
        <v>54</v>
      </c>
      <c r="D2577" s="3">
        <v>52</v>
      </c>
      <c r="E2577" s="3">
        <v>83822.297</v>
      </c>
      <c r="F2577" s="4" t="str">
        <f>HYPERLINK("http://141.218.60.56/~jnz1568/getInfo.php?workbook=18_08.xlsx&amp;sheet=A0&amp;row=2577&amp;col=6&amp;number=1.887e-05&amp;sourceID=14","1.887e-05")</f>
        <v>1.887e-05</v>
      </c>
      <c r="G2577" s="4" t="str">
        <f>HYPERLINK("http://141.218.60.56/~jnz1568/getInfo.php?workbook=18_08.xlsx&amp;sheet=A0&amp;row=2577&amp;col=7&amp;number=0&amp;sourceID=14","0")</f>
        <v>0</v>
      </c>
    </row>
    <row r="2578" spans="1:7">
      <c r="A2578" s="3">
        <v>18</v>
      </c>
      <c r="B2578" s="3">
        <v>8</v>
      </c>
      <c r="C2578" s="3">
        <v>55</v>
      </c>
      <c r="D2578" s="3">
        <v>52</v>
      </c>
      <c r="E2578" s="3">
        <v>-13666.434</v>
      </c>
      <c r="F2578" s="4" t="str">
        <f>HYPERLINK("http://141.218.60.56/~jnz1568/getInfo.php?workbook=18_08.xlsx&amp;sheet=A0&amp;row=2578&amp;col=6&amp;number=2.267&amp;sourceID=14","2.267")</f>
        <v>2.267</v>
      </c>
      <c r="G2578" s="4" t="str">
        <f>HYPERLINK("http://141.218.60.56/~jnz1568/getInfo.php?workbook=18_08.xlsx&amp;sheet=A0&amp;row=2578&amp;col=7&amp;number=0&amp;sourceID=14","0")</f>
        <v>0</v>
      </c>
    </row>
    <row r="2579" spans="1:7">
      <c r="A2579" s="3">
        <v>18</v>
      </c>
      <c r="B2579" s="3">
        <v>8</v>
      </c>
      <c r="C2579" s="3">
        <v>56</v>
      </c>
      <c r="D2579" s="3">
        <v>52</v>
      </c>
      <c r="E2579" s="3">
        <v>1587.428</v>
      </c>
      <c r="F2579" s="4" t="str">
        <f>HYPERLINK("http://141.218.60.56/~jnz1568/getInfo.php?workbook=18_08.xlsx&amp;sheet=A0&amp;row=2579&amp;col=6&amp;number=29.51&amp;sourceID=14","29.51")</f>
        <v>29.51</v>
      </c>
      <c r="G2579" s="4" t="str">
        <f>HYPERLINK("http://141.218.60.56/~jnz1568/getInfo.php?workbook=18_08.xlsx&amp;sheet=A0&amp;row=2579&amp;col=7&amp;number=0&amp;sourceID=14","0")</f>
        <v>0</v>
      </c>
    </row>
    <row r="2580" spans="1:7">
      <c r="A2580" s="3">
        <v>18</v>
      </c>
      <c r="B2580" s="3">
        <v>8</v>
      </c>
      <c r="C2580" s="3">
        <v>57</v>
      </c>
      <c r="D2580" s="3">
        <v>52</v>
      </c>
      <c r="E2580" s="3">
        <v>-1700.417</v>
      </c>
      <c r="F2580" s="4" t="str">
        <f>HYPERLINK("http://141.218.60.56/~jnz1568/getInfo.php?workbook=18_08.xlsx&amp;sheet=A0&amp;row=2580&amp;col=6&amp;number=0.1428&amp;sourceID=14","0.1428")</f>
        <v>0.1428</v>
      </c>
      <c r="G2580" s="4" t="str">
        <f>HYPERLINK("http://141.218.60.56/~jnz1568/getInfo.php?workbook=18_08.xlsx&amp;sheet=A0&amp;row=2580&amp;col=7&amp;number=0&amp;sourceID=14","0")</f>
        <v>0</v>
      </c>
    </row>
    <row r="2581" spans="1:7">
      <c r="A2581" s="3">
        <v>18</v>
      </c>
      <c r="B2581" s="3">
        <v>8</v>
      </c>
      <c r="C2581" s="3">
        <v>58</v>
      </c>
      <c r="D2581" s="3">
        <v>52</v>
      </c>
      <c r="E2581" s="3">
        <v>-1625.1</v>
      </c>
      <c r="F2581" s="4" t="str">
        <f>HYPERLINK("http://141.218.60.56/~jnz1568/getInfo.php?workbook=18_08.xlsx&amp;sheet=A0&amp;row=2581&amp;col=6&amp;number=0.5&amp;sourceID=14","0.5")</f>
        <v>0.5</v>
      </c>
      <c r="G2581" s="4" t="str">
        <f>HYPERLINK("http://141.218.60.56/~jnz1568/getInfo.php?workbook=18_08.xlsx&amp;sheet=A0&amp;row=2581&amp;col=7&amp;number=0&amp;sourceID=14","0")</f>
        <v>0</v>
      </c>
    </row>
    <row r="2582" spans="1:7">
      <c r="A2582" s="3">
        <v>18</v>
      </c>
      <c r="B2582" s="3">
        <v>8</v>
      </c>
      <c r="C2582" s="3">
        <v>60</v>
      </c>
      <c r="D2582" s="3">
        <v>52</v>
      </c>
      <c r="E2582" s="3">
        <v>-1430.352</v>
      </c>
      <c r="F2582" s="4" t="str">
        <f>HYPERLINK("http://141.218.60.56/~jnz1568/getInfo.php?workbook=18_08.xlsx&amp;sheet=A0&amp;row=2582&amp;col=6&amp;number=0.03475&amp;sourceID=14","0.03475")</f>
        <v>0.03475</v>
      </c>
      <c r="G2582" s="4" t="str">
        <f>HYPERLINK("http://141.218.60.56/~jnz1568/getInfo.php?workbook=18_08.xlsx&amp;sheet=A0&amp;row=2582&amp;col=7&amp;number=0&amp;sourceID=14","0")</f>
        <v>0</v>
      </c>
    </row>
    <row r="2583" spans="1:7">
      <c r="A2583" s="3">
        <v>18</v>
      </c>
      <c r="B2583" s="3">
        <v>8</v>
      </c>
      <c r="C2583" s="3">
        <v>64</v>
      </c>
      <c r="D2583" s="3">
        <v>52</v>
      </c>
      <c r="E2583" s="3">
        <v>1153.709</v>
      </c>
      <c r="F2583" s="4" t="str">
        <f>HYPERLINK("http://141.218.60.56/~jnz1568/getInfo.php?workbook=18_08.xlsx&amp;sheet=A0&amp;row=2583&amp;col=6&amp;number=5.922&amp;sourceID=14","5.922")</f>
        <v>5.922</v>
      </c>
      <c r="G2583" s="4" t="str">
        <f>HYPERLINK("http://141.218.60.56/~jnz1568/getInfo.php?workbook=18_08.xlsx&amp;sheet=A0&amp;row=2583&amp;col=7&amp;number=0&amp;sourceID=14","0")</f>
        <v>0</v>
      </c>
    </row>
    <row r="2584" spans="1:7">
      <c r="A2584" s="3">
        <v>18</v>
      </c>
      <c r="B2584" s="3">
        <v>8</v>
      </c>
      <c r="C2584" s="3">
        <v>65</v>
      </c>
      <c r="D2584" s="3">
        <v>52</v>
      </c>
      <c r="E2584" s="3">
        <v>-1713.708</v>
      </c>
      <c r="F2584" s="4" t="str">
        <f>HYPERLINK("http://141.218.60.56/~jnz1568/getInfo.php?workbook=18_08.xlsx&amp;sheet=A0&amp;row=2584&amp;col=6&amp;number=459.3&amp;sourceID=14","459.3")</f>
        <v>459.3</v>
      </c>
      <c r="G2584" s="4" t="str">
        <f>HYPERLINK("http://141.218.60.56/~jnz1568/getInfo.php?workbook=18_08.xlsx&amp;sheet=A0&amp;row=2584&amp;col=7&amp;number=0&amp;sourceID=14","0")</f>
        <v>0</v>
      </c>
    </row>
    <row r="2585" spans="1:7">
      <c r="A2585" s="3">
        <v>18</v>
      </c>
      <c r="B2585" s="3">
        <v>8</v>
      </c>
      <c r="C2585" s="3">
        <v>66</v>
      </c>
      <c r="D2585" s="3">
        <v>52</v>
      </c>
      <c r="E2585" s="3">
        <v>1158.708</v>
      </c>
      <c r="F2585" s="4" t="str">
        <f>HYPERLINK("http://141.218.60.56/~jnz1568/getInfo.php?workbook=18_08.xlsx&amp;sheet=A0&amp;row=2585&amp;col=6&amp;number=57.39&amp;sourceID=14","57.39")</f>
        <v>57.39</v>
      </c>
      <c r="G2585" s="4" t="str">
        <f>HYPERLINK("http://141.218.60.56/~jnz1568/getInfo.php?workbook=18_08.xlsx&amp;sheet=A0&amp;row=2585&amp;col=7&amp;number=0&amp;sourceID=14","0")</f>
        <v>0</v>
      </c>
    </row>
    <row r="2586" spans="1:7">
      <c r="A2586" s="3">
        <v>18</v>
      </c>
      <c r="B2586" s="3">
        <v>8</v>
      </c>
      <c r="C2586" s="3">
        <v>67</v>
      </c>
      <c r="D2586" s="3">
        <v>52</v>
      </c>
      <c r="E2586" s="3">
        <v>1288.544</v>
      </c>
      <c r="F2586" s="4" t="str">
        <f>HYPERLINK("http://141.218.60.56/~jnz1568/getInfo.php?workbook=18_08.xlsx&amp;sheet=A0&amp;row=2586&amp;col=6&amp;number=2.074&amp;sourceID=14","2.074")</f>
        <v>2.074</v>
      </c>
      <c r="G2586" s="4" t="str">
        <f>HYPERLINK("http://141.218.60.56/~jnz1568/getInfo.php?workbook=18_08.xlsx&amp;sheet=A0&amp;row=2586&amp;col=7&amp;number=0&amp;sourceID=14","0")</f>
        <v>0</v>
      </c>
    </row>
    <row r="2587" spans="1:7">
      <c r="A2587" s="3">
        <v>18</v>
      </c>
      <c r="B2587" s="3">
        <v>8</v>
      </c>
      <c r="C2587" s="3">
        <v>68</v>
      </c>
      <c r="D2587" s="3">
        <v>52</v>
      </c>
      <c r="E2587" s="3">
        <v>1137.902</v>
      </c>
      <c r="F2587" s="4" t="str">
        <f>HYPERLINK("http://141.218.60.56/~jnz1568/getInfo.php?workbook=18_08.xlsx&amp;sheet=A0&amp;row=2587&amp;col=6&amp;number=0.7295&amp;sourceID=14","0.7295")</f>
        <v>0.7295</v>
      </c>
      <c r="G2587" s="4" t="str">
        <f>HYPERLINK("http://141.218.60.56/~jnz1568/getInfo.php?workbook=18_08.xlsx&amp;sheet=A0&amp;row=2587&amp;col=7&amp;number=0&amp;sourceID=14","0")</f>
        <v>0</v>
      </c>
    </row>
    <row r="2588" spans="1:7">
      <c r="A2588" s="3">
        <v>18</v>
      </c>
      <c r="B2588" s="3">
        <v>8</v>
      </c>
      <c r="C2588" s="3">
        <v>69</v>
      </c>
      <c r="D2588" s="3">
        <v>52</v>
      </c>
      <c r="E2588" s="3">
        <v>1032.056</v>
      </c>
      <c r="F2588" s="4" t="str">
        <f>HYPERLINK("http://141.218.60.56/~jnz1568/getInfo.php?workbook=18_08.xlsx&amp;sheet=A0&amp;row=2588&amp;col=6&amp;number=44.35&amp;sourceID=14","44.35")</f>
        <v>44.35</v>
      </c>
      <c r="G2588" s="4" t="str">
        <f>HYPERLINK("http://141.218.60.56/~jnz1568/getInfo.php?workbook=18_08.xlsx&amp;sheet=A0&amp;row=2588&amp;col=7&amp;number=0&amp;sourceID=14","0")</f>
        <v>0</v>
      </c>
    </row>
    <row r="2589" spans="1:7">
      <c r="A2589" s="3">
        <v>18</v>
      </c>
      <c r="B2589" s="3">
        <v>8</v>
      </c>
      <c r="C2589" s="3">
        <v>70</v>
      </c>
      <c r="D2589" s="3">
        <v>52</v>
      </c>
      <c r="E2589" s="3">
        <v>-995.005</v>
      </c>
      <c r="F2589" s="4" t="str">
        <f>HYPERLINK("http://141.218.60.56/~jnz1568/getInfo.php?workbook=18_08.xlsx&amp;sheet=A0&amp;row=2589&amp;col=6&amp;number=18.15&amp;sourceID=14","18.15")</f>
        <v>18.15</v>
      </c>
      <c r="G2589" s="4" t="str">
        <f>HYPERLINK("http://141.218.60.56/~jnz1568/getInfo.php?workbook=18_08.xlsx&amp;sheet=A0&amp;row=2589&amp;col=7&amp;number=0&amp;sourceID=14","0")</f>
        <v>0</v>
      </c>
    </row>
    <row r="2590" spans="1:7">
      <c r="A2590" s="3">
        <v>18</v>
      </c>
      <c r="B2590" s="3">
        <v>8</v>
      </c>
      <c r="C2590" s="3">
        <v>71</v>
      </c>
      <c r="D2590" s="3">
        <v>52</v>
      </c>
      <c r="E2590" s="3">
        <v>923.335</v>
      </c>
      <c r="F2590" s="4" t="str">
        <f>HYPERLINK("http://141.218.60.56/~jnz1568/getInfo.php?workbook=18_08.xlsx&amp;sheet=A0&amp;row=2590&amp;col=6&amp;number=10.42&amp;sourceID=14","10.42")</f>
        <v>10.42</v>
      </c>
      <c r="G2590" s="4" t="str">
        <f>HYPERLINK("http://141.218.60.56/~jnz1568/getInfo.php?workbook=18_08.xlsx&amp;sheet=A0&amp;row=2590&amp;col=7&amp;number=0&amp;sourceID=14","0")</f>
        <v>0</v>
      </c>
    </row>
    <row r="2591" spans="1:7">
      <c r="A2591" s="3">
        <v>18</v>
      </c>
      <c r="B2591" s="3">
        <v>8</v>
      </c>
      <c r="C2591" s="3">
        <v>72</v>
      </c>
      <c r="D2591" s="3">
        <v>52</v>
      </c>
      <c r="E2591" s="3">
        <v>1032.056</v>
      </c>
      <c r="F2591" s="4" t="str">
        <f>HYPERLINK("http://141.218.60.56/~jnz1568/getInfo.php?workbook=18_08.xlsx&amp;sheet=A0&amp;row=2591&amp;col=6&amp;number=109.9&amp;sourceID=14","109.9")</f>
        <v>109.9</v>
      </c>
      <c r="G2591" s="4" t="str">
        <f>HYPERLINK("http://141.218.60.56/~jnz1568/getInfo.php?workbook=18_08.xlsx&amp;sheet=A0&amp;row=2591&amp;col=7&amp;number=0&amp;sourceID=14","0")</f>
        <v>0</v>
      </c>
    </row>
    <row r="2592" spans="1:7">
      <c r="A2592" s="3">
        <v>18</v>
      </c>
      <c r="B2592" s="3">
        <v>8</v>
      </c>
      <c r="C2592" s="3">
        <v>73</v>
      </c>
      <c r="D2592" s="3">
        <v>52</v>
      </c>
      <c r="E2592" s="3">
        <v>923.335</v>
      </c>
      <c r="F2592" s="4" t="str">
        <f>HYPERLINK("http://141.218.60.56/~jnz1568/getInfo.php?workbook=18_08.xlsx&amp;sheet=A0&amp;row=2592&amp;col=6&amp;number=65.66&amp;sourceID=14","65.66")</f>
        <v>65.66</v>
      </c>
      <c r="G2592" s="4" t="str">
        <f>HYPERLINK("http://141.218.60.56/~jnz1568/getInfo.php?workbook=18_08.xlsx&amp;sheet=A0&amp;row=2592&amp;col=7&amp;number=0&amp;sourceID=14","0")</f>
        <v>0</v>
      </c>
    </row>
    <row r="2593" spans="1:7">
      <c r="A2593" s="3">
        <v>18</v>
      </c>
      <c r="B2593" s="3">
        <v>8</v>
      </c>
      <c r="C2593" s="3">
        <v>74</v>
      </c>
      <c r="D2593" s="3">
        <v>52</v>
      </c>
      <c r="E2593" s="3">
        <v>830.744</v>
      </c>
      <c r="F2593" s="4" t="str">
        <f>HYPERLINK("http://141.218.60.56/~jnz1568/getInfo.php?workbook=18_08.xlsx&amp;sheet=A0&amp;row=2593&amp;col=6&amp;number=0.5746&amp;sourceID=14","0.5746")</f>
        <v>0.5746</v>
      </c>
      <c r="G2593" s="4" t="str">
        <f>HYPERLINK("http://141.218.60.56/~jnz1568/getInfo.php?workbook=18_08.xlsx&amp;sheet=A0&amp;row=2593&amp;col=7&amp;number=0&amp;sourceID=14","0")</f>
        <v>0</v>
      </c>
    </row>
    <row r="2594" spans="1:7">
      <c r="A2594" s="3">
        <v>18</v>
      </c>
      <c r="B2594" s="3">
        <v>8</v>
      </c>
      <c r="C2594" s="3">
        <v>75</v>
      </c>
      <c r="D2594" s="3">
        <v>52</v>
      </c>
      <c r="E2594" s="3">
        <v>-809.151</v>
      </c>
      <c r="F2594" s="4" t="str">
        <f>HYPERLINK("http://141.218.60.56/~jnz1568/getInfo.php?workbook=18_08.xlsx&amp;sheet=A0&amp;row=2594&amp;col=6&amp;number=45.68&amp;sourceID=14","45.68")</f>
        <v>45.68</v>
      </c>
      <c r="G2594" s="4" t="str">
        <f>HYPERLINK("http://141.218.60.56/~jnz1568/getInfo.php?workbook=18_08.xlsx&amp;sheet=A0&amp;row=2594&amp;col=7&amp;number=0&amp;sourceID=14","0")</f>
        <v>0</v>
      </c>
    </row>
    <row r="2595" spans="1:7">
      <c r="A2595" s="3">
        <v>18</v>
      </c>
      <c r="B2595" s="3">
        <v>8</v>
      </c>
      <c r="C2595" s="3">
        <v>77</v>
      </c>
      <c r="D2595" s="3">
        <v>52</v>
      </c>
      <c r="E2595" s="3">
        <v>830.516</v>
      </c>
      <c r="F2595" s="4" t="str">
        <f>HYPERLINK("http://141.218.60.56/~jnz1568/getInfo.php?workbook=18_08.xlsx&amp;sheet=A0&amp;row=2595&amp;col=6&amp;number=0.8483&amp;sourceID=14","0.8483")</f>
        <v>0.8483</v>
      </c>
      <c r="G2595" s="4" t="str">
        <f>HYPERLINK("http://141.218.60.56/~jnz1568/getInfo.php?workbook=18_08.xlsx&amp;sheet=A0&amp;row=2595&amp;col=7&amp;number=0&amp;sourceID=14","0")</f>
        <v>0</v>
      </c>
    </row>
    <row r="2596" spans="1:7">
      <c r="A2596" s="3">
        <v>18</v>
      </c>
      <c r="B2596" s="3">
        <v>8</v>
      </c>
      <c r="C2596" s="3">
        <v>78</v>
      </c>
      <c r="D2596" s="3">
        <v>52</v>
      </c>
      <c r="E2596" s="3">
        <v>-803.803</v>
      </c>
      <c r="F2596" s="4" t="str">
        <f>HYPERLINK("http://141.218.60.56/~jnz1568/getInfo.php?workbook=18_08.xlsx&amp;sheet=A0&amp;row=2596&amp;col=6&amp;number=138.4&amp;sourceID=14","138.4")</f>
        <v>138.4</v>
      </c>
      <c r="G2596" s="4" t="str">
        <f>HYPERLINK("http://141.218.60.56/~jnz1568/getInfo.php?workbook=18_08.xlsx&amp;sheet=A0&amp;row=2596&amp;col=7&amp;number=0&amp;sourceID=14","0")</f>
        <v>0</v>
      </c>
    </row>
    <row r="2597" spans="1:7">
      <c r="A2597" s="3">
        <v>18</v>
      </c>
      <c r="B2597" s="3">
        <v>8</v>
      </c>
      <c r="C2597" s="3">
        <v>79</v>
      </c>
      <c r="D2597" s="3">
        <v>52</v>
      </c>
      <c r="E2597" s="3">
        <v>-784.957</v>
      </c>
      <c r="F2597" s="4" t="str">
        <f>HYPERLINK("http://141.218.60.56/~jnz1568/getInfo.php?workbook=18_08.xlsx&amp;sheet=A0&amp;row=2597&amp;col=6&amp;number=157&amp;sourceID=14","157")</f>
        <v>157</v>
      </c>
      <c r="G2597" s="4" t="str">
        <f>HYPERLINK("http://141.218.60.56/~jnz1568/getInfo.php?workbook=18_08.xlsx&amp;sheet=A0&amp;row=2597&amp;col=7&amp;number=0&amp;sourceID=14","0")</f>
        <v>0</v>
      </c>
    </row>
    <row r="2598" spans="1:7">
      <c r="A2598" s="3">
        <v>18</v>
      </c>
      <c r="B2598" s="3">
        <v>8</v>
      </c>
      <c r="C2598" s="3">
        <v>80</v>
      </c>
      <c r="D2598" s="3">
        <v>52</v>
      </c>
      <c r="E2598" s="3">
        <v>-773.199</v>
      </c>
      <c r="F2598" s="4" t="str">
        <f>HYPERLINK("http://141.218.60.56/~jnz1568/getInfo.php?workbook=18_08.xlsx&amp;sheet=A0&amp;row=2598&amp;col=6&amp;number=52.48&amp;sourceID=14","52.48")</f>
        <v>52.48</v>
      </c>
      <c r="G2598" s="4" t="str">
        <f>HYPERLINK("http://141.218.60.56/~jnz1568/getInfo.php?workbook=18_08.xlsx&amp;sheet=A0&amp;row=2598&amp;col=7&amp;number=0&amp;sourceID=14","0")</f>
        <v>0</v>
      </c>
    </row>
    <row r="2599" spans="1:7">
      <c r="A2599" s="3">
        <v>18</v>
      </c>
      <c r="B2599" s="3">
        <v>8</v>
      </c>
      <c r="C2599" s="3">
        <v>81</v>
      </c>
      <c r="D2599" s="3">
        <v>52</v>
      </c>
      <c r="E2599" s="3">
        <v>712.723</v>
      </c>
      <c r="F2599" s="4" t="str">
        <f>HYPERLINK("http://141.218.60.56/~jnz1568/getInfo.php?workbook=18_08.xlsx&amp;sheet=A0&amp;row=2599&amp;col=6&amp;number=162.9&amp;sourceID=14","162.9")</f>
        <v>162.9</v>
      </c>
      <c r="G2599" s="4" t="str">
        <f>HYPERLINK("http://141.218.60.56/~jnz1568/getInfo.php?workbook=18_08.xlsx&amp;sheet=A0&amp;row=2599&amp;col=7&amp;number=0&amp;sourceID=14","0")</f>
        <v>0</v>
      </c>
    </row>
    <row r="2600" spans="1:7">
      <c r="A2600" s="3">
        <v>18</v>
      </c>
      <c r="B2600" s="3">
        <v>8</v>
      </c>
      <c r="C2600" s="3">
        <v>82</v>
      </c>
      <c r="D2600" s="3">
        <v>52</v>
      </c>
      <c r="E2600" s="3">
        <v>693.549</v>
      </c>
      <c r="F2600" s="4" t="str">
        <f>HYPERLINK("http://141.218.60.56/~jnz1568/getInfo.php?workbook=18_08.xlsx&amp;sheet=A0&amp;row=2600&amp;col=6&amp;number=0.01021&amp;sourceID=14","0.01021")</f>
        <v>0.01021</v>
      </c>
      <c r="G2600" s="4" t="str">
        <f>HYPERLINK("http://141.218.60.56/~jnz1568/getInfo.php?workbook=18_08.xlsx&amp;sheet=A0&amp;row=2600&amp;col=7&amp;number=0&amp;sourceID=14","0")</f>
        <v>0</v>
      </c>
    </row>
    <row r="2601" spans="1:7">
      <c r="A2601" s="3">
        <v>18</v>
      </c>
      <c r="B2601" s="3">
        <v>8</v>
      </c>
      <c r="C2601" s="3">
        <v>83</v>
      </c>
      <c r="D2601" s="3">
        <v>52</v>
      </c>
      <c r="E2601" s="3">
        <v>649.448</v>
      </c>
      <c r="F2601" s="4" t="str">
        <f>HYPERLINK("http://141.218.60.56/~jnz1568/getInfo.php?workbook=18_08.xlsx&amp;sheet=A0&amp;row=2601&amp;col=6&amp;number=18.7&amp;sourceID=14","18.7")</f>
        <v>18.7</v>
      </c>
      <c r="G2601" s="4" t="str">
        <f>HYPERLINK("http://141.218.60.56/~jnz1568/getInfo.php?workbook=18_08.xlsx&amp;sheet=A0&amp;row=2601&amp;col=7&amp;number=0&amp;sourceID=14","0")</f>
        <v>0</v>
      </c>
    </row>
    <row r="2602" spans="1:7">
      <c r="A2602" s="3">
        <v>18</v>
      </c>
      <c r="B2602" s="3">
        <v>8</v>
      </c>
      <c r="C2602" s="3">
        <v>84</v>
      </c>
      <c r="D2602" s="3">
        <v>52</v>
      </c>
      <c r="E2602" s="3">
        <v>692.152</v>
      </c>
      <c r="F2602" s="4" t="str">
        <f>HYPERLINK("http://141.218.60.56/~jnz1568/getInfo.php?workbook=18_08.xlsx&amp;sheet=A0&amp;row=2602&amp;col=6&amp;number=151.8&amp;sourceID=14","151.8")</f>
        <v>151.8</v>
      </c>
      <c r="G2602" s="4" t="str">
        <f>HYPERLINK("http://141.218.60.56/~jnz1568/getInfo.php?workbook=18_08.xlsx&amp;sheet=A0&amp;row=2602&amp;col=7&amp;number=0&amp;sourceID=14","0")</f>
        <v>0</v>
      </c>
    </row>
    <row r="2603" spans="1:7">
      <c r="A2603" s="3">
        <v>18</v>
      </c>
      <c r="B2603" s="3">
        <v>8</v>
      </c>
      <c r="C2603" s="3">
        <v>85</v>
      </c>
      <c r="D2603" s="3">
        <v>52</v>
      </c>
      <c r="E2603" s="3">
        <v>626.147</v>
      </c>
      <c r="F2603" s="4" t="str">
        <f>HYPERLINK("http://141.218.60.56/~jnz1568/getInfo.php?workbook=18_08.xlsx&amp;sheet=A0&amp;row=2603&amp;col=6&amp;number=0.02194&amp;sourceID=14","0.02194")</f>
        <v>0.02194</v>
      </c>
      <c r="G2603" s="4" t="str">
        <f>HYPERLINK("http://141.218.60.56/~jnz1568/getInfo.php?workbook=18_08.xlsx&amp;sheet=A0&amp;row=2603&amp;col=7&amp;number=0&amp;sourceID=14","0")</f>
        <v>0</v>
      </c>
    </row>
    <row r="2604" spans="1:7">
      <c r="A2604" s="3">
        <v>18</v>
      </c>
      <c r="B2604" s="3">
        <v>8</v>
      </c>
      <c r="C2604" s="3">
        <v>86</v>
      </c>
      <c r="D2604" s="3">
        <v>52</v>
      </c>
      <c r="E2604" s="3">
        <v>525.191</v>
      </c>
      <c r="F2604" s="4" t="str">
        <f>HYPERLINK("http://141.218.60.56/~jnz1568/getInfo.php?workbook=18_08.xlsx&amp;sheet=A0&amp;row=2604&amp;col=6&amp;number=138.9&amp;sourceID=14","138.9")</f>
        <v>138.9</v>
      </c>
      <c r="G2604" s="4" t="str">
        <f>HYPERLINK("http://141.218.60.56/~jnz1568/getInfo.php?workbook=18_08.xlsx&amp;sheet=A0&amp;row=2604&amp;col=7&amp;number=0&amp;sourceID=14","0")</f>
        <v>0</v>
      </c>
    </row>
    <row r="2605" spans="1:7">
      <c r="A2605" s="3">
        <v>18</v>
      </c>
      <c r="B2605" s="3">
        <v>8</v>
      </c>
      <c r="C2605" s="3">
        <v>55</v>
      </c>
      <c r="D2605" s="3">
        <v>53</v>
      </c>
      <c r="E2605" s="3">
        <v>-3374.577</v>
      </c>
      <c r="F2605" s="4" t="str">
        <f>HYPERLINK("http://141.218.60.56/~jnz1568/getInfo.php?workbook=18_08.xlsx&amp;sheet=A0&amp;row=2605&amp;col=6&amp;number=0.001697&amp;sourceID=14","0.001697")</f>
        <v>0.001697</v>
      </c>
      <c r="G2605" s="4" t="str">
        <f>HYPERLINK("http://141.218.60.56/~jnz1568/getInfo.php?workbook=18_08.xlsx&amp;sheet=A0&amp;row=2605&amp;col=7&amp;number=0&amp;sourceID=14","0")</f>
        <v>0</v>
      </c>
    </row>
    <row r="2606" spans="1:7">
      <c r="A2606" s="3">
        <v>18</v>
      </c>
      <c r="B2606" s="3">
        <v>8</v>
      </c>
      <c r="C2606" s="3">
        <v>56</v>
      </c>
      <c r="D2606" s="3">
        <v>53</v>
      </c>
      <c r="E2606" s="3">
        <v>-1288.674</v>
      </c>
      <c r="F2606" s="4" t="str">
        <f>HYPERLINK("http://141.218.60.56/~jnz1568/getInfo.php?workbook=18_08.xlsx&amp;sheet=A0&amp;row=2606&amp;col=6&amp;number=2.166e-05&amp;sourceID=14","2.166e-05")</f>
        <v>2.166e-05</v>
      </c>
      <c r="G2606" s="4" t="str">
        <f>HYPERLINK("http://141.218.60.56/~jnz1568/getInfo.php?workbook=18_08.xlsx&amp;sheet=A0&amp;row=2606&amp;col=7&amp;number=0&amp;sourceID=14","0")</f>
        <v>0</v>
      </c>
    </row>
    <row r="2607" spans="1:7">
      <c r="A2607" s="3">
        <v>18</v>
      </c>
      <c r="B2607" s="3">
        <v>8</v>
      </c>
      <c r="C2607" s="3">
        <v>64</v>
      </c>
      <c r="D2607" s="3">
        <v>53</v>
      </c>
      <c r="E2607" s="3">
        <v>-906.308</v>
      </c>
      <c r="F2607" s="4" t="str">
        <f>HYPERLINK("http://141.218.60.56/~jnz1568/getInfo.php?workbook=18_08.xlsx&amp;sheet=A0&amp;row=2607&amp;col=6&amp;number=378400&amp;sourceID=14","378400")</f>
        <v>378400</v>
      </c>
      <c r="G2607" s="4" t="str">
        <f>HYPERLINK("http://141.218.60.56/~jnz1568/getInfo.php?workbook=18_08.xlsx&amp;sheet=A0&amp;row=2607&amp;col=7&amp;number=0&amp;sourceID=14","0")</f>
        <v>0</v>
      </c>
    </row>
    <row r="2608" spans="1:7">
      <c r="A2608" s="3">
        <v>18</v>
      </c>
      <c r="B2608" s="3">
        <v>8</v>
      </c>
      <c r="C2608" s="3">
        <v>66</v>
      </c>
      <c r="D2608" s="3">
        <v>53</v>
      </c>
      <c r="E2608" s="3">
        <v>-921.596</v>
      </c>
      <c r="F2608" s="4" t="str">
        <f>HYPERLINK("http://141.218.60.56/~jnz1568/getInfo.php?workbook=18_08.xlsx&amp;sheet=A0&amp;row=2608&amp;col=6&amp;number=1.289e-05&amp;sourceID=14","1.289e-05")</f>
        <v>1.289e-05</v>
      </c>
      <c r="G2608" s="4" t="str">
        <f>HYPERLINK("http://141.218.60.56/~jnz1568/getInfo.php?workbook=18_08.xlsx&amp;sheet=A0&amp;row=2608&amp;col=7&amp;number=0&amp;sourceID=14","0")</f>
        <v>0</v>
      </c>
    </row>
    <row r="2609" spans="1:7">
      <c r="A2609" s="3">
        <v>18</v>
      </c>
      <c r="B2609" s="3">
        <v>8</v>
      </c>
      <c r="C2609" s="3">
        <v>67</v>
      </c>
      <c r="D2609" s="3">
        <v>53</v>
      </c>
      <c r="E2609" s="3">
        <v>-990.645</v>
      </c>
      <c r="F2609" s="4" t="str">
        <f>HYPERLINK("http://141.218.60.56/~jnz1568/getInfo.php?workbook=18_08.xlsx&amp;sheet=A0&amp;row=2609&amp;col=6&amp;number=6613000&amp;sourceID=14","6613000")</f>
        <v>6613000</v>
      </c>
      <c r="G2609" s="4" t="str">
        <f>HYPERLINK("http://141.218.60.56/~jnz1568/getInfo.php?workbook=18_08.xlsx&amp;sheet=A0&amp;row=2609&amp;col=7&amp;number=0&amp;sourceID=14","0")</f>
        <v>0</v>
      </c>
    </row>
    <row r="2610" spans="1:7">
      <c r="A2610" s="3">
        <v>18</v>
      </c>
      <c r="B2610" s="3">
        <v>8</v>
      </c>
      <c r="C2610" s="3">
        <v>69</v>
      </c>
      <c r="D2610" s="3">
        <v>53</v>
      </c>
      <c r="E2610" s="3">
        <v>-841.924</v>
      </c>
      <c r="F2610" s="4" t="str">
        <f>HYPERLINK("http://141.218.60.56/~jnz1568/getInfo.php?workbook=18_08.xlsx&amp;sheet=A0&amp;row=2610&amp;col=6&amp;number=7.795e-05&amp;sourceID=14","7.795e-05")</f>
        <v>7.795e-05</v>
      </c>
      <c r="G2610" s="4" t="str">
        <f>HYPERLINK("http://141.218.60.56/~jnz1568/getInfo.php?workbook=18_08.xlsx&amp;sheet=A0&amp;row=2610&amp;col=7&amp;number=0&amp;sourceID=14","0")</f>
        <v>0</v>
      </c>
    </row>
    <row r="2611" spans="1:7">
      <c r="A2611" s="3">
        <v>18</v>
      </c>
      <c r="B2611" s="3">
        <v>8</v>
      </c>
      <c r="C2611" s="3">
        <v>71</v>
      </c>
      <c r="D2611" s="3">
        <v>53</v>
      </c>
      <c r="E2611" s="3">
        <v>-809.873</v>
      </c>
      <c r="F2611" s="4" t="str">
        <f>HYPERLINK("http://141.218.60.56/~jnz1568/getInfo.php?workbook=18_08.xlsx&amp;sheet=A0&amp;row=2611&amp;col=6&amp;number=6972000&amp;sourceID=14","6972000")</f>
        <v>6972000</v>
      </c>
      <c r="G2611" s="4" t="str">
        <f>HYPERLINK("http://141.218.60.56/~jnz1568/getInfo.php?workbook=18_08.xlsx&amp;sheet=A0&amp;row=2611&amp;col=7&amp;number=0&amp;sourceID=14","0")</f>
        <v>0</v>
      </c>
    </row>
    <row r="2612" spans="1:7">
      <c r="A2612" s="3">
        <v>18</v>
      </c>
      <c r="B2612" s="3">
        <v>8</v>
      </c>
      <c r="C2612" s="3">
        <v>72</v>
      </c>
      <c r="D2612" s="3">
        <v>53</v>
      </c>
      <c r="E2612" s="3">
        <v>-856.711</v>
      </c>
      <c r="F2612" s="4" t="str">
        <f>HYPERLINK("http://141.218.60.56/~jnz1568/getInfo.php?workbook=18_08.xlsx&amp;sheet=A0&amp;row=2612&amp;col=6&amp;number=0.01354&amp;sourceID=14","0.01354")</f>
        <v>0.01354</v>
      </c>
      <c r="G2612" s="4" t="str">
        <f>HYPERLINK("http://141.218.60.56/~jnz1568/getInfo.php?workbook=18_08.xlsx&amp;sheet=A0&amp;row=2612&amp;col=7&amp;number=0&amp;sourceID=14","0")</f>
        <v>0</v>
      </c>
    </row>
    <row r="2613" spans="1:7">
      <c r="A2613" s="3">
        <v>18</v>
      </c>
      <c r="B2613" s="3">
        <v>8</v>
      </c>
      <c r="C2613" s="3">
        <v>73</v>
      </c>
      <c r="D2613" s="3">
        <v>53</v>
      </c>
      <c r="E2613" s="3">
        <v>-781.03</v>
      </c>
      <c r="F2613" s="4" t="str">
        <f>HYPERLINK("http://141.218.60.56/~jnz1568/getInfo.php?workbook=18_08.xlsx&amp;sheet=A0&amp;row=2613&amp;col=6&amp;number=25140&amp;sourceID=14","25140")</f>
        <v>25140</v>
      </c>
      <c r="G2613" s="4" t="str">
        <f>HYPERLINK("http://141.218.60.56/~jnz1568/getInfo.php?workbook=18_08.xlsx&amp;sheet=A0&amp;row=2613&amp;col=7&amp;number=0&amp;sourceID=14","0")</f>
        <v>0</v>
      </c>
    </row>
    <row r="2614" spans="1:7">
      <c r="A2614" s="3">
        <v>18</v>
      </c>
      <c r="B2614" s="3">
        <v>8</v>
      </c>
      <c r="C2614" s="3">
        <v>75</v>
      </c>
      <c r="D2614" s="3">
        <v>53</v>
      </c>
      <c r="E2614" s="3">
        <v>-685.39</v>
      </c>
      <c r="F2614" s="4" t="str">
        <f>HYPERLINK("http://141.218.60.56/~jnz1568/getInfo.php?workbook=18_08.xlsx&amp;sheet=A0&amp;row=2614&amp;col=6&amp;number=0.00344&amp;sourceID=14","0.00344")</f>
        <v>0.00344</v>
      </c>
      <c r="G2614" s="4" t="str">
        <f>HYPERLINK("http://141.218.60.56/~jnz1568/getInfo.php?workbook=18_08.xlsx&amp;sheet=A0&amp;row=2614&amp;col=7&amp;number=0&amp;sourceID=14","0")</f>
        <v>0</v>
      </c>
    </row>
    <row r="2615" spans="1:7">
      <c r="A2615" s="3">
        <v>18</v>
      </c>
      <c r="B2615" s="3">
        <v>8</v>
      </c>
      <c r="C2615" s="3">
        <v>79</v>
      </c>
      <c r="D2615" s="3">
        <v>53</v>
      </c>
      <c r="E2615" s="3">
        <v>-667.951</v>
      </c>
      <c r="F2615" s="4" t="str">
        <f>HYPERLINK("http://141.218.60.56/~jnz1568/getInfo.php?workbook=18_08.xlsx&amp;sheet=A0&amp;row=2615&amp;col=6&amp;number=245700000&amp;sourceID=14","245700000")</f>
        <v>245700000</v>
      </c>
      <c r="G2615" s="4" t="str">
        <f>HYPERLINK("http://141.218.60.56/~jnz1568/getInfo.php?workbook=18_08.xlsx&amp;sheet=A0&amp;row=2615&amp;col=7&amp;number=0&amp;sourceID=14","0")</f>
        <v>0</v>
      </c>
    </row>
    <row r="2616" spans="1:7">
      <c r="A2616" s="3">
        <v>18</v>
      </c>
      <c r="B2616" s="3">
        <v>8</v>
      </c>
      <c r="C2616" s="3">
        <v>80</v>
      </c>
      <c r="D2616" s="3">
        <v>53</v>
      </c>
      <c r="E2616" s="3">
        <v>-659.418</v>
      </c>
      <c r="F2616" s="4" t="str">
        <f>HYPERLINK("http://141.218.60.56/~jnz1568/getInfo.php?workbook=18_08.xlsx&amp;sheet=A0&amp;row=2616&amp;col=6&amp;number=0.07288&amp;sourceID=14","0.07288")</f>
        <v>0.07288</v>
      </c>
      <c r="G2616" s="4" t="str">
        <f>HYPERLINK("http://141.218.60.56/~jnz1568/getInfo.php?workbook=18_08.xlsx&amp;sheet=A0&amp;row=2616&amp;col=7&amp;number=0&amp;sourceID=14","0")</f>
        <v>0</v>
      </c>
    </row>
    <row r="2617" spans="1:7">
      <c r="A2617" s="3">
        <v>18</v>
      </c>
      <c r="B2617" s="3">
        <v>8</v>
      </c>
      <c r="C2617" s="3">
        <v>81</v>
      </c>
      <c r="D2617" s="3">
        <v>53</v>
      </c>
      <c r="E2617" s="3">
        <v>-617.366</v>
      </c>
      <c r="F2617" s="4" t="str">
        <f>HYPERLINK("http://141.218.60.56/~jnz1568/getInfo.php?workbook=18_08.xlsx&amp;sheet=A0&amp;row=2617&amp;col=6&amp;number=0.1581&amp;sourceID=14","0.1581")</f>
        <v>0.1581</v>
      </c>
      <c r="G2617" s="4" t="str">
        <f>HYPERLINK("http://141.218.60.56/~jnz1568/getInfo.php?workbook=18_08.xlsx&amp;sheet=A0&amp;row=2617&amp;col=7&amp;number=0&amp;sourceID=14","0")</f>
        <v>0</v>
      </c>
    </row>
    <row r="2618" spans="1:7">
      <c r="A2618" s="3">
        <v>18</v>
      </c>
      <c r="B2618" s="3">
        <v>8</v>
      </c>
      <c r="C2618" s="3">
        <v>83</v>
      </c>
      <c r="D2618" s="3">
        <v>53</v>
      </c>
      <c r="E2618" s="3">
        <v>-604.367</v>
      </c>
      <c r="F2618" s="4" t="str">
        <f>HYPERLINK("http://141.218.60.56/~jnz1568/getInfo.php?workbook=18_08.xlsx&amp;sheet=A0&amp;row=2618&amp;col=6&amp;number=981900000&amp;sourceID=14","981900000")</f>
        <v>981900000</v>
      </c>
      <c r="G2618" s="4" t="str">
        <f>HYPERLINK("http://141.218.60.56/~jnz1568/getInfo.php?workbook=18_08.xlsx&amp;sheet=A0&amp;row=2618&amp;col=7&amp;number=0&amp;sourceID=14","0")</f>
        <v>0</v>
      </c>
    </row>
    <row r="2619" spans="1:7">
      <c r="A2619" s="3">
        <v>18</v>
      </c>
      <c r="B2619" s="3">
        <v>8</v>
      </c>
      <c r="C2619" s="3">
        <v>84</v>
      </c>
      <c r="D2619" s="3">
        <v>53</v>
      </c>
      <c r="E2619" s="3">
        <v>-561.135</v>
      </c>
      <c r="F2619" s="4" t="str">
        <f>HYPERLINK("http://141.218.60.56/~jnz1568/getInfo.php?workbook=18_08.xlsx&amp;sheet=A0&amp;row=2619&amp;col=6&amp;number=8.311e-05&amp;sourceID=14","8.311e-05")</f>
        <v>8.311e-05</v>
      </c>
      <c r="G2619" s="4" t="str">
        <f>HYPERLINK("http://141.218.60.56/~jnz1568/getInfo.php?workbook=18_08.xlsx&amp;sheet=A0&amp;row=2619&amp;col=7&amp;number=0&amp;sourceID=14","0")</f>
        <v>0</v>
      </c>
    </row>
    <row r="2620" spans="1:7">
      <c r="A2620" s="3">
        <v>18</v>
      </c>
      <c r="B2620" s="3">
        <v>8</v>
      </c>
      <c r="C2620" s="3">
        <v>86</v>
      </c>
      <c r="D2620" s="3">
        <v>53</v>
      </c>
      <c r="E2620" s="3">
        <v>-469.823</v>
      </c>
      <c r="F2620" s="4" t="str">
        <f>HYPERLINK("http://141.218.60.56/~jnz1568/getInfo.php?workbook=18_08.xlsx&amp;sheet=A0&amp;row=2620&amp;col=6&amp;number=257100&amp;sourceID=14","257100")</f>
        <v>257100</v>
      </c>
      <c r="G2620" s="4" t="str">
        <f>HYPERLINK("http://141.218.60.56/~jnz1568/getInfo.php?workbook=18_08.xlsx&amp;sheet=A0&amp;row=2620&amp;col=7&amp;number=0&amp;sourceID=14","0")</f>
        <v>0</v>
      </c>
    </row>
    <row r="2621" spans="1:7">
      <c r="A2621" s="3">
        <v>18</v>
      </c>
      <c r="B2621" s="3">
        <v>8</v>
      </c>
      <c r="C2621" s="3">
        <v>55</v>
      </c>
      <c r="D2621" s="3">
        <v>54</v>
      </c>
      <c r="E2621" s="3">
        <v>-15556.94</v>
      </c>
      <c r="F2621" s="4" t="str">
        <f>HYPERLINK("http://141.218.60.56/~jnz1568/getInfo.php?workbook=18_08.xlsx&amp;sheet=A0&amp;row=2621&amp;col=6&amp;number=13.77&amp;sourceID=14","13.77")</f>
        <v>13.77</v>
      </c>
      <c r="G2621" s="4" t="str">
        <f>HYPERLINK("http://141.218.60.56/~jnz1568/getInfo.php?workbook=18_08.xlsx&amp;sheet=A0&amp;row=2621&amp;col=7&amp;number=0&amp;sourceID=14","0")</f>
        <v>0</v>
      </c>
    </row>
    <row r="2622" spans="1:7">
      <c r="A2622" s="3">
        <v>18</v>
      </c>
      <c r="B2622" s="3">
        <v>8</v>
      </c>
      <c r="C2622" s="3">
        <v>56</v>
      </c>
      <c r="D2622" s="3">
        <v>54</v>
      </c>
      <c r="E2622" s="3">
        <v>1618.071</v>
      </c>
      <c r="F2622" s="4" t="str">
        <f>HYPERLINK("http://141.218.60.56/~jnz1568/getInfo.php?workbook=18_08.xlsx&amp;sheet=A0&amp;row=2622&amp;col=6&amp;number=3.758&amp;sourceID=14","3.758")</f>
        <v>3.758</v>
      </c>
      <c r="G2622" s="4" t="str">
        <f>HYPERLINK("http://141.218.60.56/~jnz1568/getInfo.php?workbook=18_08.xlsx&amp;sheet=A0&amp;row=2622&amp;col=7&amp;number=0&amp;sourceID=14","0")</f>
        <v>0</v>
      </c>
    </row>
    <row r="2623" spans="1:7">
      <c r="A2623" s="3">
        <v>18</v>
      </c>
      <c r="B2623" s="3">
        <v>8</v>
      </c>
      <c r="C2623" s="3">
        <v>57</v>
      </c>
      <c r="D2623" s="3">
        <v>54</v>
      </c>
      <c r="E2623" s="3">
        <v>-1726.522</v>
      </c>
      <c r="F2623" s="4" t="str">
        <f>HYPERLINK("http://141.218.60.56/~jnz1568/getInfo.php?workbook=18_08.xlsx&amp;sheet=A0&amp;row=2623&amp;col=6&amp;number=9.959&amp;sourceID=14","9.959")</f>
        <v>9.959</v>
      </c>
      <c r="G2623" s="4" t="str">
        <f>HYPERLINK("http://141.218.60.56/~jnz1568/getInfo.php?workbook=18_08.xlsx&amp;sheet=A0&amp;row=2623&amp;col=7&amp;number=0&amp;sourceID=14","0")</f>
        <v>0</v>
      </c>
    </row>
    <row r="2624" spans="1:7">
      <c r="A2624" s="3">
        <v>18</v>
      </c>
      <c r="B2624" s="3">
        <v>8</v>
      </c>
      <c r="C2624" s="3">
        <v>59</v>
      </c>
      <c r="D2624" s="3">
        <v>54</v>
      </c>
      <c r="E2624" s="3">
        <v>-1611.553</v>
      </c>
      <c r="F2624" s="4" t="str">
        <f>HYPERLINK("http://141.218.60.56/~jnz1568/getInfo.php?workbook=18_08.xlsx&amp;sheet=A0&amp;row=2624&amp;col=6&amp;number=13.24&amp;sourceID=14","13.24")</f>
        <v>13.24</v>
      </c>
      <c r="G2624" s="4" t="str">
        <f>HYPERLINK("http://141.218.60.56/~jnz1568/getInfo.php?workbook=18_08.xlsx&amp;sheet=A0&amp;row=2624&amp;col=7&amp;number=0&amp;sourceID=14","0")</f>
        <v>0</v>
      </c>
    </row>
    <row r="2625" spans="1:7">
      <c r="A2625" s="3">
        <v>18</v>
      </c>
      <c r="B2625" s="3">
        <v>8</v>
      </c>
      <c r="C2625" s="3">
        <v>60</v>
      </c>
      <c r="D2625" s="3">
        <v>54</v>
      </c>
      <c r="E2625" s="3">
        <v>-1448.779</v>
      </c>
      <c r="F2625" s="4" t="str">
        <f>HYPERLINK("http://141.218.60.56/~jnz1568/getInfo.php?workbook=18_08.xlsx&amp;sheet=A0&amp;row=2625&amp;col=6&amp;number=19.16&amp;sourceID=14","19.16")</f>
        <v>19.16</v>
      </c>
      <c r="G2625" s="4" t="str">
        <f>HYPERLINK("http://141.218.60.56/~jnz1568/getInfo.php?workbook=18_08.xlsx&amp;sheet=A0&amp;row=2625&amp;col=7&amp;number=0&amp;sourceID=14","0")</f>
        <v>0</v>
      </c>
    </row>
    <row r="2626" spans="1:7">
      <c r="A2626" s="3">
        <v>18</v>
      </c>
      <c r="B2626" s="3">
        <v>8</v>
      </c>
      <c r="C2626" s="3">
        <v>61</v>
      </c>
      <c r="D2626" s="3">
        <v>54</v>
      </c>
      <c r="E2626" s="3">
        <v>-1415.886</v>
      </c>
      <c r="F2626" s="4" t="str">
        <f>HYPERLINK("http://141.218.60.56/~jnz1568/getInfo.php?workbook=18_08.xlsx&amp;sheet=A0&amp;row=2626&amp;col=6&amp;number=2.767&amp;sourceID=14","2.767")</f>
        <v>2.767</v>
      </c>
      <c r="G2626" s="4" t="str">
        <f>HYPERLINK("http://141.218.60.56/~jnz1568/getInfo.php?workbook=18_08.xlsx&amp;sheet=A0&amp;row=2626&amp;col=7&amp;number=0&amp;sourceID=14","0")</f>
        <v>0</v>
      </c>
    </row>
    <row r="2627" spans="1:7">
      <c r="A2627" s="3">
        <v>18</v>
      </c>
      <c r="B2627" s="3">
        <v>8</v>
      </c>
      <c r="C2627" s="3">
        <v>62</v>
      </c>
      <c r="D2627" s="3">
        <v>54</v>
      </c>
      <c r="E2627" s="3">
        <v>-1376.675</v>
      </c>
      <c r="F2627" s="4" t="str">
        <f>HYPERLINK("http://141.218.60.56/~jnz1568/getInfo.php?workbook=18_08.xlsx&amp;sheet=A0&amp;row=2627&amp;col=6&amp;number=0.3001&amp;sourceID=14","0.3001")</f>
        <v>0.3001</v>
      </c>
      <c r="G2627" s="4" t="str">
        <f>HYPERLINK("http://141.218.60.56/~jnz1568/getInfo.php?workbook=18_08.xlsx&amp;sheet=A0&amp;row=2627&amp;col=7&amp;number=0&amp;sourceID=14","0")</f>
        <v>0</v>
      </c>
    </row>
    <row r="2628" spans="1:7">
      <c r="A2628" s="3">
        <v>18</v>
      </c>
      <c r="B2628" s="3">
        <v>8</v>
      </c>
      <c r="C2628" s="3">
        <v>63</v>
      </c>
      <c r="D2628" s="3">
        <v>54</v>
      </c>
      <c r="E2628" s="3">
        <v>-1319.285</v>
      </c>
      <c r="F2628" s="4" t="str">
        <f>HYPERLINK("http://141.218.60.56/~jnz1568/getInfo.php?workbook=18_08.xlsx&amp;sheet=A0&amp;row=2628&amp;col=6&amp;number=0.09129&amp;sourceID=14","0.09129")</f>
        <v>0.09129</v>
      </c>
      <c r="G2628" s="4" t="str">
        <f>HYPERLINK("http://141.218.60.56/~jnz1568/getInfo.php?workbook=18_08.xlsx&amp;sheet=A0&amp;row=2628&amp;col=7&amp;number=0&amp;sourceID=14","0")</f>
        <v>0</v>
      </c>
    </row>
    <row r="2629" spans="1:7">
      <c r="A2629" s="3">
        <v>18</v>
      </c>
      <c r="B2629" s="3">
        <v>8</v>
      </c>
      <c r="C2629" s="3">
        <v>64</v>
      </c>
      <c r="D2629" s="3">
        <v>54</v>
      </c>
      <c r="E2629" s="3">
        <v>1169.81</v>
      </c>
      <c r="F2629" s="4" t="str">
        <f>HYPERLINK("http://141.218.60.56/~jnz1568/getInfo.php?workbook=18_08.xlsx&amp;sheet=A0&amp;row=2629&amp;col=6&amp;number=0.3563&amp;sourceID=14","0.3563")</f>
        <v>0.3563</v>
      </c>
      <c r="G2629" s="4" t="str">
        <f>HYPERLINK("http://141.218.60.56/~jnz1568/getInfo.php?workbook=18_08.xlsx&amp;sheet=A0&amp;row=2629&amp;col=7&amp;number=0&amp;sourceID=14","0")</f>
        <v>0</v>
      </c>
    </row>
    <row r="2630" spans="1:7">
      <c r="A2630" s="3">
        <v>18</v>
      </c>
      <c r="B2630" s="3">
        <v>8</v>
      </c>
      <c r="C2630" s="3">
        <v>66</v>
      </c>
      <c r="D2630" s="3">
        <v>54</v>
      </c>
      <c r="E2630" s="3">
        <v>1174.95</v>
      </c>
      <c r="F2630" s="4" t="str">
        <f>HYPERLINK("http://141.218.60.56/~jnz1568/getInfo.php?workbook=18_08.xlsx&amp;sheet=A0&amp;row=2630&amp;col=6&amp;number=15.12&amp;sourceID=14","15.12")</f>
        <v>15.12</v>
      </c>
      <c r="G2630" s="4" t="str">
        <f>HYPERLINK("http://141.218.60.56/~jnz1568/getInfo.php?workbook=18_08.xlsx&amp;sheet=A0&amp;row=2630&amp;col=7&amp;number=0&amp;sourceID=14","0")</f>
        <v>0</v>
      </c>
    </row>
    <row r="2631" spans="1:7">
      <c r="A2631" s="3">
        <v>18</v>
      </c>
      <c r="B2631" s="3">
        <v>8</v>
      </c>
      <c r="C2631" s="3">
        <v>67</v>
      </c>
      <c r="D2631" s="3">
        <v>54</v>
      </c>
      <c r="E2631" s="3">
        <v>1308.661</v>
      </c>
      <c r="F2631" s="4" t="str">
        <f>HYPERLINK("http://141.218.60.56/~jnz1568/getInfo.php?workbook=18_08.xlsx&amp;sheet=A0&amp;row=2631&amp;col=6&amp;number=0.7985&amp;sourceID=14","0.7985")</f>
        <v>0.7985</v>
      </c>
      <c r="G2631" s="4" t="str">
        <f>HYPERLINK("http://141.218.60.56/~jnz1568/getInfo.php?workbook=18_08.xlsx&amp;sheet=A0&amp;row=2631&amp;col=7&amp;number=0&amp;sourceID=14","0")</f>
        <v>0</v>
      </c>
    </row>
    <row r="2632" spans="1:7">
      <c r="A2632" s="3">
        <v>18</v>
      </c>
      <c r="B2632" s="3">
        <v>8</v>
      </c>
      <c r="C2632" s="3">
        <v>68</v>
      </c>
      <c r="D2632" s="3">
        <v>54</v>
      </c>
      <c r="E2632" s="3">
        <v>1153.562</v>
      </c>
      <c r="F2632" s="4" t="str">
        <f>HYPERLINK("http://141.218.60.56/~jnz1568/getInfo.php?workbook=18_08.xlsx&amp;sheet=A0&amp;row=2632&amp;col=6&amp;number=12.27&amp;sourceID=14","12.27")</f>
        <v>12.27</v>
      </c>
      <c r="G2632" s="4" t="str">
        <f>HYPERLINK("http://141.218.60.56/~jnz1568/getInfo.php?workbook=18_08.xlsx&amp;sheet=A0&amp;row=2632&amp;col=7&amp;number=0&amp;sourceID=14","0")</f>
        <v>0</v>
      </c>
    </row>
    <row r="2633" spans="1:7">
      <c r="A2633" s="3">
        <v>18</v>
      </c>
      <c r="B2633" s="3">
        <v>8</v>
      </c>
      <c r="C2633" s="3">
        <v>69</v>
      </c>
      <c r="D2633" s="3">
        <v>54</v>
      </c>
      <c r="E2633" s="3">
        <v>1044.921</v>
      </c>
      <c r="F2633" s="4" t="str">
        <f>HYPERLINK("http://141.218.60.56/~jnz1568/getInfo.php?workbook=18_08.xlsx&amp;sheet=A0&amp;row=2633&amp;col=6&amp;number=67.8&amp;sourceID=14","67.8")</f>
        <v>67.8</v>
      </c>
      <c r="G2633" s="4" t="str">
        <f>HYPERLINK("http://141.218.60.56/~jnz1568/getInfo.php?workbook=18_08.xlsx&amp;sheet=A0&amp;row=2633&amp;col=7&amp;number=0&amp;sourceID=14","0")</f>
        <v>0</v>
      </c>
    </row>
    <row r="2634" spans="1:7">
      <c r="A2634" s="3">
        <v>18</v>
      </c>
      <c r="B2634" s="3">
        <v>8</v>
      </c>
      <c r="C2634" s="3">
        <v>71</v>
      </c>
      <c r="D2634" s="3">
        <v>54</v>
      </c>
      <c r="E2634" s="3">
        <v>933.62</v>
      </c>
      <c r="F2634" s="4" t="str">
        <f>HYPERLINK("http://141.218.60.56/~jnz1568/getInfo.php?workbook=18_08.xlsx&amp;sheet=A0&amp;row=2634&amp;col=6&amp;number=0.9382&amp;sourceID=14","0.9382")</f>
        <v>0.9382</v>
      </c>
      <c r="G2634" s="4" t="str">
        <f>HYPERLINK("http://141.218.60.56/~jnz1568/getInfo.php?workbook=18_08.xlsx&amp;sheet=A0&amp;row=2634&amp;col=7&amp;number=0&amp;sourceID=14","0")</f>
        <v>0</v>
      </c>
    </row>
    <row r="2635" spans="1:7">
      <c r="A2635" s="3">
        <v>18</v>
      </c>
      <c r="B2635" s="3">
        <v>8</v>
      </c>
      <c r="C2635" s="3">
        <v>72</v>
      </c>
      <c r="D2635" s="3">
        <v>54</v>
      </c>
      <c r="E2635" s="3">
        <v>1044.921</v>
      </c>
      <c r="F2635" s="4" t="str">
        <f>HYPERLINK("http://141.218.60.56/~jnz1568/getInfo.php?workbook=18_08.xlsx&amp;sheet=A0&amp;row=2635&amp;col=6&amp;number=112.2&amp;sourceID=14","112.2")</f>
        <v>112.2</v>
      </c>
      <c r="G2635" s="4" t="str">
        <f>HYPERLINK("http://141.218.60.56/~jnz1568/getInfo.php?workbook=18_08.xlsx&amp;sheet=A0&amp;row=2635&amp;col=7&amp;number=0&amp;sourceID=14","0")</f>
        <v>0</v>
      </c>
    </row>
    <row r="2636" spans="1:7">
      <c r="A2636" s="3">
        <v>18</v>
      </c>
      <c r="B2636" s="3">
        <v>8</v>
      </c>
      <c r="C2636" s="3">
        <v>73</v>
      </c>
      <c r="D2636" s="3">
        <v>54</v>
      </c>
      <c r="E2636" s="3">
        <v>933.62</v>
      </c>
      <c r="F2636" s="4" t="str">
        <f>HYPERLINK("http://141.218.60.56/~jnz1568/getInfo.php?workbook=18_08.xlsx&amp;sheet=A0&amp;row=2636&amp;col=6&amp;number=28.62&amp;sourceID=14","28.62")</f>
        <v>28.62</v>
      </c>
      <c r="G2636" s="4" t="str">
        <f>HYPERLINK("http://141.218.60.56/~jnz1568/getInfo.php?workbook=18_08.xlsx&amp;sheet=A0&amp;row=2636&amp;col=7&amp;number=0&amp;sourceID=14","0")</f>
        <v>0</v>
      </c>
    </row>
    <row r="2637" spans="1:7">
      <c r="A2637" s="3">
        <v>18</v>
      </c>
      <c r="B2637" s="3">
        <v>8</v>
      </c>
      <c r="C2637" s="3">
        <v>74</v>
      </c>
      <c r="D2637" s="3">
        <v>54</v>
      </c>
      <c r="E2637" s="3">
        <v>839.06</v>
      </c>
      <c r="F2637" s="4" t="str">
        <f>HYPERLINK("http://141.218.60.56/~jnz1568/getInfo.php?workbook=18_08.xlsx&amp;sheet=A0&amp;row=2637&amp;col=6&amp;number=117.8&amp;sourceID=14","117.8")</f>
        <v>117.8</v>
      </c>
      <c r="G2637" s="4" t="str">
        <f>HYPERLINK("http://141.218.60.56/~jnz1568/getInfo.php?workbook=18_08.xlsx&amp;sheet=A0&amp;row=2637&amp;col=7&amp;number=0&amp;sourceID=14","0")</f>
        <v>0</v>
      </c>
    </row>
    <row r="2638" spans="1:7">
      <c r="A2638" s="3">
        <v>18</v>
      </c>
      <c r="B2638" s="3">
        <v>8</v>
      </c>
      <c r="C2638" s="3">
        <v>75</v>
      </c>
      <c r="D2638" s="3">
        <v>54</v>
      </c>
      <c r="E2638" s="3">
        <v>-815.015</v>
      </c>
      <c r="F2638" s="4" t="str">
        <f>HYPERLINK("http://141.218.60.56/~jnz1568/getInfo.php?workbook=18_08.xlsx&amp;sheet=A0&amp;row=2638&amp;col=6&amp;number=67.24&amp;sourceID=14","67.24")</f>
        <v>67.24</v>
      </c>
      <c r="G2638" s="4" t="str">
        <f>HYPERLINK("http://141.218.60.56/~jnz1568/getInfo.php?workbook=18_08.xlsx&amp;sheet=A0&amp;row=2638&amp;col=7&amp;number=0&amp;sourceID=14","0")</f>
        <v>0</v>
      </c>
    </row>
    <row r="2639" spans="1:7">
      <c r="A2639" s="3">
        <v>18</v>
      </c>
      <c r="B2639" s="3">
        <v>8</v>
      </c>
      <c r="C2639" s="3">
        <v>76</v>
      </c>
      <c r="D2639" s="3">
        <v>54</v>
      </c>
      <c r="E2639" s="3">
        <v>-813.353</v>
      </c>
      <c r="F2639" s="4" t="str">
        <f>HYPERLINK("http://141.218.60.56/~jnz1568/getInfo.php?workbook=18_08.xlsx&amp;sheet=A0&amp;row=2639&amp;col=6&amp;number=111.8&amp;sourceID=14","111.8")</f>
        <v>111.8</v>
      </c>
      <c r="G2639" s="4" t="str">
        <f>HYPERLINK("http://141.218.60.56/~jnz1568/getInfo.php?workbook=18_08.xlsx&amp;sheet=A0&amp;row=2639&amp;col=7&amp;number=0&amp;sourceID=14","0")</f>
        <v>0</v>
      </c>
    </row>
    <row r="2640" spans="1:7">
      <c r="A2640" s="3">
        <v>18</v>
      </c>
      <c r="B2640" s="3">
        <v>8</v>
      </c>
      <c r="C2640" s="3">
        <v>77</v>
      </c>
      <c r="D2640" s="3">
        <v>54</v>
      </c>
      <c r="E2640" s="3">
        <v>838.828</v>
      </c>
      <c r="F2640" s="4" t="str">
        <f>HYPERLINK("http://141.218.60.56/~jnz1568/getInfo.php?workbook=18_08.xlsx&amp;sheet=A0&amp;row=2640&amp;col=6&amp;number=0.476&amp;sourceID=14","0.476")</f>
        <v>0.476</v>
      </c>
      <c r="G2640" s="4" t="str">
        <f>HYPERLINK("http://141.218.60.56/~jnz1568/getInfo.php?workbook=18_08.xlsx&amp;sheet=A0&amp;row=2640&amp;col=7&amp;number=0&amp;sourceID=14","0")</f>
        <v>0</v>
      </c>
    </row>
    <row r="2641" spans="1:7">
      <c r="A2641" s="3">
        <v>18</v>
      </c>
      <c r="B2641" s="3">
        <v>8</v>
      </c>
      <c r="C2641" s="3">
        <v>79</v>
      </c>
      <c r="D2641" s="3">
        <v>54</v>
      </c>
      <c r="E2641" s="3">
        <v>-790.475</v>
      </c>
      <c r="F2641" s="4" t="str">
        <f>HYPERLINK("http://141.218.60.56/~jnz1568/getInfo.php?workbook=18_08.xlsx&amp;sheet=A0&amp;row=2641&amp;col=6&amp;number=5.669&amp;sourceID=14","5.669")</f>
        <v>5.669</v>
      </c>
      <c r="G2641" s="4" t="str">
        <f>HYPERLINK("http://141.218.60.56/~jnz1568/getInfo.php?workbook=18_08.xlsx&amp;sheet=A0&amp;row=2641&amp;col=7&amp;number=0&amp;sourceID=14","0")</f>
        <v>0</v>
      </c>
    </row>
    <row r="2642" spans="1:7">
      <c r="A2642" s="3">
        <v>18</v>
      </c>
      <c r="B2642" s="3">
        <v>8</v>
      </c>
      <c r="C2642" s="3">
        <v>80</v>
      </c>
      <c r="D2642" s="3">
        <v>54</v>
      </c>
      <c r="E2642" s="3">
        <v>-778.552</v>
      </c>
      <c r="F2642" s="4" t="str">
        <f>HYPERLINK("http://141.218.60.56/~jnz1568/getInfo.php?workbook=18_08.xlsx&amp;sheet=A0&amp;row=2642&amp;col=6&amp;number=237.1&amp;sourceID=14","237.1")</f>
        <v>237.1</v>
      </c>
      <c r="G2642" s="4" t="str">
        <f>HYPERLINK("http://141.218.60.56/~jnz1568/getInfo.php?workbook=18_08.xlsx&amp;sheet=A0&amp;row=2642&amp;col=7&amp;number=0&amp;sourceID=14","0")</f>
        <v>0</v>
      </c>
    </row>
    <row r="2643" spans="1:7">
      <c r="A2643" s="3">
        <v>18</v>
      </c>
      <c r="B2643" s="3">
        <v>8</v>
      </c>
      <c r="C2643" s="3">
        <v>81</v>
      </c>
      <c r="D2643" s="3">
        <v>54</v>
      </c>
      <c r="E2643" s="3">
        <v>718.835</v>
      </c>
      <c r="F2643" s="4" t="str">
        <f>HYPERLINK("http://141.218.60.56/~jnz1568/getInfo.php?workbook=18_08.xlsx&amp;sheet=A0&amp;row=2643&amp;col=6&amp;number=33.56&amp;sourceID=14","33.56")</f>
        <v>33.56</v>
      </c>
      <c r="G2643" s="4" t="str">
        <f>HYPERLINK("http://141.218.60.56/~jnz1568/getInfo.php?workbook=18_08.xlsx&amp;sheet=A0&amp;row=2643&amp;col=7&amp;number=0&amp;sourceID=14","0")</f>
        <v>0</v>
      </c>
    </row>
    <row r="2644" spans="1:7">
      <c r="A2644" s="3">
        <v>18</v>
      </c>
      <c r="B2644" s="3">
        <v>8</v>
      </c>
      <c r="C2644" s="3">
        <v>82</v>
      </c>
      <c r="D2644" s="3">
        <v>54</v>
      </c>
      <c r="E2644" s="3">
        <v>699.335</v>
      </c>
      <c r="F2644" s="4" t="str">
        <f>HYPERLINK("http://141.218.60.56/~jnz1568/getInfo.php?workbook=18_08.xlsx&amp;sheet=A0&amp;row=2644&amp;col=6&amp;number=62.93&amp;sourceID=14","62.93")</f>
        <v>62.93</v>
      </c>
      <c r="G2644" s="4" t="str">
        <f>HYPERLINK("http://141.218.60.56/~jnz1568/getInfo.php?workbook=18_08.xlsx&amp;sheet=A0&amp;row=2644&amp;col=7&amp;number=0&amp;sourceID=14","0")</f>
        <v>0</v>
      </c>
    </row>
    <row r="2645" spans="1:7">
      <c r="A2645" s="3">
        <v>18</v>
      </c>
      <c r="B2645" s="3">
        <v>8</v>
      </c>
      <c r="C2645" s="3">
        <v>83</v>
      </c>
      <c r="D2645" s="3">
        <v>54</v>
      </c>
      <c r="E2645" s="3">
        <v>654.519</v>
      </c>
      <c r="F2645" s="4" t="str">
        <f>HYPERLINK("http://141.218.60.56/~jnz1568/getInfo.php?workbook=18_08.xlsx&amp;sheet=A0&amp;row=2645&amp;col=6&amp;number=2.532&amp;sourceID=14","2.532")</f>
        <v>2.532</v>
      </c>
      <c r="G2645" s="4" t="str">
        <f>HYPERLINK("http://141.218.60.56/~jnz1568/getInfo.php?workbook=18_08.xlsx&amp;sheet=A0&amp;row=2645&amp;col=7&amp;number=0&amp;sourceID=14","0")</f>
        <v>0</v>
      </c>
    </row>
    <row r="2646" spans="1:7">
      <c r="A2646" s="3">
        <v>18</v>
      </c>
      <c r="B2646" s="3">
        <v>8</v>
      </c>
      <c r="C2646" s="3">
        <v>84</v>
      </c>
      <c r="D2646" s="3">
        <v>54</v>
      </c>
      <c r="E2646" s="3">
        <v>697.915</v>
      </c>
      <c r="F2646" s="4" t="str">
        <f>HYPERLINK("http://141.218.60.56/~jnz1568/getInfo.php?workbook=18_08.xlsx&amp;sheet=A0&amp;row=2646&amp;col=6&amp;number=184&amp;sourceID=14","184")</f>
        <v>184</v>
      </c>
      <c r="G2646" s="4" t="str">
        <f>HYPERLINK("http://141.218.60.56/~jnz1568/getInfo.php?workbook=18_08.xlsx&amp;sheet=A0&amp;row=2646&amp;col=7&amp;number=0&amp;sourceID=14","0")</f>
        <v>0</v>
      </c>
    </row>
    <row r="2647" spans="1:7">
      <c r="A2647" s="3">
        <v>18</v>
      </c>
      <c r="B2647" s="3">
        <v>8</v>
      </c>
      <c r="C2647" s="3">
        <v>85</v>
      </c>
      <c r="D2647" s="3">
        <v>54</v>
      </c>
      <c r="E2647" s="3">
        <v>630.859</v>
      </c>
      <c r="F2647" s="4" t="str">
        <f>HYPERLINK("http://141.218.60.56/~jnz1568/getInfo.php?workbook=18_08.xlsx&amp;sheet=A0&amp;row=2647&amp;col=6&amp;number=339.8&amp;sourceID=14","339.8")</f>
        <v>339.8</v>
      </c>
      <c r="G2647" s="4" t="str">
        <f>HYPERLINK("http://141.218.60.56/~jnz1568/getInfo.php?workbook=18_08.xlsx&amp;sheet=A0&amp;row=2647&amp;col=7&amp;number=0&amp;sourceID=14","0")</f>
        <v>0</v>
      </c>
    </row>
    <row r="2648" spans="1:7">
      <c r="A2648" s="3">
        <v>18</v>
      </c>
      <c r="B2648" s="3">
        <v>8</v>
      </c>
      <c r="C2648" s="3">
        <v>86</v>
      </c>
      <c r="D2648" s="3">
        <v>54</v>
      </c>
      <c r="E2648" s="3">
        <v>528.502</v>
      </c>
      <c r="F2648" s="4" t="str">
        <f>HYPERLINK("http://141.218.60.56/~jnz1568/getInfo.php?workbook=18_08.xlsx&amp;sheet=A0&amp;row=2648&amp;col=6&amp;number=0.1161&amp;sourceID=14","0.1161")</f>
        <v>0.1161</v>
      </c>
      <c r="G2648" s="4" t="str">
        <f>HYPERLINK("http://141.218.60.56/~jnz1568/getInfo.php?workbook=18_08.xlsx&amp;sheet=A0&amp;row=2648&amp;col=7&amp;number=0&amp;sourceID=14","0")</f>
        <v>0</v>
      </c>
    </row>
    <row r="2649" spans="1:7">
      <c r="A2649" s="3">
        <v>18</v>
      </c>
      <c r="B2649" s="3">
        <v>8</v>
      </c>
      <c r="C2649" s="3">
        <v>56</v>
      </c>
      <c r="D2649" s="3">
        <v>55</v>
      </c>
      <c r="E2649" s="3">
        <v>-2084.819</v>
      </c>
      <c r="F2649" s="4" t="str">
        <f>HYPERLINK("http://141.218.60.56/~jnz1568/getInfo.php?workbook=18_08.xlsx&amp;sheet=A0&amp;row=2649&amp;col=6&amp;number=19260&amp;sourceID=14","19260")</f>
        <v>19260</v>
      </c>
      <c r="G2649" s="4" t="str">
        <f>HYPERLINK("http://141.218.60.56/~jnz1568/getInfo.php?workbook=18_08.xlsx&amp;sheet=A0&amp;row=2649&amp;col=7&amp;number=0&amp;sourceID=14","0")</f>
        <v>0</v>
      </c>
    </row>
    <row r="2650" spans="1:7">
      <c r="A2650" s="3">
        <v>18</v>
      </c>
      <c r="B2650" s="3">
        <v>8</v>
      </c>
      <c r="C2650" s="3">
        <v>57</v>
      </c>
      <c r="D2650" s="3">
        <v>55</v>
      </c>
      <c r="E2650" s="3">
        <v>-1942.052</v>
      </c>
      <c r="F2650" s="4" t="str">
        <f>HYPERLINK("http://141.218.60.56/~jnz1568/getInfo.php?workbook=18_08.xlsx&amp;sheet=A0&amp;row=2650&amp;col=6&amp;number=4009&amp;sourceID=14","4009")</f>
        <v>4009</v>
      </c>
      <c r="G2650" s="4" t="str">
        <f>HYPERLINK("http://141.218.60.56/~jnz1568/getInfo.php?workbook=18_08.xlsx&amp;sheet=A0&amp;row=2650&amp;col=7&amp;number=0&amp;sourceID=14","0")</f>
        <v>0</v>
      </c>
    </row>
    <row r="2651" spans="1:7">
      <c r="A2651" s="3">
        <v>18</v>
      </c>
      <c r="B2651" s="3">
        <v>8</v>
      </c>
      <c r="C2651" s="3">
        <v>58</v>
      </c>
      <c r="D2651" s="3">
        <v>55</v>
      </c>
      <c r="E2651" s="3">
        <v>-1844.424</v>
      </c>
      <c r="F2651" s="4" t="str">
        <f>HYPERLINK("http://141.218.60.56/~jnz1568/getInfo.php?workbook=18_08.xlsx&amp;sheet=A0&amp;row=2651&amp;col=6&amp;number=0.0003639&amp;sourceID=14","0.0003639")</f>
        <v>0.0003639</v>
      </c>
      <c r="G2651" s="4" t="str">
        <f>HYPERLINK("http://141.218.60.56/~jnz1568/getInfo.php?workbook=18_08.xlsx&amp;sheet=A0&amp;row=2651&amp;col=7&amp;number=0&amp;sourceID=14","0")</f>
        <v>0</v>
      </c>
    </row>
    <row r="2652" spans="1:7">
      <c r="A2652" s="3">
        <v>18</v>
      </c>
      <c r="B2652" s="3">
        <v>8</v>
      </c>
      <c r="C2652" s="3">
        <v>59</v>
      </c>
      <c r="D2652" s="3">
        <v>55</v>
      </c>
      <c r="E2652" s="3">
        <v>-1797.787</v>
      </c>
      <c r="F2652" s="4" t="str">
        <f>HYPERLINK("http://141.218.60.56/~jnz1568/getInfo.php?workbook=18_08.xlsx&amp;sheet=A0&amp;row=2652&amp;col=6&amp;number=0.0005594&amp;sourceID=14","0.0005594")</f>
        <v>0.0005594</v>
      </c>
      <c r="G2652" s="4" t="str">
        <f>HYPERLINK("http://141.218.60.56/~jnz1568/getInfo.php?workbook=18_08.xlsx&amp;sheet=A0&amp;row=2652&amp;col=7&amp;number=0&amp;sourceID=14","0")</f>
        <v>0</v>
      </c>
    </row>
    <row r="2653" spans="1:7">
      <c r="A2653" s="3">
        <v>18</v>
      </c>
      <c r="B2653" s="3">
        <v>8</v>
      </c>
      <c r="C2653" s="3">
        <v>60</v>
      </c>
      <c r="D2653" s="3">
        <v>55</v>
      </c>
      <c r="E2653" s="3">
        <v>-1597.555</v>
      </c>
      <c r="F2653" s="4" t="str">
        <f>HYPERLINK("http://141.218.60.56/~jnz1568/getInfo.php?workbook=18_08.xlsx&amp;sheet=A0&amp;row=2653&amp;col=6&amp;number=33240&amp;sourceID=14","33240")</f>
        <v>33240</v>
      </c>
      <c r="G2653" s="4" t="str">
        <f>HYPERLINK("http://141.218.60.56/~jnz1568/getInfo.php?workbook=18_08.xlsx&amp;sheet=A0&amp;row=2653&amp;col=7&amp;number=0&amp;sourceID=14","0")</f>
        <v>0</v>
      </c>
    </row>
    <row r="2654" spans="1:7">
      <c r="A2654" s="3">
        <v>18</v>
      </c>
      <c r="B2654" s="3">
        <v>8</v>
      </c>
      <c r="C2654" s="3">
        <v>61</v>
      </c>
      <c r="D2654" s="3">
        <v>55</v>
      </c>
      <c r="E2654" s="3">
        <v>-1557.652</v>
      </c>
      <c r="F2654" s="4" t="str">
        <f>HYPERLINK("http://141.218.60.56/~jnz1568/getInfo.php?workbook=18_08.xlsx&amp;sheet=A0&amp;row=2654&amp;col=6&amp;number=0.0001719&amp;sourceID=14","0.0001719")</f>
        <v>0.0001719</v>
      </c>
      <c r="G2654" s="4" t="str">
        <f>HYPERLINK("http://141.218.60.56/~jnz1568/getInfo.php?workbook=18_08.xlsx&amp;sheet=A0&amp;row=2654&amp;col=7&amp;number=0&amp;sourceID=14","0")</f>
        <v>0</v>
      </c>
    </row>
    <row r="2655" spans="1:7">
      <c r="A2655" s="3">
        <v>18</v>
      </c>
      <c r="B2655" s="3">
        <v>8</v>
      </c>
      <c r="C2655" s="3">
        <v>63</v>
      </c>
      <c r="D2655" s="3">
        <v>55</v>
      </c>
      <c r="E2655" s="3">
        <v>-1441.532</v>
      </c>
      <c r="F2655" s="4" t="str">
        <f>HYPERLINK("http://141.218.60.56/~jnz1568/getInfo.php?workbook=18_08.xlsx&amp;sheet=A0&amp;row=2655&amp;col=6&amp;number=0.0006589&amp;sourceID=14","0.0006589")</f>
        <v>0.0006589</v>
      </c>
      <c r="G2655" s="4" t="str">
        <f>HYPERLINK("http://141.218.60.56/~jnz1568/getInfo.php?workbook=18_08.xlsx&amp;sheet=A0&amp;row=2655&amp;col=7&amp;number=0&amp;sourceID=14","0")</f>
        <v>0</v>
      </c>
    </row>
    <row r="2656" spans="1:7">
      <c r="A2656" s="3">
        <v>18</v>
      </c>
      <c r="B2656" s="3">
        <v>8</v>
      </c>
      <c r="C2656" s="3">
        <v>64</v>
      </c>
      <c r="D2656" s="3">
        <v>55</v>
      </c>
      <c r="E2656" s="3">
        <v>-1239.089</v>
      </c>
      <c r="F2656" s="4" t="str">
        <f>HYPERLINK("http://141.218.60.56/~jnz1568/getInfo.php?workbook=18_08.xlsx&amp;sheet=A0&amp;row=2656&amp;col=6&amp;number=8583000&amp;sourceID=14","8583000")</f>
        <v>8583000</v>
      </c>
      <c r="G2656" s="4" t="str">
        <f>HYPERLINK("http://141.218.60.56/~jnz1568/getInfo.php?workbook=18_08.xlsx&amp;sheet=A0&amp;row=2656&amp;col=7&amp;number=0&amp;sourceID=14","0")</f>
        <v>0</v>
      </c>
    </row>
    <row r="2657" spans="1:7">
      <c r="A2657" s="3">
        <v>18</v>
      </c>
      <c r="B2657" s="3">
        <v>8</v>
      </c>
      <c r="C2657" s="3">
        <v>65</v>
      </c>
      <c r="D2657" s="3">
        <v>55</v>
      </c>
      <c r="E2657" s="3">
        <v>-1959.409</v>
      </c>
      <c r="F2657" s="4" t="str">
        <f>HYPERLINK("http://141.218.60.56/~jnz1568/getInfo.php?workbook=18_08.xlsx&amp;sheet=A0&amp;row=2657&amp;col=6&amp;number=13.69&amp;sourceID=14","13.69")</f>
        <v>13.69</v>
      </c>
      <c r="G2657" s="4" t="str">
        <f>HYPERLINK("http://141.218.60.56/~jnz1568/getInfo.php?workbook=18_08.xlsx&amp;sheet=A0&amp;row=2657&amp;col=7&amp;number=0&amp;sourceID=14","0")</f>
        <v>0</v>
      </c>
    </row>
    <row r="2658" spans="1:7">
      <c r="A2658" s="3">
        <v>18</v>
      </c>
      <c r="B2658" s="3">
        <v>8</v>
      </c>
      <c r="C2658" s="3">
        <v>66</v>
      </c>
      <c r="D2658" s="3">
        <v>55</v>
      </c>
      <c r="E2658" s="3">
        <v>-1267.844</v>
      </c>
      <c r="F2658" s="4" t="str">
        <f>HYPERLINK("http://141.218.60.56/~jnz1568/getInfo.php?workbook=18_08.xlsx&amp;sheet=A0&amp;row=2658&amp;col=6&amp;number=9133&amp;sourceID=14","9133")</f>
        <v>9133</v>
      </c>
      <c r="G2658" s="4" t="str">
        <f>HYPERLINK("http://141.218.60.56/~jnz1568/getInfo.php?workbook=18_08.xlsx&amp;sheet=A0&amp;row=2658&amp;col=7&amp;number=0&amp;sourceID=14","0")</f>
        <v>0</v>
      </c>
    </row>
    <row r="2659" spans="1:7">
      <c r="A2659" s="3">
        <v>18</v>
      </c>
      <c r="B2659" s="3">
        <v>8</v>
      </c>
      <c r="C2659" s="3">
        <v>67</v>
      </c>
      <c r="D2659" s="3">
        <v>55</v>
      </c>
      <c r="E2659" s="3">
        <v>-1402.309</v>
      </c>
      <c r="F2659" s="4" t="str">
        <f>HYPERLINK("http://141.218.60.56/~jnz1568/getInfo.php?workbook=18_08.xlsx&amp;sheet=A0&amp;row=2659&amp;col=6&amp;number=5336000&amp;sourceID=14","5336000")</f>
        <v>5336000</v>
      </c>
      <c r="G2659" s="4" t="str">
        <f>HYPERLINK("http://141.218.60.56/~jnz1568/getInfo.php?workbook=18_08.xlsx&amp;sheet=A0&amp;row=2659&amp;col=7&amp;number=0&amp;sourceID=14","0")</f>
        <v>0</v>
      </c>
    </row>
    <row r="2660" spans="1:7">
      <c r="A2660" s="3">
        <v>18</v>
      </c>
      <c r="B2660" s="3">
        <v>8</v>
      </c>
      <c r="C2660" s="3">
        <v>68</v>
      </c>
      <c r="D2660" s="3">
        <v>55</v>
      </c>
      <c r="E2660" s="3">
        <v>-1226.729</v>
      </c>
      <c r="F2660" s="4" t="str">
        <f>HYPERLINK("http://141.218.60.56/~jnz1568/getInfo.php?workbook=18_08.xlsx&amp;sheet=A0&amp;row=2660&amp;col=6&amp;number=11970&amp;sourceID=14","11970")</f>
        <v>11970</v>
      </c>
      <c r="G2660" s="4" t="str">
        <f>HYPERLINK("http://141.218.60.56/~jnz1568/getInfo.php?workbook=18_08.xlsx&amp;sheet=A0&amp;row=2660&amp;col=7&amp;number=0&amp;sourceID=14","0")</f>
        <v>0</v>
      </c>
    </row>
    <row r="2661" spans="1:7">
      <c r="A2661" s="3">
        <v>18</v>
      </c>
      <c r="B2661" s="3">
        <v>8</v>
      </c>
      <c r="C2661" s="3">
        <v>69</v>
      </c>
      <c r="D2661" s="3">
        <v>55</v>
      </c>
      <c r="E2661" s="3">
        <v>-1121.803</v>
      </c>
      <c r="F2661" s="4" t="str">
        <f>HYPERLINK("http://141.218.60.56/~jnz1568/getInfo.php?workbook=18_08.xlsx&amp;sheet=A0&amp;row=2661&amp;col=6&amp;number=2765000&amp;sourceID=14","2765000")</f>
        <v>2765000</v>
      </c>
      <c r="G2661" s="4" t="str">
        <f>HYPERLINK("http://141.218.60.56/~jnz1568/getInfo.php?workbook=18_08.xlsx&amp;sheet=A0&amp;row=2661&amp;col=7&amp;number=0&amp;sourceID=14","0")</f>
        <v>0</v>
      </c>
    </row>
    <row r="2662" spans="1:7">
      <c r="A2662" s="3">
        <v>18</v>
      </c>
      <c r="B2662" s="3">
        <v>8</v>
      </c>
      <c r="C2662" s="3">
        <v>70</v>
      </c>
      <c r="D2662" s="3">
        <v>55</v>
      </c>
      <c r="E2662" s="3">
        <v>-1073.136</v>
      </c>
      <c r="F2662" s="4" t="str">
        <f>HYPERLINK("http://141.218.60.56/~jnz1568/getInfo.php?workbook=18_08.xlsx&amp;sheet=A0&amp;row=2662&amp;col=6&amp;number=0.001532&amp;sourceID=14","0.001532")</f>
        <v>0.001532</v>
      </c>
      <c r="G2662" s="4" t="str">
        <f>HYPERLINK("http://141.218.60.56/~jnz1568/getInfo.php?workbook=18_08.xlsx&amp;sheet=A0&amp;row=2662&amp;col=7&amp;number=0&amp;sourceID=14","0")</f>
        <v>0</v>
      </c>
    </row>
    <row r="2663" spans="1:7">
      <c r="A2663" s="3">
        <v>18</v>
      </c>
      <c r="B2663" s="3">
        <v>8</v>
      </c>
      <c r="C2663" s="3">
        <v>71</v>
      </c>
      <c r="D2663" s="3">
        <v>55</v>
      </c>
      <c r="E2663" s="3">
        <v>-1065.612</v>
      </c>
      <c r="F2663" s="4" t="str">
        <f>HYPERLINK("http://141.218.60.56/~jnz1568/getInfo.php?workbook=18_08.xlsx&amp;sheet=A0&amp;row=2663&amp;col=6&amp;number=1751000&amp;sourceID=14","1751000")</f>
        <v>1751000</v>
      </c>
      <c r="G2663" s="4" t="str">
        <f>HYPERLINK("http://141.218.60.56/~jnz1568/getInfo.php?workbook=18_08.xlsx&amp;sheet=A0&amp;row=2663&amp;col=7&amp;number=0&amp;sourceID=14","0")</f>
        <v>0</v>
      </c>
    </row>
    <row r="2664" spans="1:7">
      <c r="A2664" s="3">
        <v>18</v>
      </c>
      <c r="B2664" s="3">
        <v>8</v>
      </c>
      <c r="C2664" s="3">
        <v>72</v>
      </c>
      <c r="D2664" s="3">
        <v>55</v>
      </c>
      <c r="E2664" s="3">
        <v>-1148.21</v>
      </c>
      <c r="F2664" s="4" t="str">
        <f>HYPERLINK("http://141.218.60.56/~jnz1568/getInfo.php?workbook=18_08.xlsx&amp;sheet=A0&amp;row=2664&amp;col=6&amp;number=10910000&amp;sourceID=14","10910000")</f>
        <v>10910000</v>
      </c>
      <c r="G2664" s="4" t="str">
        <f>HYPERLINK("http://141.218.60.56/~jnz1568/getInfo.php?workbook=18_08.xlsx&amp;sheet=A0&amp;row=2664&amp;col=7&amp;number=0&amp;sourceID=14","0")</f>
        <v>0</v>
      </c>
    </row>
    <row r="2665" spans="1:7">
      <c r="A2665" s="3">
        <v>18</v>
      </c>
      <c r="B2665" s="3">
        <v>8</v>
      </c>
      <c r="C2665" s="3">
        <v>73</v>
      </c>
      <c r="D2665" s="3">
        <v>55</v>
      </c>
      <c r="E2665" s="3">
        <v>-1016.231</v>
      </c>
      <c r="F2665" s="4" t="str">
        <f>HYPERLINK("http://141.218.60.56/~jnz1568/getInfo.php?workbook=18_08.xlsx&amp;sheet=A0&amp;row=2665&amp;col=6&amp;number=3271000&amp;sourceID=14","3271000")</f>
        <v>3271000</v>
      </c>
      <c r="G2665" s="4" t="str">
        <f>HYPERLINK("http://141.218.60.56/~jnz1568/getInfo.php?workbook=18_08.xlsx&amp;sheet=A0&amp;row=2665&amp;col=7&amp;number=0&amp;sourceID=14","0")</f>
        <v>0</v>
      </c>
    </row>
    <row r="2666" spans="1:7">
      <c r="A2666" s="3">
        <v>18</v>
      </c>
      <c r="B2666" s="3">
        <v>8</v>
      </c>
      <c r="C2666" s="3">
        <v>74</v>
      </c>
      <c r="D2666" s="3">
        <v>55</v>
      </c>
      <c r="E2666" s="3">
        <v>-886.378</v>
      </c>
      <c r="F2666" s="4" t="str">
        <f>HYPERLINK("http://141.218.60.56/~jnz1568/getInfo.php?workbook=18_08.xlsx&amp;sheet=A0&amp;row=2666&amp;col=6&amp;number=25260000&amp;sourceID=14","25260000")</f>
        <v>25260000</v>
      </c>
      <c r="G2666" s="4" t="str">
        <f>HYPERLINK("http://141.218.60.56/~jnz1568/getInfo.php?workbook=18_08.xlsx&amp;sheet=A0&amp;row=2666&amp;col=7&amp;number=0&amp;sourceID=14","0")</f>
        <v>0</v>
      </c>
    </row>
    <row r="2667" spans="1:7">
      <c r="A2667" s="3">
        <v>18</v>
      </c>
      <c r="B2667" s="3">
        <v>8</v>
      </c>
      <c r="C2667" s="3">
        <v>75</v>
      </c>
      <c r="D2667" s="3">
        <v>55</v>
      </c>
      <c r="E2667" s="3">
        <v>-860.074</v>
      </c>
      <c r="F2667" s="4" t="str">
        <f>HYPERLINK("http://141.218.60.56/~jnz1568/getInfo.php?workbook=18_08.xlsx&amp;sheet=A0&amp;row=2667&amp;col=6&amp;number=2671000&amp;sourceID=14","2671000")</f>
        <v>2671000</v>
      </c>
      <c r="G2667" s="4" t="str">
        <f>HYPERLINK("http://141.218.60.56/~jnz1568/getInfo.php?workbook=18_08.xlsx&amp;sheet=A0&amp;row=2667&amp;col=7&amp;number=0&amp;sourceID=14","0")</f>
        <v>0</v>
      </c>
    </row>
    <row r="2668" spans="1:7">
      <c r="A2668" s="3">
        <v>18</v>
      </c>
      <c r="B2668" s="3">
        <v>8</v>
      </c>
      <c r="C2668" s="3">
        <v>76</v>
      </c>
      <c r="D2668" s="3">
        <v>55</v>
      </c>
      <c r="E2668" s="3">
        <v>-858.222</v>
      </c>
      <c r="F2668" s="4" t="str">
        <f>HYPERLINK("http://141.218.60.56/~jnz1568/getInfo.php?workbook=18_08.xlsx&amp;sheet=A0&amp;row=2668&amp;col=6&amp;number=0.02948&amp;sourceID=14","0.02948")</f>
        <v>0.02948</v>
      </c>
      <c r="G2668" s="4" t="str">
        <f>HYPERLINK("http://141.218.60.56/~jnz1568/getInfo.php?workbook=18_08.xlsx&amp;sheet=A0&amp;row=2668&amp;col=7&amp;number=0&amp;sourceID=14","0")</f>
        <v>0</v>
      </c>
    </row>
    <row r="2669" spans="1:7">
      <c r="A2669" s="3">
        <v>18</v>
      </c>
      <c r="B2669" s="3">
        <v>8</v>
      </c>
      <c r="C2669" s="3">
        <v>77</v>
      </c>
      <c r="D2669" s="3">
        <v>55</v>
      </c>
      <c r="E2669" s="3">
        <v>-843.487</v>
      </c>
      <c r="F2669" s="4" t="str">
        <f>HYPERLINK("http://141.218.60.56/~jnz1568/getInfo.php?workbook=18_08.xlsx&amp;sheet=A0&amp;row=2669&amp;col=6&amp;number=23080000&amp;sourceID=14","23080000")</f>
        <v>23080000</v>
      </c>
      <c r="G2669" s="4" t="str">
        <f>HYPERLINK("http://141.218.60.56/~jnz1568/getInfo.php?workbook=18_08.xlsx&amp;sheet=A0&amp;row=2669&amp;col=7&amp;number=0&amp;sourceID=14","0")</f>
        <v>0</v>
      </c>
    </row>
    <row r="2670" spans="1:7">
      <c r="A2670" s="3">
        <v>18</v>
      </c>
      <c r="B2670" s="3">
        <v>8</v>
      </c>
      <c r="C2670" s="3">
        <v>78</v>
      </c>
      <c r="D2670" s="3">
        <v>55</v>
      </c>
      <c r="E2670" s="3">
        <v>-854.033</v>
      </c>
      <c r="F2670" s="4" t="str">
        <f>HYPERLINK("http://141.218.60.56/~jnz1568/getInfo.php?workbook=18_08.xlsx&amp;sheet=A0&amp;row=2670&amp;col=6&amp;number=0.005339&amp;sourceID=14","0.005339")</f>
        <v>0.005339</v>
      </c>
      <c r="G2670" s="4" t="str">
        <f>HYPERLINK("http://141.218.60.56/~jnz1568/getInfo.php?workbook=18_08.xlsx&amp;sheet=A0&amp;row=2670&amp;col=7&amp;number=0&amp;sourceID=14","0")</f>
        <v>0</v>
      </c>
    </row>
    <row r="2671" spans="1:7">
      <c r="A2671" s="3">
        <v>18</v>
      </c>
      <c r="B2671" s="3">
        <v>8</v>
      </c>
      <c r="C2671" s="3">
        <v>79</v>
      </c>
      <c r="D2671" s="3">
        <v>55</v>
      </c>
      <c r="E2671" s="3">
        <v>-832.79</v>
      </c>
      <c r="F2671" s="4" t="str">
        <f>HYPERLINK("http://141.218.60.56/~jnz1568/getInfo.php?workbook=18_08.xlsx&amp;sheet=A0&amp;row=2671&amp;col=6&amp;number=9208000&amp;sourceID=14","9208000")</f>
        <v>9208000</v>
      </c>
      <c r="G2671" s="4" t="str">
        <f>HYPERLINK("http://141.218.60.56/~jnz1568/getInfo.php?workbook=18_08.xlsx&amp;sheet=A0&amp;row=2671&amp;col=7&amp;number=0&amp;sourceID=14","0")</f>
        <v>0</v>
      </c>
    </row>
    <row r="2672" spans="1:7">
      <c r="A2672" s="3">
        <v>18</v>
      </c>
      <c r="B2672" s="3">
        <v>8</v>
      </c>
      <c r="C2672" s="3">
        <v>80</v>
      </c>
      <c r="D2672" s="3">
        <v>55</v>
      </c>
      <c r="E2672" s="3">
        <v>-819.567</v>
      </c>
      <c r="F2672" s="4" t="str">
        <f>HYPERLINK("http://141.218.60.56/~jnz1568/getInfo.php?workbook=18_08.xlsx&amp;sheet=A0&amp;row=2672&amp;col=6&amp;number=6635000&amp;sourceID=14","6635000")</f>
        <v>6635000</v>
      </c>
      <c r="G2672" s="4" t="str">
        <f>HYPERLINK("http://141.218.60.56/~jnz1568/getInfo.php?workbook=18_08.xlsx&amp;sheet=A0&amp;row=2672&amp;col=7&amp;number=0&amp;sourceID=14","0")</f>
        <v>0</v>
      </c>
    </row>
    <row r="2673" spans="1:7">
      <c r="A2673" s="3">
        <v>18</v>
      </c>
      <c r="B2673" s="3">
        <v>8</v>
      </c>
      <c r="C2673" s="3">
        <v>81</v>
      </c>
      <c r="D2673" s="3">
        <v>55</v>
      </c>
      <c r="E2673" s="3">
        <v>-755.6</v>
      </c>
      <c r="F2673" s="4" t="str">
        <f>HYPERLINK("http://141.218.60.56/~jnz1568/getInfo.php?workbook=18_08.xlsx&amp;sheet=A0&amp;row=2673&amp;col=6&amp;number=23330000&amp;sourceID=14","23330000")</f>
        <v>23330000</v>
      </c>
      <c r="G2673" s="4" t="str">
        <f>HYPERLINK("http://141.218.60.56/~jnz1568/getInfo.php?workbook=18_08.xlsx&amp;sheet=A0&amp;row=2673&amp;col=7&amp;number=0&amp;sourceID=14","0")</f>
        <v>0</v>
      </c>
    </row>
    <row r="2674" spans="1:7">
      <c r="A2674" s="3">
        <v>18</v>
      </c>
      <c r="B2674" s="3">
        <v>8</v>
      </c>
      <c r="C2674" s="3">
        <v>82</v>
      </c>
      <c r="D2674" s="3">
        <v>55</v>
      </c>
      <c r="E2674" s="3">
        <v>-737.38</v>
      </c>
      <c r="F2674" s="4" t="str">
        <f>HYPERLINK("http://141.218.60.56/~jnz1568/getInfo.php?workbook=18_08.xlsx&amp;sheet=A0&amp;row=2674&amp;col=6&amp;number=6254000&amp;sourceID=14","6254000")</f>
        <v>6254000</v>
      </c>
      <c r="G2674" s="4" t="str">
        <f>HYPERLINK("http://141.218.60.56/~jnz1568/getInfo.php?workbook=18_08.xlsx&amp;sheet=A0&amp;row=2674&amp;col=7&amp;number=0&amp;sourceID=14","0")</f>
        <v>0</v>
      </c>
    </row>
    <row r="2675" spans="1:7">
      <c r="A2675" s="3">
        <v>18</v>
      </c>
      <c r="B2675" s="3">
        <v>8</v>
      </c>
      <c r="C2675" s="3">
        <v>83</v>
      </c>
      <c r="D2675" s="3">
        <v>55</v>
      </c>
      <c r="E2675" s="3">
        <v>-736.22</v>
      </c>
      <c r="F2675" s="4" t="str">
        <f>HYPERLINK("http://141.218.60.56/~jnz1568/getInfo.php?workbook=18_08.xlsx&amp;sheet=A0&amp;row=2675&amp;col=6&amp;number=1394000&amp;sourceID=14","1394000")</f>
        <v>1394000</v>
      </c>
      <c r="G2675" s="4" t="str">
        <f>HYPERLINK("http://141.218.60.56/~jnz1568/getInfo.php?workbook=18_08.xlsx&amp;sheet=A0&amp;row=2675&amp;col=7&amp;number=0&amp;sourceID=14","0")</f>
        <v>0</v>
      </c>
    </row>
    <row r="2676" spans="1:7">
      <c r="A2676" s="3">
        <v>18</v>
      </c>
      <c r="B2676" s="3">
        <v>8</v>
      </c>
      <c r="C2676" s="3">
        <v>84</v>
      </c>
      <c r="D2676" s="3">
        <v>55</v>
      </c>
      <c r="E2676" s="3">
        <v>-673.052</v>
      </c>
      <c r="F2676" s="4" t="str">
        <f>HYPERLINK("http://141.218.60.56/~jnz1568/getInfo.php?workbook=18_08.xlsx&amp;sheet=A0&amp;row=2676&amp;col=6&amp;number=675900000&amp;sourceID=14","675900000")</f>
        <v>675900000</v>
      </c>
      <c r="G2676" s="4" t="str">
        <f>HYPERLINK("http://141.218.60.56/~jnz1568/getInfo.php?workbook=18_08.xlsx&amp;sheet=A0&amp;row=2676&amp;col=7&amp;number=0&amp;sourceID=14","0")</f>
        <v>0</v>
      </c>
    </row>
    <row r="2677" spans="1:7">
      <c r="A2677" s="3">
        <v>18</v>
      </c>
      <c r="B2677" s="3">
        <v>8</v>
      </c>
      <c r="C2677" s="3">
        <v>85</v>
      </c>
      <c r="D2677" s="3">
        <v>55</v>
      </c>
      <c r="E2677" s="3">
        <v>-656.902</v>
      </c>
      <c r="F2677" s="4" t="str">
        <f>HYPERLINK("http://141.218.60.56/~jnz1568/getInfo.php?workbook=18_08.xlsx&amp;sheet=A0&amp;row=2677&amp;col=6&amp;number=1575000000&amp;sourceID=14","1575000000")</f>
        <v>1575000000</v>
      </c>
      <c r="G2677" s="4" t="str">
        <f>HYPERLINK("http://141.218.60.56/~jnz1568/getInfo.php?workbook=18_08.xlsx&amp;sheet=A0&amp;row=2677&amp;col=7&amp;number=0&amp;sourceID=14","0")</f>
        <v>0</v>
      </c>
    </row>
    <row r="2678" spans="1:7">
      <c r="A2678" s="3">
        <v>18</v>
      </c>
      <c r="B2678" s="3">
        <v>8</v>
      </c>
      <c r="C2678" s="3">
        <v>86</v>
      </c>
      <c r="D2678" s="3">
        <v>55</v>
      </c>
      <c r="E2678" s="3">
        <v>-545.814</v>
      </c>
      <c r="F2678" s="4" t="str">
        <f>HYPERLINK("http://141.218.60.56/~jnz1568/getInfo.php?workbook=18_08.xlsx&amp;sheet=A0&amp;row=2678&amp;col=6&amp;number=100700000&amp;sourceID=14","100700000")</f>
        <v>100700000</v>
      </c>
      <c r="G2678" s="4" t="str">
        <f>HYPERLINK("http://141.218.60.56/~jnz1568/getInfo.php?workbook=18_08.xlsx&amp;sheet=A0&amp;row=2678&amp;col=7&amp;number=0&amp;sourceID=14","0")</f>
        <v>0</v>
      </c>
    </row>
    <row r="2679" spans="1:7">
      <c r="A2679" s="3">
        <v>18</v>
      </c>
      <c r="B2679" s="3">
        <v>8</v>
      </c>
      <c r="C2679" s="3">
        <v>57</v>
      </c>
      <c r="D2679" s="3">
        <v>56</v>
      </c>
      <c r="E2679" s="3">
        <v>-28359.855</v>
      </c>
      <c r="F2679" s="4" t="str">
        <f>HYPERLINK("http://141.218.60.56/~jnz1568/getInfo.php?workbook=18_08.xlsx&amp;sheet=A0&amp;row=2679&amp;col=6&amp;number=1.039&amp;sourceID=14","1.039")</f>
        <v>1.039</v>
      </c>
      <c r="G2679" s="4" t="str">
        <f>HYPERLINK("http://141.218.60.56/~jnz1568/getInfo.php?workbook=18_08.xlsx&amp;sheet=A0&amp;row=2679&amp;col=7&amp;number=0&amp;sourceID=14","0")</f>
        <v>0</v>
      </c>
    </row>
    <row r="2680" spans="1:7">
      <c r="A2680" s="3">
        <v>18</v>
      </c>
      <c r="B2680" s="3">
        <v>8</v>
      </c>
      <c r="C2680" s="3">
        <v>58</v>
      </c>
      <c r="D2680" s="3">
        <v>56</v>
      </c>
      <c r="E2680" s="3">
        <v>-15995.716</v>
      </c>
      <c r="F2680" s="4" t="str">
        <f>HYPERLINK("http://141.218.60.56/~jnz1568/getInfo.php?workbook=18_08.xlsx&amp;sheet=A0&amp;row=2680&amp;col=6&amp;number=9.894e-06&amp;sourceID=14","9.894e-06")</f>
        <v>9.894e-06</v>
      </c>
      <c r="G2680" s="4" t="str">
        <f>HYPERLINK("http://141.218.60.56/~jnz1568/getInfo.php?workbook=18_08.xlsx&amp;sheet=A0&amp;row=2680&amp;col=7&amp;number=0&amp;sourceID=14","0")</f>
        <v>0</v>
      </c>
    </row>
    <row r="2681" spans="1:7">
      <c r="A2681" s="3">
        <v>18</v>
      </c>
      <c r="B2681" s="3">
        <v>8</v>
      </c>
      <c r="C2681" s="3">
        <v>59</v>
      </c>
      <c r="D2681" s="3">
        <v>56</v>
      </c>
      <c r="E2681" s="3">
        <v>-13058.024</v>
      </c>
      <c r="F2681" s="4" t="str">
        <f>HYPERLINK("http://141.218.60.56/~jnz1568/getInfo.php?workbook=18_08.xlsx&amp;sheet=A0&amp;row=2681&amp;col=6&amp;number=5.345e-06&amp;sourceID=14","5.345e-06")</f>
        <v>5.345e-06</v>
      </c>
      <c r="G2681" s="4" t="str">
        <f>HYPERLINK("http://141.218.60.56/~jnz1568/getInfo.php?workbook=18_08.xlsx&amp;sheet=A0&amp;row=2681&amp;col=7&amp;number=0&amp;sourceID=14","0")</f>
        <v>0</v>
      </c>
    </row>
    <row r="2682" spans="1:7">
      <c r="A2682" s="3">
        <v>18</v>
      </c>
      <c r="B2682" s="3">
        <v>8</v>
      </c>
      <c r="C2682" s="3">
        <v>60</v>
      </c>
      <c r="D2682" s="3">
        <v>56</v>
      </c>
      <c r="E2682" s="3">
        <v>-6835.336</v>
      </c>
      <c r="F2682" s="4" t="str">
        <f>HYPERLINK("http://141.218.60.56/~jnz1568/getInfo.php?workbook=18_08.xlsx&amp;sheet=A0&amp;row=2682&amp;col=6&amp;number=2.845&amp;sourceID=14","2.845")</f>
        <v>2.845</v>
      </c>
      <c r="G2682" s="4" t="str">
        <f>HYPERLINK("http://141.218.60.56/~jnz1568/getInfo.php?workbook=18_08.xlsx&amp;sheet=A0&amp;row=2682&amp;col=7&amp;number=0&amp;sourceID=14","0")</f>
        <v>0</v>
      </c>
    </row>
    <row r="2683" spans="1:7">
      <c r="A2683" s="3">
        <v>18</v>
      </c>
      <c r="B2683" s="3">
        <v>8</v>
      </c>
      <c r="C2683" s="3">
        <v>61</v>
      </c>
      <c r="D2683" s="3">
        <v>56</v>
      </c>
      <c r="E2683" s="3">
        <v>-6160.15</v>
      </c>
      <c r="F2683" s="4" t="str">
        <f>HYPERLINK("http://141.218.60.56/~jnz1568/getInfo.php?workbook=18_08.xlsx&amp;sheet=A0&amp;row=2683&amp;col=6&amp;number=0.0008369&amp;sourceID=14","0.0008369")</f>
        <v>0.0008369</v>
      </c>
      <c r="G2683" s="4" t="str">
        <f>HYPERLINK("http://141.218.60.56/~jnz1568/getInfo.php?workbook=18_08.xlsx&amp;sheet=A0&amp;row=2683&amp;col=7&amp;number=0&amp;sourceID=14","0")</f>
        <v>0</v>
      </c>
    </row>
    <row r="2684" spans="1:7">
      <c r="A2684" s="3">
        <v>18</v>
      </c>
      <c r="B2684" s="3">
        <v>8</v>
      </c>
      <c r="C2684" s="3">
        <v>63</v>
      </c>
      <c r="D2684" s="3">
        <v>56</v>
      </c>
      <c r="E2684" s="3">
        <v>-4671.838</v>
      </c>
      <c r="F2684" s="4" t="str">
        <f>HYPERLINK("http://141.218.60.56/~jnz1568/getInfo.php?workbook=18_08.xlsx&amp;sheet=A0&amp;row=2684&amp;col=6&amp;number=0.0002364&amp;sourceID=14","0.0002364")</f>
        <v>0.0002364</v>
      </c>
      <c r="G2684" s="4" t="str">
        <f>HYPERLINK("http://141.218.60.56/~jnz1568/getInfo.php?workbook=18_08.xlsx&amp;sheet=A0&amp;row=2684&amp;col=7&amp;number=0&amp;sourceID=14","0")</f>
        <v>0</v>
      </c>
    </row>
    <row r="2685" spans="1:7">
      <c r="A2685" s="3">
        <v>18</v>
      </c>
      <c r="B2685" s="3">
        <v>8</v>
      </c>
      <c r="C2685" s="3">
        <v>64</v>
      </c>
      <c r="D2685" s="3">
        <v>56</v>
      </c>
      <c r="E2685" s="3">
        <v>4222.616</v>
      </c>
      <c r="F2685" s="4" t="str">
        <f>HYPERLINK("http://141.218.60.56/~jnz1568/getInfo.php?workbook=18_08.xlsx&amp;sheet=A0&amp;row=2685&amp;col=6&amp;number=0.7767&amp;sourceID=14","0.7767")</f>
        <v>0.7767</v>
      </c>
      <c r="G2685" s="4" t="str">
        <f>HYPERLINK("http://141.218.60.56/~jnz1568/getInfo.php?workbook=18_08.xlsx&amp;sheet=A0&amp;row=2685&amp;col=7&amp;number=0&amp;sourceID=14","0")</f>
        <v>0</v>
      </c>
    </row>
    <row r="2686" spans="1:7">
      <c r="A2686" s="3">
        <v>18</v>
      </c>
      <c r="B2686" s="3">
        <v>8</v>
      </c>
      <c r="C2686" s="3">
        <v>65</v>
      </c>
      <c r="D2686" s="3">
        <v>56</v>
      </c>
      <c r="E2686" s="3">
        <v>-32573.459</v>
      </c>
      <c r="F2686" s="4" t="str">
        <f>HYPERLINK("http://141.218.60.56/~jnz1568/getInfo.php?workbook=18_08.xlsx&amp;sheet=A0&amp;row=2686&amp;col=6&amp;number=5.823e-12&amp;sourceID=14","5.823e-12")</f>
        <v>5.823e-12</v>
      </c>
      <c r="G2686" s="4" t="str">
        <f>HYPERLINK("http://141.218.60.56/~jnz1568/getInfo.php?workbook=18_08.xlsx&amp;sheet=A0&amp;row=2686&amp;col=7&amp;number=0&amp;sourceID=14","0")</f>
        <v>0</v>
      </c>
    </row>
    <row r="2687" spans="1:7">
      <c r="A2687" s="3">
        <v>18</v>
      </c>
      <c r="B2687" s="3">
        <v>8</v>
      </c>
      <c r="C2687" s="3">
        <v>66</v>
      </c>
      <c r="D2687" s="3">
        <v>56</v>
      </c>
      <c r="E2687" s="3">
        <v>4290.373</v>
      </c>
      <c r="F2687" s="4" t="str">
        <f>HYPERLINK("http://141.218.60.56/~jnz1568/getInfo.php?workbook=18_08.xlsx&amp;sheet=A0&amp;row=2687&amp;col=6&amp;number=0.3477&amp;sourceID=14","0.3477")</f>
        <v>0.3477</v>
      </c>
      <c r="G2687" s="4" t="str">
        <f>HYPERLINK("http://141.218.60.56/~jnz1568/getInfo.php?workbook=18_08.xlsx&amp;sheet=A0&amp;row=2687&amp;col=7&amp;number=0&amp;sourceID=14","0")</f>
        <v>0</v>
      </c>
    </row>
    <row r="2688" spans="1:7">
      <c r="A2688" s="3">
        <v>18</v>
      </c>
      <c r="B2688" s="3">
        <v>8</v>
      </c>
      <c r="C2688" s="3">
        <v>67</v>
      </c>
      <c r="D2688" s="3">
        <v>56</v>
      </c>
      <c r="E2688" s="3">
        <v>6843.69</v>
      </c>
      <c r="F2688" s="4" t="str">
        <f>HYPERLINK("http://141.218.60.56/~jnz1568/getInfo.php?workbook=18_08.xlsx&amp;sheet=A0&amp;row=2688&amp;col=6&amp;number=0.6071&amp;sourceID=14","0.6071")</f>
        <v>0.6071</v>
      </c>
      <c r="G2688" s="4" t="str">
        <f>HYPERLINK("http://141.218.60.56/~jnz1568/getInfo.php?workbook=18_08.xlsx&amp;sheet=A0&amp;row=2688&amp;col=7&amp;number=0&amp;sourceID=14","0")</f>
        <v>0</v>
      </c>
    </row>
    <row r="2689" spans="1:7">
      <c r="A2689" s="3">
        <v>18</v>
      </c>
      <c r="B2689" s="3">
        <v>8</v>
      </c>
      <c r="C2689" s="3">
        <v>68</v>
      </c>
      <c r="D2689" s="3">
        <v>56</v>
      </c>
      <c r="E2689" s="3">
        <v>4018.323</v>
      </c>
      <c r="F2689" s="4" t="str">
        <f>HYPERLINK("http://141.218.60.56/~jnz1568/getInfo.php?workbook=18_08.xlsx&amp;sheet=A0&amp;row=2689&amp;col=6&amp;number=0.8292&amp;sourceID=14","0.8292")</f>
        <v>0.8292</v>
      </c>
      <c r="G2689" s="4" t="str">
        <f>HYPERLINK("http://141.218.60.56/~jnz1568/getInfo.php?workbook=18_08.xlsx&amp;sheet=A0&amp;row=2689&amp;col=7&amp;number=0&amp;sourceID=14","0")</f>
        <v>0</v>
      </c>
    </row>
    <row r="2690" spans="1:7">
      <c r="A2690" s="3">
        <v>18</v>
      </c>
      <c r="B2690" s="3">
        <v>8</v>
      </c>
      <c r="C2690" s="3">
        <v>69</v>
      </c>
      <c r="D2690" s="3">
        <v>56</v>
      </c>
      <c r="E2690" s="3">
        <v>2949.939</v>
      </c>
      <c r="F2690" s="4" t="str">
        <f>HYPERLINK("http://141.218.60.56/~jnz1568/getInfo.php?workbook=18_08.xlsx&amp;sheet=A0&amp;row=2690&amp;col=6&amp;number=3.216&amp;sourceID=14","3.216")</f>
        <v>3.216</v>
      </c>
      <c r="G2690" s="4" t="str">
        <f>HYPERLINK("http://141.218.60.56/~jnz1568/getInfo.php?workbook=18_08.xlsx&amp;sheet=A0&amp;row=2690&amp;col=7&amp;number=0&amp;sourceID=14","0")</f>
        <v>0</v>
      </c>
    </row>
    <row r="2691" spans="1:7">
      <c r="A2691" s="3">
        <v>18</v>
      </c>
      <c r="B2691" s="3">
        <v>8</v>
      </c>
      <c r="C2691" s="3">
        <v>70</v>
      </c>
      <c r="D2691" s="3">
        <v>56</v>
      </c>
      <c r="E2691" s="3">
        <v>-2211.459</v>
      </c>
      <c r="F2691" s="4" t="str">
        <f>HYPERLINK("http://141.218.60.56/~jnz1568/getInfo.php?workbook=18_08.xlsx&amp;sheet=A0&amp;row=2691&amp;col=6&amp;number=1.938&amp;sourceID=14","1.938")</f>
        <v>1.938</v>
      </c>
      <c r="G2691" s="4" t="str">
        <f>HYPERLINK("http://141.218.60.56/~jnz1568/getInfo.php?workbook=18_08.xlsx&amp;sheet=A0&amp;row=2691&amp;col=7&amp;number=0&amp;sourceID=14","0")</f>
        <v>0</v>
      </c>
    </row>
    <row r="2692" spans="1:7">
      <c r="A2692" s="3">
        <v>18</v>
      </c>
      <c r="B2692" s="3">
        <v>8</v>
      </c>
      <c r="C2692" s="3">
        <v>71</v>
      </c>
      <c r="D2692" s="3">
        <v>56</v>
      </c>
      <c r="E2692" s="3">
        <v>2207.116</v>
      </c>
      <c r="F2692" s="4" t="str">
        <f>HYPERLINK("http://141.218.60.56/~jnz1568/getInfo.php?workbook=18_08.xlsx&amp;sheet=A0&amp;row=2692&amp;col=6&amp;number=0.4532&amp;sourceID=14","0.4532")</f>
        <v>0.4532</v>
      </c>
      <c r="G2692" s="4" t="str">
        <f>HYPERLINK("http://141.218.60.56/~jnz1568/getInfo.php?workbook=18_08.xlsx&amp;sheet=A0&amp;row=2692&amp;col=7&amp;number=0&amp;sourceID=14","0")</f>
        <v>0</v>
      </c>
    </row>
    <row r="2693" spans="1:7">
      <c r="A2693" s="3">
        <v>18</v>
      </c>
      <c r="B2693" s="3">
        <v>8</v>
      </c>
      <c r="C2693" s="3">
        <v>72</v>
      </c>
      <c r="D2693" s="3">
        <v>56</v>
      </c>
      <c r="E2693" s="3">
        <v>2949.939</v>
      </c>
      <c r="F2693" s="4" t="str">
        <f>HYPERLINK("http://141.218.60.56/~jnz1568/getInfo.php?workbook=18_08.xlsx&amp;sheet=A0&amp;row=2693&amp;col=6&amp;number=33&amp;sourceID=14","33")</f>
        <v>33</v>
      </c>
      <c r="G2693" s="4" t="str">
        <f>HYPERLINK("http://141.218.60.56/~jnz1568/getInfo.php?workbook=18_08.xlsx&amp;sheet=A0&amp;row=2693&amp;col=7&amp;number=0&amp;sourceID=14","0")</f>
        <v>0</v>
      </c>
    </row>
    <row r="2694" spans="1:7">
      <c r="A2694" s="3">
        <v>18</v>
      </c>
      <c r="B2694" s="3">
        <v>8</v>
      </c>
      <c r="C2694" s="3">
        <v>73</v>
      </c>
      <c r="D2694" s="3">
        <v>56</v>
      </c>
      <c r="E2694" s="3">
        <v>2207.116</v>
      </c>
      <c r="F2694" s="4" t="str">
        <f>HYPERLINK("http://141.218.60.56/~jnz1568/getInfo.php?workbook=18_08.xlsx&amp;sheet=A0&amp;row=2694&amp;col=6&amp;number=0.06557&amp;sourceID=14","0.06557")</f>
        <v>0.06557</v>
      </c>
      <c r="G2694" s="4" t="str">
        <f>HYPERLINK("http://141.218.60.56/~jnz1568/getInfo.php?workbook=18_08.xlsx&amp;sheet=A0&amp;row=2694&amp;col=7&amp;number=0&amp;sourceID=14","0")</f>
        <v>0</v>
      </c>
    </row>
    <row r="2695" spans="1:7">
      <c r="A2695" s="3">
        <v>18</v>
      </c>
      <c r="B2695" s="3">
        <v>8</v>
      </c>
      <c r="C2695" s="3">
        <v>74</v>
      </c>
      <c r="D2695" s="3">
        <v>56</v>
      </c>
      <c r="E2695" s="3">
        <v>1742.798</v>
      </c>
      <c r="F2695" s="4" t="str">
        <f>HYPERLINK("http://141.218.60.56/~jnz1568/getInfo.php?workbook=18_08.xlsx&amp;sheet=A0&amp;row=2695&amp;col=6&amp;number=14.94&amp;sourceID=14","14.94")</f>
        <v>14.94</v>
      </c>
      <c r="G2695" s="4" t="str">
        <f>HYPERLINK("http://141.218.60.56/~jnz1568/getInfo.php?workbook=18_08.xlsx&amp;sheet=A0&amp;row=2695&amp;col=7&amp;number=0&amp;sourceID=14","0")</f>
        <v>0</v>
      </c>
    </row>
    <row r="2696" spans="1:7">
      <c r="A2696" s="3">
        <v>18</v>
      </c>
      <c r="B2696" s="3">
        <v>8</v>
      </c>
      <c r="C2696" s="3">
        <v>75</v>
      </c>
      <c r="D2696" s="3">
        <v>56</v>
      </c>
      <c r="E2696" s="3">
        <v>-1464.059</v>
      </c>
      <c r="F2696" s="4" t="str">
        <f>HYPERLINK("http://141.218.60.56/~jnz1568/getInfo.php?workbook=18_08.xlsx&amp;sheet=A0&amp;row=2696&amp;col=6&amp;number=0.605&amp;sourceID=14","0.605")</f>
        <v>0.605</v>
      </c>
      <c r="G2696" s="4" t="str">
        <f>HYPERLINK("http://141.218.60.56/~jnz1568/getInfo.php?workbook=18_08.xlsx&amp;sheet=A0&amp;row=2696&amp;col=7&amp;number=0&amp;sourceID=14","0")</f>
        <v>0</v>
      </c>
    </row>
    <row r="2697" spans="1:7">
      <c r="A2697" s="3">
        <v>18</v>
      </c>
      <c r="B2697" s="3">
        <v>8</v>
      </c>
      <c r="C2697" s="3">
        <v>76</v>
      </c>
      <c r="D2697" s="3">
        <v>56</v>
      </c>
      <c r="E2697" s="3">
        <v>-1458.702</v>
      </c>
      <c r="F2697" s="4" t="str">
        <f>HYPERLINK("http://141.218.60.56/~jnz1568/getInfo.php?workbook=18_08.xlsx&amp;sheet=A0&amp;row=2697&amp;col=6&amp;number=0.006898&amp;sourceID=14","0.006898")</f>
        <v>0.006898</v>
      </c>
      <c r="G2697" s="4" t="str">
        <f>HYPERLINK("http://141.218.60.56/~jnz1568/getInfo.php?workbook=18_08.xlsx&amp;sheet=A0&amp;row=2697&amp;col=7&amp;number=0&amp;sourceID=14","0")</f>
        <v>0</v>
      </c>
    </row>
    <row r="2698" spans="1:7">
      <c r="A2698" s="3">
        <v>18</v>
      </c>
      <c r="B2698" s="3">
        <v>8</v>
      </c>
      <c r="C2698" s="3">
        <v>77</v>
      </c>
      <c r="D2698" s="3">
        <v>56</v>
      </c>
      <c r="E2698" s="3">
        <v>1741.796</v>
      </c>
      <c r="F2698" s="4" t="str">
        <f>HYPERLINK("http://141.218.60.56/~jnz1568/getInfo.php?workbook=18_08.xlsx&amp;sheet=A0&amp;row=2698&amp;col=6&amp;number=20.85&amp;sourceID=14","20.85")</f>
        <v>20.85</v>
      </c>
      <c r="G2698" s="4" t="str">
        <f>HYPERLINK("http://141.218.60.56/~jnz1568/getInfo.php?workbook=18_08.xlsx&amp;sheet=A0&amp;row=2698&amp;col=7&amp;number=0&amp;sourceID=14","0")</f>
        <v>0</v>
      </c>
    </row>
    <row r="2699" spans="1:7">
      <c r="A2699" s="3">
        <v>18</v>
      </c>
      <c r="B2699" s="3">
        <v>8</v>
      </c>
      <c r="C2699" s="3">
        <v>78</v>
      </c>
      <c r="D2699" s="3">
        <v>56</v>
      </c>
      <c r="E2699" s="3">
        <v>-1446.641</v>
      </c>
      <c r="F2699" s="4" t="str">
        <f>HYPERLINK("http://141.218.60.56/~jnz1568/getInfo.php?workbook=18_08.xlsx&amp;sheet=A0&amp;row=2699&amp;col=6&amp;number=2.144&amp;sourceID=14","2.144")</f>
        <v>2.144</v>
      </c>
      <c r="G2699" s="4" t="str">
        <f>HYPERLINK("http://141.218.60.56/~jnz1568/getInfo.php?workbook=18_08.xlsx&amp;sheet=A0&amp;row=2699&amp;col=7&amp;number=0&amp;sourceID=14","0")</f>
        <v>0</v>
      </c>
    </row>
    <row r="2700" spans="1:7">
      <c r="A2700" s="3">
        <v>18</v>
      </c>
      <c r="B2700" s="3">
        <v>8</v>
      </c>
      <c r="C2700" s="3">
        <v>79</v>
      </c>
      <c r="D2700" s="3">
        <v>56</v>
      </c>
      <c r="E2700" s="3">
        <v>-1386.723</v>
      </c>
      <c r="F2700" s="4" t="str">
        <f>HYPERLINK("http://141.218.60.56/~jnz1568/getInfo.php?workbook=18_08.xlsx&amp;sheet=A0&amp;row=2700&amp;col=6&amp;number=2.045&amp;sourceID=14","2.045")</f>
        <v>2.045</v>
      </c>
      <c r="G2700" s="4" t="str">
        <f>HYPERLINK("http://141.218.60.56/~jnz1568/getInfo.php?workbook=18_08.xlsx&amp;sheet=A0&amp;row=2700&amp;col=7&amp;number=0&amp;sourceID=14","0")</f>
        <v>0</v>
      </c>
    </row>
    <row r="2701" spans="1:7">
      <c r="A2701" s="3">
        <v>18</v>
      </c>
      <c r="B2701" s="3">
        <v>8</v>
      </c>
      <c r="C2701" s="3">
        <v>80</v>
      </c>
      <c r="D2701" s="3">
        <v>56</v>
      </c>
      <c r="E2701" s="3">
        <v>-1350.443</v>
      </c>
      <c r="F2701" s="4" t="str">
        <f>HYPERLINK("http://141.218.60.56/~jnz1568/getInfo.php?workbook=18_08.xlsx&amp;sheet=A0&amp;row=2701&amp;col=6&amp;number=1.666&amp;sourceID=14","1.666")</f>
        <v>1.666</v>
      </c>
      <c r="G2701" s="4" t="str">
        <f>HYPERLINK("http://141.218.60.56/~jnz1568/getInfo.php?workbook=18_08.xlsx&amp;sheet=A0&amp;row=2701&amp;col=7&amp;number=0&amp;sourceID=14","0")</f>
        <v>0</v>
      </c>
    </row>
    <row r="2702" spans="1:7">
      <c r="A2702" s="3">
        <v>18</v>
      </c>
      <c r="B2702" s="3">
        <v>8</v>
      </c>
      <c r="C2702" s="3">
        <v>81</v>
      </c>
      <c r="D2702" s="3">
        <v>56</v>
      </c>
      <c r="E2702" s="3">
        <v>1293.46</v>
      </c>
      <c r="F2702" s="4" t="str">
        <f>HYPERLINK("http://141.218.60.56/~jnz1568/getInfo.php?workbook=18_08.xlsx&amp;sheet=A0&amp;row=2702&amp;col=6&amp;number=57.26&amp;sourceID=14","57.26")</f>
        <v>57.26</v>
      </c>
      <c r="G2702" s="4" t="str">
        <f>HYPERLINK("http://141.218.60.56/~jnz1568/getInfo.php?workbook=18_08.xlsx&amp;sheet=A0&amp;row=2702&amp;col=7&amp;number=0&amp;sourceID=14","0")</f>
        <v>0</v>
      </c>
    </row>
    <row r="2703" spans="1:7">
      <c r="A2703" s="3">
        <v>18</v>
      </c>
      <c r="B2703" s="3">
        <v>8</v>
      </c>
      <c r="C2703" s="3">
        <v>82</v>
      </c>
      <c r="D2703" s="3">
        <v>56</v>
      </c>
      <c r="E2703" s="3">
        <v>1231.664</v>
      </c>
      <c r="F2703" s="4" t="str">
        <f>HYPERLINK("http://141.218.60.56/~jnz1568/getInfo.php?workbook=18_08.xlsx&amp;sheet=A0&amp;row=2703&amp;col=6&amp;number=15.65&amp;sourceID=14","15.65")</f>
        <v>15.65</v>
      </c>
      <c r="G2703" s="4" t="str">
        <f>HYPERLINK("http://141.218.60.56/~jnz1568/getInfo.php?workbook=18_08.xlsx&amp;sheet=A0&amp;row=2703&amp;col=7&amp;number=0&amp;sourceID=14","0")</f>
        <v>0</v>
      </c>
    </row>
    <row r="2704" spans="1:7">
      <c r="A2704" s="3">
        <v>18</v>
      </c>
      <c r="B2704" s="3">
        <v>8</v>
      </c>
      <c r="C2704" s="3">
        <v>83</v>
      </c>
      <c r="D2704" s="3">
        <v>56</v>
      </c>
      <c r="E2704" s="3">
        <v>1099.119</v>
      </c>
      <c r="F2704" s="4" t="str">
        <f>HYPERLINK("http://141.218.60.56/~jnz1568/getInfo.php?workbook=18_08.xlsx&amp;sheet=A0&amp;row=2704&amp;col=6&amp;number=170.2&amp;sourceID=14","170.2")</f>
        <v>170.2</v>
      </c>
      <c r="G2704" s="4" t="str">
        <f>HYPERLINK("http://141.218.60.56/~jnz1568/getInfo.php?workbook=18_08.xlsx&amp;sheet=A0&amp;row=2704&amp;col=7&amp;number=0&amp;sourceID=14","0")</f>
        <v>0</v>
      </c>
    </row>
    <row r="2705" spans="1:7">
      <c r="A2705" s="3">
        <v>18</v>
      </c>
      <c r="B2705" s="3">
        <v>8</v>
      </c>
      <c r="C2705" s="3">
        <v>84</v>
      </c>
      <c r="D2705" s="3">
        <v>56</v>
      </c>
      <c r="E2705" s="3">
        <v>1227.265</v>
      </c>
      <c r="F2705" s="4" t="str">
        <f>HYPERLINK("http://141.218.60.56/~jnz1568/getInfo.php?workbook=18_08.xlsx&amp;sheet=A0&amp;row=2705&amp;col=6&amp;number=163.8&amp;sourceID=14","163.8")</f>
        <v>163.8</v>
      </c>
      <c r="G2705" s="4" t="str">
        <f>HYPERLINK("http://141.218.60.56/~jnz1568/getInfo.php?workbook=18_08.xlsx&amp;sheet=A0&amp;row=2705&amp;col=7&amp;number=0&amp;sourceID=14","0")</f>
        <v>0</v>
      </c>
    </row>
    <row r="2706" spans="1:7">
      <c r="A2706" s="3">
        <v>18</v>
      </c>
      <c r="B2706" s="3">
        <v>8</v>
      </c>
      <c r="C2706" s="3">
        <v>85</v>
      </c>
      <c r="D2706" s="3">
        <v>56</v>
      </c>
      <c r="E2706" s="3">
        <v>1033.998</v>
      </c>
      <c r="F2706" s="4" t="str">
        <f>HYPERLINK("http://141.218.60.56/~jnz1568/getInfo.php?workbook=18_08.xlsx&amp;sheet=A0&amp;row=2706&amp;col=6&amp;number=96.8&amp;sourceID=14","96.8")</f>
        <v>96.8</v>
      </c>
      <c r="G2706" s="4" t="str">
        <f>HYPERLINK("http://141.218.60.56/~jnz1568/getInfo.php?workbook=18_08.xlsx&amp;sheet=A0&amp;row=2706&amp;col=7&amp;number=0&amp;sourceID=14","0")</f>
        <v>0</v>
      </c>
    </row>
    <row r="2707" spans="1:7">
      <c r="A2707" s="3">
        <v>18</v>
      </c>
      <c r="B2707" s="3">
        <v>8</v>
      </c>
      <c r="C2707" s="3">
        <v>86</v>
      </c>
      <c r="D2707" s="3">
        <v>56</v>
      </c>
      <c r="E2707" s="3">
        <v>784.855</v>
      </c>
      <c r="F2707" s="4" t="str">
        <f>HYPERLINK("http://141.218.60.56/~jnz1568/getInfo.php?workbook=18_08.xlsx&amp;sheet=A0&amp;row=2707&amp;col=6&amp;number=10.78&amp;sourceID=14","10.78")</f>
        <v>10.78</v>
      </c>
      <c r="G2707" s="4" t="str">
        <f>HYPERLINK("http://141.218.60.56/~jnz1568/getInfo.php?workbook=18_08.xlsx&amp;sheet=A0&amp;row=2707&amp;col=7&amp;number=0&amp;sourceID=14","0")</f>
        <v>0</v>
      </c>
    </row>
    <row r="2708" spans="1:7">
      <c r="A2708" s="3">
        <v>18</v>
      </c>
      <c r="B2708" s="3">
        <v>8</v>
      </c>
      <c r="C2708" s="3">
        <v>59</v>
      </c>
      <c r="D2708" s="3">
        <v>57</v>
      </c>
      <c r="E2708" s="3">
        <v>-24201.268</v>
      </c>
      <c r="F2708" s="4" t="str">
        <f>HYPERLINK("http://141.218.60.56/~jnz1568/getInfo.php?workbook=18_08.xlsx&amp;sheet=A0&amp;row=2708&amp;col=6&amp;number=1.38&amp;sourceID=14","1.38")</f>
        <v>1.38</v>
      </c>
      <c r="G2708" s="4" t="str">
        <f>HYPERLINK("http://141.218.60.56/~jnz1568/getInfo.php?workbook=18_08.xlsx&amp;sheet=A0&amp;row=2708&amp;col=7&amp;number=0&amp;sourceID=14","0")</f>
        <v>0</v>
      </c>
    </row>
    <row r="2709" spans="1:7">
      <c r="A2709" s="3">
        <v>18</v>
      </c>
      <c r="B2709" s="3">
        <v>8</v>
      </c>
      <c r="C2709" s="3">
        <v>60</v>
      </c>
      <c r="D2709" s="3">
        <v>57</v>
      </c>
      <c r="E2709" s="3">
        <v>-9005.969</v>
      </c>
      <c r="F2709" s="4" t="str">
        <f>HYPERLINK("http://141.218.60.56/~jnz1568/getInfo.php?workbook=18_08.xlsx&amp;sheet=A0&amp;row=2709&amp;col=6&amp;number=1.916&amp;sourceID=14","1.916")</f>
        <v>1.916</v>
      </c>
      <c r="G2709" s="4" t="str">
        <f>HYPERLINK("http://141.218.60.56/~jnz1568/getInfo.php?workbook=18_08.xlsx&amp;sheet=A0&amp;row=2709&amp;col=7&amp;number=0&amp;sourceID=14","0")</f>
        <v>0</v>
      </c>
    </row>
    <row r="2710" spans="1:7">
      <c r="A2710" s="3">
        <v>18</v>
      </c>
      <c r="B2710" s="3">
        <v>8</v>
      </c>
      <c r="C2710" s="3">
        <v>61</v>
      </c>
      <c r="D2710" s="3">
        <v>57</v>
      </c>
      <c r="E2710" s="3">
        <v>-7869.517</v>
      </c>
      <c r="F2710" s="4" t="str">
        <f>HYPERLINK("http://141.218.60.56/~jnz1568/getInfo.php?workbook=18_08.xlsx&amp;sheet=A0&amp;row=2710&amp;col=6&amp;number=0.398&amp;sourceID=14","0.398")</f>
        <v>0.398</v>
      </c>
      <c r="G2710" s="4" t="str">
        <f>HYPERLINK("http://141.218.60.56/~jnz1568/getInfo.php?workbook=18_08.xlsx&amp;sheet=A0&amp;row=2710&amp;col=7&amp;number=0&amp;sourceID=14","0")</f>
        <v>0</v>
      </c>
    </row>
    <row r="2711" spans="1:7">
      <c r="A2711" s="3">
        <v>18</v>
      </c>
      <c r="B2711" s="3">
        <v>8</v>
      </c>
      <c r="C2711" s="3">
        <v>62</v>
      </c>
      <c r="D2711" s="3">
        <v>57</v>
      </c>
      <c r="E2711" s="3">
        <v>-6793.999</v>
      </c>
      <c r="F2711" s="4" t="str">
        <f>HYPERLINK("http://141.218.60.56/~jnz1568/getInfo.php?workbook=18_08.xlsx&amp;sheet=A0&amp;row=2711&amp;col=6&amp;number=0.0006365&amp;sourceID=14","0.0006365")</f>
        <v>0.0006365</v>
      </c>
      <c r="G2711" s="4" t="str">
        <f>HYPERLINK("http://141.218.60.56/~jnz1568/getInfo.php?workbook=18_08.xlsx&amp;sheet=A0&amp;row=2711&amp;col=7&amp;number=0&amp;sourceID=14","0")</f>
        <v>0</v>
      </c>
    </row>
    <row r="2712" spans="1:7">
      <c r="A2712" s="3">
        <v>18</v>
      </c>
      <c r="B2712" s="3">
        <v>8</v>
      </c>
      <c r="C2712" s="3">
        <v>63</v>
      </c>
      <c r="D2712" s="3">
        <v>57</v>
      </c>
      <c r="E2712" s="3">
        <v>-5593.235</v>
      </c>
      <c r="F2712" s="4" t="str">
        <f>HYPERLINK("http://141.218.60.56/~jnz1568/getInfo.php?workbook=18_08.xlsx&amp;sheet=A0&amp;row=2712&amp;col=6&amp;number=1.935&amp;sourceID=14","1.935")</f>
        <v>1.935</v>
      </c>
      <c r="G2712" s="4" t="str">
        <f>HYPERLINK("http://141.218.60.56/~jnz1568/getInfo.php?workbook=18_08.xlsx&amp;sheet=A0&amp;row=2712&amp;col=7&amp;number=0&amp;sourceID=14","0")</f>
        <v>0</v>
      </c>
    </row>
    <row r="2713" spans="1:7">
      <c r="A2713" s="3">
        <v>18</v>
      </c>
      <c r="B2713" s="3">
        <v>8</v>
      </c>
      <c r="C2713" s="3">
        <v>64</v>
      </c>
      <c r="D2713" s="3">
        <v>57</v>
      </c>
      <c r="E2713" s="3">
        <v>-3423.192</v>
      </c>
      <c r="F2713" s="4" t="str">
        <f>HYPERLINK("http://141.218.60.56/~jnz1568/getInfo.php?workbook=18_08.xlsx&amp;sheet=A0&amp;row=2713&amp;col=6&amp;number=0.06152&amp;sourceID=14","0.06152")</f>
        <v>0.06152</v>
      </c>
      <c r="G2713" s="4" t="str">
        <f>HYPERLINK("http://141.218.60.56/~jnz1568/getInfo.php?workbook=18_08.xlsx&amp;sheet=A0&amp;row=2713&amp;col=7&amp;number=0&amp;sourceID=14","0")</f>
        <v>0</v>
      </c>
    </row>
    <row r="2714" spans="1:7">
      <c r="A2714" s="3">
        <v>18</v>
      </c>
      <c r="B2714" s="3">
        <v>8</v>
      </c>
      <c r="C2714" s="3">
        <v>66</v>
      </c>
      <c r="D2714" s="3">
        <v>57</v>
      </c>
      <c r="E2714" s="3">
        <v>-3652.017</v>
      </c>
      <c r="F2714" s="4" t="str">
        <f>HYPERLINK("http://141.218.60.56/~jnz1568/getInfo.php?workbook=18_08.xlsx&amp;sheet=A0&amp;row=2714&amp;col=6&amp;number=0.1215&amp;sourceID=14","0.1215")</f>
        <v>0.1215</v>
      </c>
      <c r="G2714" s="4" t="str">
        <f>HYPERLINK("http://141.218.60.56/~jnz1568/getInfo.php?workbook=18_08.xlsx&amp;sheet=A0&amp;row=2714&amp;col=7&amp;number=0&amp;sourceID=14","0")</f>
        <v>0</v>
      </c>
    </row>
    <row r="2715" spans="1:7">
      <c r="A2715" s="3">
        <v>18</v>
      </c>
      <c r="B2715" s="3">
        <v>8</v>
      </c>
      <c r="C2715" s="3">
        <v>67</v>
      </c>
      <c r="D2715" s="3">
        <v>57</v>
      </c>
      <c r="E2715" s="3">
        <v>-5045.647</v>
      </c>
      <c r="F2715" s="4" t="str">
        <f>HYPERLINK("http://141.218.60.56/~jnz1568/getInfo.php?workbook=18_08.xlsx&amp;sheet=A0&amp;row=2715&amp;col=6&amp;number=0.009234&amp;sourceID=14","0.009234")</f>
        <v>0.009234</v>
      </c>
      <c r="G2715" s="4" t="str">
        <f>HYPERLINK("http://141.218.60.56/~jnz1568/getInfo.php?workbook=18_08.xlsx&amp;sheet=A0&amp;row=2715&amp;col=7&amp;number=0&amp;sourceID=14","0")</f>
        <v>0</v>
      </c>
    </row>
    <row r="2716" spans="1:7">
      <c r="A2716" s="3">
        <v>18</v>
      </c>
      <c r="B2716" s="3">
        <v>8</v>
      </c>
      <c r="C2716" s="3">
        <v>68</v>
      </c>
      <c r="D2716" s="3">
        <v>57</v>
      </c>
      <c r="E2716" s="3">
        <v>-3330.479</v>
      </c>
      <c r="F2716" s="4" t="str">
        <f>HYPERLINK("http://141.218.60.56/~jnz1568/getInfo.php?workbook=18_08.xlsx&amp;sheet=A0&amp;row=2716&amp;col=6&amp;number=0.09385&amp;sourceID=14","0.09385")</f>
        <v>0.09385</v>
      </c>
      <c r="G2716" s="4" t="str">
        <f>HYPERLINK("http://141.218.60.56/~jnz1568/getInfo.php?workbook=18_08.xlsx&amp;sheet=A0&amp;row=2716&amp;col=7&amp;number=0&amp;sourceID=14","0")</f>
        <v>0</v>
      </c>
    </row>
    <row r="2717" spans="1:7">
      <c r="A2717" s="3">
        <v>18</v>
      </c>
      <c r="B2717" s="3">
        <v>8</v>
      </c>
      <c r="C2717" s="3">
        <v>69</v>
      </c>
      <c r="D2717" s="3">
        <v>57</v>
      </c>
      <c r="E2717" s="3">
        <v>-2656.019</v>
      </c>
      <c r="F2717" s="4" t="str">
        <f>HYPERLINK("http://141.218.60.56/~jnz1568/getInfo.php?workbook=18_08.xlsx&amp;sheet=A0&amp;row=2717&amp;col=6&amp;number=6.054&amp;sourceID=14","6.054")</f>
        <v>6.054</v>
      </c>
      <c r="G2717" s="4" t="str">
        <f>HYPERLINK("http://141.218.60.56/~jnz1568/getInfo.php?workbook=18_08.xlsx&amp;sheet=A0&amp;row=2717&amp;col=7&amp;number=0&amp;sourceID=14","0")</f>
        <v>0</v>
      </c>
    </row>
    <row r="2718" spans="1:7">
      <c r="A2718" s="3">
        <v>18</v>
      </c>
      <c r="B2718" s="3">
        <v>8</v>
      </c>
      <c r="C2718" s="3">
        <v>71</v>
      </c>
      <c r="D2718" s="3">
        <v>57</v>
      </c>
      <c r="E2718" s="3">
        <v>-2361.224</v>
      </c>
      <c r="F2718" s="4" t="str">
        <f>HYPERLINK("http://141.218.60.56/~jnz1568/getInfo.php?workbook=18_08.xlsx&amp;sheet=A0&amp;row=2718&amp;col=6&amp;number=0.8238&amp;sourceID=14","0.8238")</f>
        <v>0.8238</v>
      </c>
      <c r="G2718" s="4" t="str">
        <f>HYPERLINK("http://141.218.60.56/~jnz1568/getInfo.php?workbook=18_08.xlsx&amp;sheet=A0&amp;row=2718&amp;col=7&amp;number=0&amp;sourceID=14","0")</f>
        <v>0</v>
      </c>
    </row>
    <row r="2719" spans="1:7">
      <c r="A2719" s="3">
        <v>18</v>
      </c>
      <c r="B2719" s="3">
        <v>8</v>
      </c>
      <c r="C2719" s="3">
        <v>72</v>
      </c>
      <c r="D2719" s="3">
        <v>57</v>
      </c>
      <c r="E2719" s="3">
        <v>-2808.975</v>
      </c>
      <c r="F2719" s="4" t="str">
        <f>HYPERLINK("http://141.218.60.56/~jnz1568/getInfo.php?workbook=18_08.xlsx&amp;sheet=A0&amp;row=2719&amp;col=6&amp;number=34.35&amp;sourceID=14","34.35")</f>
        <v>34.35</v>
      </c>
      <c r="G2719" s="4" t="str">
        <f>HYPERLINK("http://141.218.60.56/~jnz1568/getInfo.php?workbook=18_08.xlsx&amp;sheet=A0&amp;row=2719&amp;col=7&amp;number=0&amp;sourceID=14","0")</f>
        <v>0</v>
      </c>
    </row>
    <row r="2720" spans="1:7">
      <c r="A2720" s="3">
        <v>18</v>
      </c>
      <c r="B2720" s="3">
        <v>8</v>
      </c>
      <c r="C2720" s="3">
        <v>73</v>
      </c>
      <c r="D2720" s="3">
        <v>57</v>
      </c>
      <c r="E2720" s="3">
        <v>-2131.702</v>
      </c>
      <c r="F2720" s="4" t="str">
        <f>HYPERLINK("http://141.218.60.56/~jnz1568/getInfo.php?workbook=18_08.xlsx&amp;sheet=A0&amp;row=2720&amp;col=6&amp;number=0.04033&amp;sourceID=14","0.04033")</f>
        <v>0.04033</v>
      </c>
      <c r="G2720" s="4" t="str">
        <f>HYPERLINK("http://141.218.60.56/~jnz1568/getInfo.php?workbook=18_08.xlsx&amp;sheet=A0&amp;row=2720&amp;col=7&amp;number=0&amp;sourceID=14","0")</f>
        <v>0</v>
      </c>
    </row>
    <row r="2721" spans="1:7">
      <c r="A2721" s="3">
        <v>18</v>
      </c>
      <c r="B2721" s="3">
        <v>8</v>
      </c>
      <c r="C2721" s="3">
        <v>74</v>
      </c>
      <c r="D2721" s="3">
        <v>57</v>
      </c>
      <c r="E2721" s="3">
        <v>-1630.608</v>
      </c>
      <c r="F2721" s="4" t="str">
        <f>HYPERLINK("http://141.218.60.56/~jnz1568/getInfo.php?workbook=18_08.xlsx&amp;sheet=A0&amp;row=2721&amp;col=6&amp;number=18.82&amp;sourceID=14","18.82")</f>
        <v>18.82</v>
      </c>
      <c r="G2721" s="4" t="str">
        <f>HYPERLINK("http://141.218.60.56/~jnz1568/getInfo.php?workbook=18_08.xlsx&amp;sheet=A0&amp;row=2721&amp;col=7&amp;number=0&amp;sourceID=14","0")</f>
        <v>0</v>
      </c>
    </row>
    <row r="2722" spans="1:7">
      <c r="A2722" s="3">
        <v>18</v>
      </c>
      <c r="B2722" s="3">
        <v>8</v>
      </c>
      <c r="C2722" s="3">
        <v>75</v>
      </c>
      <c r="D2722" s="3">
        <v>57</v>
      </c>
      <c r="E2722" s="3">
        <v>-1543.754</v>
      </c>
      <c r="F2722" s="4" t="str">
        <f>HYPERLINK("http://141.218.60.56/~jnz1568/getInfo.php?workbook=18_08.xlsx&amp;sheet=A0&amp;row=2722&amp;col=6&amp;number=6.81&amp;sourceID=14","6.81")</f>
        <v>6.81</v>
      </c>
      <c r="G2722" s="4" t="str">
        <f>HYPERLINK("http://141.218.60.56/~jnz1568/getInfo.php?workbook=18_08.xlsx&amp;sheet=A0&amp;row=2722&amp;col=7&amp;number=0&amp;sourceID=14","0")</f>
        <v>0</v>
      </c>
    </row>
    <row r="2723" spans="1:7">
      <c r="A2723" s="3">
        <v>18</v>
      </c>
      <c r="B2723" s="3">
        <v>8</v>
      </c>
      <c r="C2723" s="3">
        <v>76</v>
      </c>
      <c r="D2723" s="3">
        <v>57</v>
      </c>
      <c r="E2723" s="3">
        <v>-1537.799</v>
      </c>
      <c r="F2723" s="4" t="str">
        <f>HYPERLINK("http://141.218.60.56/~jnz1568/getInfo.php?workbook=18_08.xlsx&amp;sheet=A0&amp;row=2723&amp;col=6&amp;number=33.03&amp;sourceID=14","33.03")</f>
        <v>33.03</v>
      </c>
      <c r="G2723" s="4" t="str">
        <f>HYPERLINK("http://141.218.60.56/~jnz1568/getInfo.php?workbook=18_08.xlsx&amp;sheet=A0&amp;row=2723&amp;col=7&amp;number=0&amp;sourceID=14","0")</f>
        <v>0</v>
      </c>
    </row>
    <row r="2724" spans="1:7">
      <c r="A2724" s="3">
        <v>18</v>
      </c>
      <c r="B2724" s="3">
        <v>8</v>
      </c>
      <c r="C2724" s="3">
        <v>77</v>
      </c>
      <c r="D2724" s="3">
        <v>57</v>
      </c>
      <c r="E2724" s="3">
        <v>-1491.123</v>
      </c>
      <c r="F2724" s="4" t="str">
        <f>HYPERLINK("http://141.218.60.56/~jnz1568/getInfo.php?workbook=18_08.xlsx&amp;sheet=A0&amp;row=2724&amp;col=6&amp;number=6.247&amp;sourceID=14","6.247")</f>
        <v>6.247</v>
      </c>
      <c r="G2724" s="4" t="str">
        <f>HYPERLINK("http://141.218.60.56/~jnz1568/getInfo.php?workbook=18_08.xlsx&amp;sheet=A0&amp;row=2724&amp;col=7&amp;number=0&amp;sourceID=14","0")</f>
        <v>0</v>
      </c>
    </row>
    <row r="2725" spans="1:7">
      <c r="A2725" s="3">
        <v>18</v>
      </c>
      <c r="B2725" s="3">
        <v>8</v>
      </c>
      <c r="C2725" s="3">
        <v>79</v>
      </c>
      <c r="D2725" s="3">
        <v>57</v>
      </c>
      <c r="E2725" s="3">
        <v>-1458.016</v>
      </c>
      <c r="F2725" s="4" t="str">
        <f>HYPERLINK("http://141.218.60.56/~jnz1568/getInfo.php?workbook=18_08.xlsx&amp;sheet=A0&amp;row=2725&amp;col=6&amp;number=2.033&amp;sourceID=14","2.033")</f>
        <v>2.033</v>
      </c>
      <c r="G2725" s="4" t="str">
        <f>HYPERLINK("http://141.218.60.56/~jnz1568/getInfo.php?workbook=18_08.xlsx&amp;sheet=A0&amp;row=2725&amp;col=7&amp;number=0&amp;sourceID=14","0")</f>
        <v>0</v>
      </c>
    </row>
    <row r="2726" spans="1:7">
      <c r="A2726" s="3">
        <v>18</v>
      </c>
      <c r="B2726" s="3">
        <v>8</v>
      </c>
      <c r="C2726" s="3">
        <v>80</v>
      </c>
      <c r="D2726" s="3">
        <v>57</v>
      </c>
      <c r="E2726" s="3">
        <v>-1417.963</v>
      </c>
      <c r="F2726" s="4" t="str">
        <f>HYPERLINK("http://141.218.60.56/~jnz1568/getInfo.php?workbook=18_08.xlsx&amp;sheet=A0&amp;row=2726&amp;col=6&amp;number=5.163&amp;sourceID=14","5.163")</f>
        <v>5.163</v>
      </c>
      <c r="G2726" s="4" t="str">
        <f>HYPERLINK("http://141.218.60.56/~jnz1568/getInfo.php?workbook=18_08.xlsx&amp;sheet=A0&amp;row=2726&amp;col=7&amp;number=0&amp;sourceID=14","0")</f>
        <v>0</v>
      </c>
    </row>
    <row r="2727" spans="1:7">
      <c r="A2727" s="3">
        <v>18</v>
      </c>
      <c r="B2727" s="3">
        <v>8</v>
      </c>
      <c r="C2727" s="3">
        <v>81</v>
      </c>
      <c r="D2727" s="3">
        <v>57</v>
      </c>
      <c r="E2727" s="3">
        <v>-1236.809</v>
      </c>
      <c r="F2727" s="4" t="str">
        <f>HYPERLINK("http://141.218.60.56/~jnz1568/getInfo.php?workbook=18_08.xlsx&amp;sheet=A0&amp;row=2727&amp;col=6&amp;number=26.99&amp;sourceID=14","26.99")</f>
        <v>26.99</v>
      </c>
      <c r="G2727" s="4" t="str">
        <f>HYPERLINK("http://141.218.60.56/~jnz1568/getInfo.php?workbook=18_08.xlsx&amp;sheet=A0&amp;row=2727&amp;col=7&amp;number=0&amp;sourceID=14","0")</f>
        <v>0</v>
      </c>
    </row>
    <row r="2728" spans="1:7">
      <c r="A2728" s="3">
        <v>18</v>
      </c>
      <c r="B2728" s="3">
        <v>8</v>
      </c>
      <c r="C2728" s="3">
        <v>82</v>
      </c>
      <c r="D2728" s="3">
        <v>57</v>
      </c>
      <c r="E2728" s="3">
        <v>-1188.73</v>
      </c>
      <c r="F2728" s="4" t="str">
        <f>HYPERLINK("http://141.218.60.56/~jnz1568/getInfo.php?workbook=18_08.xlsx&amp;sheet=A0&amp;row=2728&amp;col=6&amp;number=70.96&amp;sourceID=14","70.96")</f>
        <v>70.96</v>
      </c>
      <c r="G2728" s="4" t="str">
        <f>HYPERLINK("http://141.218.60.56/~jnz1568/getInfo.php?workbook=18_08.xlsx&amp;sheet=A0&amp;row=2728&amp;col=7&amp;number=0&amp;sourceID=14","0")</f>
        <v>0</v>
      </c>
    </row>
    <row r="2729" spans="1:7">
      <c r="A2729" s="3">
        <v>18</v>
      </c>
      <c r="B2729" s="3">
        <v>8</v>
      </c>
      <c r="C2729" s="3">
        <v>83</v>
      </c>
      <c r="D2729" s="3">
        <v>57</v>
      </c>
      <c r="E2729" s="3">
        <v>-1185.718</v>
      </c>
      <c r="F2729" s="4" t="str">
        <f>HYPERLINK("http://141.218.60.56/~jnz1568/getInfo.php?workbook=18_08.xlsx&amp;sheet=A0&amp;row=2729&amp;col=6&amp;number=1.141&amp;sourceID=14","1.141")</f>
        <v>1.141</v>
      </c>
      <c r="G2729" s="4" t="str">
        <f>HYPERLINK("http://141.218.60.56/~jnz1568/getInfo.php?workbook=18_08.xlsx&amp;sheet=A0&amp;row=2729&amp;col=7&amp;number=0&amp;sourceID=14","0")</f>
        <v>0</v>
      </c>
    </row>
    <row r="2730" spans="1:7">
      <c r="A2730" s="3">
        <v>18</v>
      </c>
      <c r="B2730" s="3">
        <v>8</v>
      </c>
      <c r="C2730" s="3">
        <v>84</v>
      </c>
      <c r="D2730" s="3">
        <v>57</v>
      </c>
      <c r="E2730" s="3">
        <v>-1030.025</v>
      </c>
      <c r="F2730" s="4" t="str">
        <f>HYPERLINK("http://141.218.60.56/~jnz1568/getInfo.php?workbook=18_08.xlsx&amp;sheet=A0&amp;row=2730&amp;col=6&amp;number=55.21&amp;sourceID=14","55.21")</f>
        <v>55.21</v>
      </c>
      <c r="G2730" s="4" t="str">
        <f>HYPERLINK("http://141.218.60.56/~jnz1568/getInfo.php?workbook=18_08.xlsx&amp;sheet=A0&amp;row=2730&amp;col=7&amp;number=0&amp;sourceID=14","0")</f>
        <v>0</v>
      </c>
    </row>
    <row r="2731" spans="1:7">
      <c r="A2731" s="3">
        <v>18</v>
      </c>
      <c r="B2731" s="3">
        <v>8</v>
      </c>
      <c r="C2731" s="3">
        <v>85</v>
      </c>
      <c r="D2731" s="3">
        <v>57</v>
      </c>
      <c r="E2731" s="3">
        <v>-992.676</v>
      </c>
      <c r="F2731" s="4" t="str">
        <f>HYPERLINK("http://141.218.60.56/~jnz1568/getInfo.php?workbook=18_08.xlsx&amp;sheet=A0&amp;row=2731&amp;col=6&amp;number=94.43&amp;sourceID=14","94.43")</f>
        <v>94.43</v>
      </c>
      <c r="G2731" s="4" t="str">
        <f>HYPERLINK("http://141.218.60.56/~jnz1568/getInfo.php?workbook=18_08.xlsx&amp;sheet=A0&amp;row=2731&amp;col=7&amp;number=0&amp;sourceID=14","0")</f>
        <v>0</v>
      </c>
    </row>
    <row r="2732" spans="1:7">
      <c r="A2732" s="3">
        <v>18</v>
      </c>
      <c r="B2732" s="3">
        <v>8</v>
      </c>
      <c r="C2732" s="3">
        <v>86</v>
      </c>
      <c r="D2732" s="3">
        <v>57</v>
      </c>
      <c r="E2732" s="3">
        <v>-759.182</v>
      </c>
      <c r="F2732" s="4" t="str">
        <f>HYPERLINK("http://141.218.60.56/~jnz1568/getInfo.php?workbook=18_08.xlsx&amp;sheet=A0&amp;row=2732&amp;col=6&amp;number=0.02193&amp;sourceID=14","0.02193")</f>
        <v>0.02193</v>
      </c>
      <c r="G2732" s="4" t="str">
        <f>HYPERLINK("http://141.218.60.56/~jnz1568/getInfo.php?workbook=18_08.xlsx&amp;sheet=A0&amp;row=2732&amp;col=7&amp;number=0&amp;sourceID=14","0")</f>
        <v>0</v>
      </c>
    </row>
    <row r="2733" spans="1:7">
      <c r="A2733" s="3">
        <v>18</v>
      </c>
      <c r="B2733" s="3">
        <v>8</v>
      </c>
      <c r="C2733" s="3">
        <v>64</v>
      </c>
      <c r="D2733" s="3">
        <v>58</v>
      </c>
      <c r="E2733" s="3">
        <v>-3775.445</v>
      </c>
      <c r="F2733" s="4" t="str">
        <f>HYPERLINK("http://141.218.60.56/~jnz1568/getInfo.php?workbook=18_08.xlsx&amp;sheet=A0&amp;row=2733&amp;col=6&amp;number=0.0526&amp;sourceID=14","0.0526")</f>
        <v>0.0526</v>
      </c>
      <c r="G2733" s="4" t="str">
        <f>HYPERLINK("http://141.218.60.56/~jnz1568/getInfo.php?workbook=18_08.xlsx&amp;sheet=A0&amp;row=2733&amp;col=7&amp;number=0&amp;sourceID=14","0")</f>
        <v>0</v>
      </c>
    </row>
    <row r="2734" spans="1:7">
      <c r="A2734" s="3">
        <v>18</v>
      </c>
      <c r="B2734" s="3">
        <v>8</v>
      </c>
      <c r="C2734" s="3">
        <v>66</v>
      </c>
      <c r="D2734" s="3">
        <v>58</v>
      </c>
      <c r="E2734" s="3">
        <v>-4055.715</v>
      </c>
      <c r="F2734" s="4" t="str">
        <f>HYPERLINK("http://141.218.60.56/~jnz1568/getInfo.php?workbook=18_08.xlsx&amp;sheet=A0&amp;row=2734&amp;col=6&amp;number=3.338e-08&amp;sourceID=14","3.338e-08")</f>
        <v>3.338e-08</v>
      </c>
      <c r="G2734" s="4" t="str">
        <f>HYPERLINK("http://141.218.60.56/~jnz1568/getInfo.php?workbook=18_08.xlsx&amp;sheet=A0&amp;row=2734&amp;col=7&amp;number=0&amp;sourceID=14","0")</f>
        <v>0</v>
      </c>
    </row>
    <row r="2735" spans="1:7">
      <c r="A2735" s="3">
        <v>18</v>
      </c>
      <c r="B2735" s="3">
        <v>8</v>
      </c>
      <c r="C2735" s="3">
        <v>67</v>
      </c>
      <c r="D2735" s="3">
        <v>58</v>
      </c>
      <c r="E2735" s="3">
        <v>-5850.177</v>
      </c>
      <c r="F2735" s="4" t="str">
        <f>HYPERLINK("http://141.218.60.56/~jnz1568/getInfo.php?workbook=18_08.xlsx&amp;sheet=A0&amp;row=2735&amp;col=6&amp;number=0.06664&amp;sourceID=14","0.06664")</f>
        <v>0.06664</v>
      </c>
      <c r="G2735" s="4" t="str">
        <f>HYPERLINK("http://141.218.60.56/~jnz1568/getInfo.php?workbook=18_08.xlsx&amp;sheet=A0&amp;row=2735&amp;col=7&amp;number=0&amp;sourceID=14","0")</f>
        <v>0</v>
      </c>
    </row>
    <row r="2736" spans="1:7">
      <c r="A2736" s="3">
        <v>18</v>
      </c>
      <c r="B2736" s="3">
        <v>8</v>
      </c>
      <c r="C2736" s="3">
        <v>69</v>
      </c>
      <c r="D2736" s="3">
        <v>58</v>
      </c>
      <c r="E2736" s="3">
        <v>-2863.297</v>
      </c>
      <c r="F2736" s="4" t="str">
        <f>HYPERLINK("http://141.218.60.56/~jnz1568/getInfo.php?workbook=18_08.xlsx&amp;sheet=A0&amp;row=2736&amp;col=6&amp;number=0.01556&amp;sourceID=14","0.01556")</f>
        <v>0.01556</v>
      </c>
      <c r="G2736" s="4" t="str">
        <f>HYPERLINK("http://141.218.60.56/~jnz1568/getInfo.php?workbook=18_08.xlsx&amp;sheet=A0&amp;row=2736&amp;col=7&amp;number=0&amp;sourceID=14","0")</f>
        <v>0</v>
      </c>
    </row>
    <row r="2737" spans="1:7">
      <c r="A2737" s="3">
        <v>18</v>
      </c>
      <c r="B2737" s="3">
        <v>8</v>
      </c>
      <c r="C2737" s="3">
        <v>71</v>
      </c>
      <c r="D2737" s="3">
        <v>58</v>
      </c>
      <c r="E2737" s="3">
        <v>-2523.637</v>
      </c>
      <c r="F2737" s="4" t="str">
        <f>HYPERLINK("http://141.218.60.56/~jnz1568/getInfo.php?workbook=18_08.xlsx&amp;sheet=A0&amp;row=2737&amp;col=6&amp;number=1.822&amp;sourceID=14","1.822")</f>
        <v>1.822</v>
      </c>
      <c r="G2737" s="4" t="str">
        <f>HYPERLINK("http://141.218.60.56/~jnz1568/getInfo.php?workbook=18_08.xlsx&amp;sheet=A0&amp;row=2737&amp;col=7&amp;number=0&amp;sourceID=14","0")</f>
        <v>0</v>
      </c>
    </row>
    <row r="2738" spans="1:7">
      <c r="A2738" s="3">
        <v>18</v>
      </c>
      <c r="B2738" s="3">
        <v>8</v>
      </c>
      <c r="C2738" s="3">
        <v>72</v>
      </c>
      <c r="D2738" s="3">
        <v>58</v>
      </c>
      <c r="E2738" s="3">
        <v>-3041.861</v>
      </c>
      <c r="F2738" s="4" t="str">
        <f>HYPERLINK("http://141.218.60.56/~jnz1568/getInfo.php?workbook=18_08.xlsx&amp;sheet=A0&amp;row=2738&amp;col=6&amp;number=0.1544&amp;sourceID=14","0.1544")</f>
        <v>0.1544</v>
      </c>
      <c r="G2738" s="4" t="str">
        <f>HYPERLINK("http://141.218.60.56/~jnz1568/getInfo.php?workbook=18_08.xlsx&amp;sheet=A0&amp;row=2738&amp;col=7&amp;number=0&amp;sourceID=14","0")</f>
        <v>0</v>
      </c>
    </row>
    <row r="2739" spans="1:7">
      <c r="A2739" s="3">
        <v>18</v>
      </c>
      <c r="B2739" s="3">
        <v>8</v>
      </c>
      <c r="C2739" s="3">
        <v>73</v>
      </c>
      <c r="D2739" s="3">
        <v>58</v>
      </c>
      <c r="E2739" s="3">
        <v>-2263.196</v>
      </c>
      <c r="F2739" s="4" t="str">
        <f>HYPERLINK("http://141.218.60.56/~jnz1568/getInfo.php?workbook=18_08.xlsx&amp;sheet=A0&amp;row=2739&amp;col=6&amp;number=5.585&amp;sourceID=14","5.585")</f>
        <v>5.585</v>
      </c>
      <c r="G2739" s="4" t="str">
        <f>HYPERLINK("http://141.218.60.56/~jnz1568/getInfo.php?workbook=18_08.xlsx&amp;sheet=A0&amp;row=2739&amp;col=7&amp;number=0&amp;sourceID=14","0")</f>
        <v>0</v>
      </c>
    </row>
    <row r="2740" spans="1:7">
      <c r="A2740" s="3">
        <v>18</v>
      </c>
      <c r="B2740" s="3">
        <v>8</v>
      </c>
      <c r="C2740" s="3">
        <v>75</v>
      </c>
      <c r="D2740" s="3">
        <v>58</v>
      </c>
      <c r="E2740" s="3">
        <v>-1611.562</v>
      </c>
      <c r="F2740" s="4" t="str">
        <f>HYPERLINK("http://141.218.60.56/~jnz1568/getInfo.php?workbook=18_08.xlsx&amp;sheet=A0&amp;row=2740&amp;col=6&amp;number=0.04865&amp;sourceID=14","0.04865")</f>
        <v>0.04865</v>
      </c>
      <c r="G2740" s="4" t="str">
        <f>HYPERLINK("http://141.218.60.56/~jnz1568/getInfo.php?workbook=18_08.xlsx&amp;sheet=A0&amp;row=2740&amp;col=7&amp;number=0&amp;sourceID=14","0")</f>
        <v>0</v>
      </c>
    </row>
    <row r="2741" spans="1:7">
      <c r="A2741" s="3">
        <v>18</v>
      </c>
      <c r="B2741" s="3">
        <v>8</v>
      </c>
      <c r="C2741" s="3">
        <v>79</v>
      </c>
      <c r="D2741" s="3">
        <v>58</v>
      </c>
      <c r="E2741" s="3">
        <v>-1518.354</v>
      </c>
      <c r="F2741" s="4" t="str">
        <f>HYPERLINK("http://141.218.60.56/~jnz1568/getInfo.php?workbook=18_08.xlsx&amp;sheet=A0&amp;row=2741&amp;col=6&amp;number=104.9&amp;sourceID=14","104.9")</f>
        <v>104.9</v>
      </c>
      <c r="G2741" s="4" t="str">
        <f>HYPERLINK("http://141.218.60.56/~jnz1568/getInfo.php?workbook=18_08.xlsx&amp;sheet=A0&amp;row=2741&amp;col=7&amp;number=0&amp;sourceID=14","0")</f>
        <v>0</v>
      </c>
    </row>
    <row r="2742" spans="1:7">
      <c r="A2742" s="3">
        <v>18</v>
      </c>
      <c r="B2742" s="3">
        <v>8</v>
      </c>
      <c r="C2742" s="3">
        <v>80</v>
      </c>
      <c r="D2742" s="3">
        <v>58</v>
      </c>
      <c r="E2742" s="3">
        <v>-1474.967</v>
      </c>
      <c r="F2742" s="4" t="str">
        <f>HYPERLINK("http://141.218.60.56/~jnz1568/getInfo.php?workbook=18_08.xlsx&amp;sheet=A0&amp;row=2742&amp;col=6&amp;number=0.04574&amp;sourceID=14","0.04574")</f>
        <v>0.04574</v>
      </c>
      <c r="G2742" s="4" t="str">
        <f>HYPERLINK("http://141.218.60.56/~jnz1568/getInfo.php?workbook=18_08.xlsx&amp;sheet=A0&amp;row=2742&amp;col=7&amp;number=0&amp;sourceID=14","0")</f>
        <v>0</v>
      </c>
    </row>
    <row r="2743" spans="1:7">
      <c r="A2743" s="3">
        <v>18</v>
      </c>
      <c r="B2743" s="3">
        <v>8</v>
      </c>
      <c r="C2743" s="3">
        <v>81</v>
      </c>
      <c r="D2743" s="3">
        <v>58</v>
      </c>
      <c r="E2743" s="3">
        <v>-1279.956</v>
      </c>
      <c r="F2743" s="4" t="str">
        <f>HYPERLINK("http://141.218.60.56/~jnz1568/getInfo.php?workbook=18_08.xlsx&amp;sheet=A0&amp;row=2743&amp;col=6&amp;number=0.9301&amp;sourceID=14","0.9301")</f>
        <v>0.9301</v>
      </c>
      <c r="G2743" s="4" t="str">
        <f>HYPERLINK("http://141.218.60.56/~jnz1568/getInfo.php?workbook=18_08.xlsx&amp;sheet=A0&amp;row=2743&amp;col=7&amp;number=0&amp;sourceID=14","0")</f>
        <v>0</v>
      </c>
    </row>
    <row r="2744" spans="1:7">
      <c r="A2744" s="3">
        <v>18</v>
      </c>
      <c r="B2744" s="3">
        <v>8</v>
      </c>
      <c r="C2744" s="3">
        <v>83</v>
      </c>
      <c r="D2744" s="3">
        <v>58</v>
      </c>
      <c r="E2744" s="3">
        <v>-1225.318</v>
      </c>
      <c r="F2744" s="4" t="str">
        <f>HYPERLINK("http://141.218.60.56/~jnz1568/getInfo.php?workbook=18_08.xlsx&amp;sheet=A0&amp;row=2744&amp;col=6&amp;number=0.7736&amp;sourceID=14","0.7736")</f>
        <v>0.7736</v>
      </c>
      <c r="G2744" s="4" t="str">
        <f>HYPERLINK("http://141.218.60.56/~jnz1568/getInfo.php?workbook=18_08.xlsx&amp;sheet=A0&amp;row=2744&amp;col=7&amp;number=0&amp;sourceID=14","0")</f>
        <v>0</v>
      </c>
    </row>
    <row r="2745" spans="1:7">
      <c r="A2745" s="3">
        <v>18</v>
      </c>
      <c r="B2745" s="3">
        <v>8</v>
      </c>
      <c r="C2745" s="3">
        <v>84</v>
      </c>
      <c r="D2745" s="3">
        <v>58</v>
      </c>
      <c r="E2745" s="3">
        <v>-1059.777</v>
      </c>
      <c r="F2745" s="4" t="str">
        <f>HYPERLINK("http://141.218.60.56/~jnz1568/getInfo.php?workbook=18_08.xlsx&amp;sheet=A0&amp;row=2745&amp;col=6&amp;number=8.738&amp;sourceID=14","8.738")</f>
        <v>8.738</v>
      </c>
      <c r="G2745" s="4" t="str">
        <f>HYPERLINK("http://141.218.60.56/~jnz1568/getInfo.php?workbook=18_08.xlsx&amp;sheet=A0&amp;row=2745&amp;col=7&amp;number=0&amp;sourceID=14","0")</f>
        <v>0</v>
      </c>
    </row>
    <row r="2746" spans="1:7">
      <c r="A2746" s="3">
        <v>18</v>
      </c>
      <c r="B2746" s="3">
        <v>8</v>
      </c>
      <c r="C2746" s="3">
        <v>86</v>
      </c>
      <c r="D2746" s="3">
        <v>58</v>
      </c>
      <c r="E2746" s="3">
        <v>-775.223</v>
      </c>
      <c r="F2746" s="4" t="str">
        <f>HYPERLINK("http://141.218.60.56/~jnz1568/getInfo.php?workbook=18_08.xlsx&amp;sheet=A0&amp;row=2746&amp;col=6&amp;number=1.535&amp;sourceID=14","1.535")</f>
        <v>1.535</v>
      </c>
      <c r="G2746" s="4" t="str">
        <f>HYPERLINK("http://141.218.60.56/~jnz1568/getInfo.php?workbook=18_08.xlsx&amp;sheet=A0&amp;row=2746&amp;col=7&amp;number=0&amp;sourceID=14","0")</f>
        <v>0</v>
      </c>
    </row>
    <row r="2747" spans="1:7">
      <c r="A2747" s="3">
        <v>18</v>
      </c>
      <c r="B2747" s="3">
        <v>8</v>
      </c>
      <c r="C2747" s="3">
        <v>60</v>
      </c>
      <c r="D2747" s="3">
        <v>59</v>
      </c>
      <c r="E2747" s="3">
        <v>-14343.638</v>
      </c>
      <c r="F2747" s="4" t="str">
        <f>HYPERLINK("http://141.218.60.56/~jnz1568/getInfo.php?workbook=18_08.xlsx&amp;sheet=A0&amp;row=2747&amp;col=6&amp;number=0.1995&amp;sourceID=14","0.1995")</f>
        <v>0.1995</v>
      </c>
      <c r="G2747" s="4" t="str">
        <f>HYPERLINK("http://141.218.60.56/~jnz1568/getInfo.php?workbook=18_08.xlsx&amp;sheet=A0&amp;row=2747&amp;col=7&amp;number=0&amp;sourceID=14","0")</f>
        <v>0</v>
      </c>
    </row>
    <row r="2748" spans="1:7">
      <c r="A2748" s="3">
        <v>18</v>
      </c>
      <c r="B2748" s="3">
        <v>8</v>
      </c>
      <c r="C2748" s="3">
        <v>61</v>
      </c>
      <c r="D2748" s="3">
        <v>59</v>
      </c>
      <c r="E2748" s="3">
        <v>-11661.475</v>
      </c>
      <c r="F2748" s="4" t="str">
        <f>HYPERLINK("http://141.218.60.56/~jnz1568/getInfo.php?workbook=18_08.xlsx&amp;sheet=A0&amp;row=2748&amp;col=6&amp;number=1.313&amp;sourceID=14","1.313")</f>
        <v>1.313</v>
      </c>
      <c r="G2748" s="4" t="str">
        <f>HYPERLINK("http://141.218.60.56/~jnz1568/getInfo.php?workbook=18_08.xlsx&amp;sheet=A0&amp;row=2748&amp;col=7&amp;number=0&amp;sourceID=14","0")</f>
        <v>0</v>
      </c>
    </row>
    <row r="2749" spans="1:7">
      <c r="A2749" s="3">
        <v>18</v>
      </c>
      <c r="B2749" s="3">
        <v>8</v>
      </c>
      <c r="C2749" s="3">
        <v>62</v>
      </c>
      <c r="D2749" s="3">
        <v>59</v>
      </c>
      <c r="E2749" s="3">
        <v>-9445.673</v>
      </c>
      <c r="F2749" s="4" t="str">
        <f>HYPERLINK("http://141.218.60.56/~jnz1568/getInfo.php?workbook=18_08.xlsx&amp;sheet=A0&amp;row=2749&amp;col=6&amp;number=2.519&amp;sourceID=14","2.519")</f>
        <v>2.519</v>
      </c>
      <c r="G2749" s="4" t="str">
        <f>HYPERLINK("http://141.218.60.56/~jnz1568/getInfo.php?workbook=18_08.xlsx&amp;sheet=A0&amp;row=2749&amp;col=7&amp;number=0&amp;sourceID=14","0")</f>
        <v>0</v>
      </c>
    </row>
    <row r="2750" spans="1:7">
      <c r="A2750" s="3">
        <v>18</v>
      </c>
      <c r="B2750" s="3">
        <v>8</v>
      </c>
      <c r="C2750" s="3">
        <v>63</v>
      </c>
      <c r="D2750" s="3">
        <v>59</v>
      </c>
      <c r="E2750" s="3">
        <v>-7274.459</v>
      </c>
      <c r="F2750" s="4" t="str">
        <f>HYPERLINK("http://141.218.60.56/~jnz1568/getInfo.php?workbook=18_08.xlsx&amp;sheet=A0&amp;row=2750&amp;col=6&amp;number=0.7038&amp;sourceID=14","0.7038")</f>
        <v>0.7038</v>
      </c>
      <c r="G2750" s="4" t="str">
        <f>HYPERLINK("http://141.218.60.56/~jnz1568/getInfo.php?workbook=18_08.xlsx&amp;sheet=A0&amp;row=2750&amp;col=7&amp;number=0&amp;sourceID=14","0")</f>
        <v>0</v>
      </c>
    </row>
    <row r="2751" spans="1:7">
      <c r="A2751" s="3">
        <v>18</v>
      </c>
      <c r="B2751" s="3">
        <v>8</v>
      </c>
      <c r="C2751" s="3">
        <v>66</v>
      </c>
      <c r="D2751" s="3">
        <v>59</v>
      </c>
      <c r="E2751" s="3">
        <v>-4301.054</v>
      </c>
      <c r="F2751" s="4" t="str">
        <f>HYPERLINK("http://141.218.60.56/~jnz1568/getInfo.php?workbook=18_08.xlsx&amp;sheet=A0&amp;row=2751&amp;col=6&amp;number=0.02175&amp;sourceID=14","0.02175")</f>
        <v>0.02175</v>
      </c>
      <c r="G2751" s="4" t="str">
        <f>HYPERLINK("http://141.218.60.56/~jnz1568/getInfo.php?workbook=18_08.xlsx&amp;sheet=A0&amp;row=2751&amp;col=7&amp;number=0&amp;sourceID=14","0")</f>
        <v>0</v>
      </c>
    </row>
    <row r="2752" spans="1:7">
      <c r="A2752" s="3">
        <v>18</v>
      </c>
      <c r="B2752" s="3">
        <v>8</v>
      </c>
      <c r="C2752" s="3">
        <v>68</v>
      </c>
      <c r="D2752" s="3">
        <v>59</v>
      </c>
      <c r="E2752" s="3">
        <v>-3861.943</v>
      </c>
      <c r="F2752" s="4" t="str">
        <f>HYPERLINK("http://141.218.60.56/~jnz1568/getInfo.php?workbook=18_08.xlsx&amp;sheet=A0&amp;row=2752&amp;col=6&amp;number=0.08262&amp;sourceID=14","0.08262")</f>
        <v>0.08262</v>
      </c>
      <c r="G2752" s="4" t="str">
        <f>HYPERLINK("http://141.218.60.56/~jnz1568/getInfo.php?workbook=18_08.xlsx&amp;sheet=A0&amp;row=2752&amp;col=7&amp;number=0&amp;sourceID=14","0")</f>
        <v>0</v>
      </c>
    </row>
    <row r="2753" spans="1:7">
      <c r="A2753" s="3">
        <v>18</v>
      </c>
      <c r="B2753" s="3">
        <v>8</v>
      </c>
      <c r="C2753" s="3">
        <v>69</v>
      </c>
      <c r="D2753" s="3">
        <v>59</v>
      </c>
      <c r="E2753" s="3">
        <v>-2983.443</v>
      </c>
      <c r="F2753" s="4" t="str">
        <f>HYPERLINK("http://141.218.60.56/~jnz1568/getInfo.php?workbook=18_08.xlsx&amp;sheet=A0&amp;row=2753&amp;col=6&amp;number=0.2031&amp;sourceID=14","0.2031")</f>
        <v>0.2031</v>
      </c>
      <c r="G2753" s="4" t="str">
        <f>HYPERLINK("http://141.218.60.56/~jnz1568/getInfo.php?workbook=18_08.xlsx&amp;sheet=A0&amp;row=2753&amp;col=7&amp;number=0&amp;sourceID=14","0")</f>
        <v>0</v>
      </c>
    </row>
    <row r="2754" spans="1:7">
      <c r="A2754" s="3">
        <v>18</v>
      </c>
      <c r="B2754" s="3">
        <v>8</v>
      </c>
      <c r="C2754" s="3">
        <v>72</v>
      </c>
      <c r="D2754" s="3">
        <v>59</v>
      </c>
      <c r="E2754" s="3">
        <v>-3177.815</v>
      </c>
      <c r="F2754" s="4" t="str">
        <f>HYPERLINK("http://141.218.60.56/~jnz1568/getInfo.php?workbook=18_08.xlsx&amp;sheet=A0&amp;row=2754&amp;col=6&amp;number=0.0002399&amp;sourceID=14","0.0002399")</f>
        <v>0.0002399</v>
      </c>
      <c r="G2754" s="4" t="str">
        <f>HYPERLINK("http://141.218.60.56/~jnz1568/getInfo.php?workbook=18_08.xlsx&amp;sheet=A0&amp;row=2754&amp;col=7&amp;number=0&amp;sourceID=14","0")</f>
        <v>0</v>
      </c>
    </row>
    <row r="2755" spans="1:7">
      <c r="A2755" s="3">
        <v>18</v>
      </c>
      <c r="B2755" s="3">
        <v>8</v>
      </c>
      <c r="C2755" s="3">
        <v>74</v>
      </c>
      <c r="D2755" s="3">
        <v>59</v>
      </c>
      <c r="E2755" s="3">
        <v>-1748.41</v>
      </c>
      <c r="F2755" s="4" t="str">
        <f>HYPERLINK("http://141.218.60.56/~jnz1568/getInfo.php?workbook=18_08.xlsx&amp;sheet=A0&amp;row=2755&amp;col=6&amp;number=23.28&amp;sourceID=14","23.28")</f>
        <v>23.28</v>
      </c>
      <c r="G2755" s="4" t="str">
        <f>HYPERLINK("http://141.218.60.56/~jnz1568/getInfo.php?workbook=18_08.xlsx&amp;sheet=A0&amp;row=2755&amp;col=7&amp;number=0&amp;sourceID=14","0")</f>
        <v>0</v>
      </c>
    </row>
    <row r="2756" spans="1:7">
      <c r="A2756" s="3">
        <v>18</v>
      </c>
      <c r="B2756" s="3">
        <v>8</v>
      </c>
      <c r="C2756" s="3">
        <v>75</v>
      </c>
      <c r="D2756" s="3">
        <v>59</v>
      </c>
      <c r="E2756" s="3">
        <v>-1648.937</v>
      </c>
      <c r="F2756" s="4" t="str">
        <f>HYPERLINK("http://141.218.60.56/~jnz1568/getInfo.php?workbook=18_08.xlsx&amp;sheet=A0&amp;row=2756&amp;col=6&amp;number=0.0008684&amp;sourceID=14","0.0008684")</f>
        <v>0.0008684</v>
      </c>
      <c r="G2756" s="4" t="str">
        <f>HYPERLINK("http://141.218.60.56/~jnz1568/getInfo.php?workbook=18_08.xlsx&amp;sheet=A0&amp;row=2756&amp;col=7&amp;number=0&amp;sourceID=14","0")</f>
        <v>0</v>
      </c>
    </row>
    <row r="2757" spans="1:7">
      <c r="A2757" s="3">
        <v>18</v>
      </c>
      <c r="B2757" s="3">
        <v>8</v>
      </c>
      <c r="C2757" s="3">
        <v>76</v>
      </c>
      <c r="D2757" s="3">
        <v>59</v>
      </c>
      <c r="E2757" s="3">
        <v>-1642.144</v>
      </c>
      <c r="F2757" s="4" t="str">
        <f>HYPERLINK("http://141.218.60.56/~jnz1568/getInfo.php?workbook=18_08.xlsx&amp;sheet=A0&amp;row=2757&amp;col=6&amp;number=53.54&amp;sourceID=14","53.54")</f>
        <v>53.54</v>
      </c>
      <c r="G2757" s="4" t="str">
        <f>HYPERLINK("http://141.218.60.56/~jnz1568/getInfo.php?workbook=18_08.xlsx&amp;sheet=A0&amp;row=2757&amp;col=7&amp;number=0&amp;sourceID=14","0")</f>
        <v>0</v>
      </c>
    </row>
    <row r="2758" spans="1:7">
      <c r="A2758" s="3">
        <v>18</v>
      </c>
      <c r="B2758" s="3">
        <v>8</v>
      </c>
      <c r="C2758" s="3">
        <v>77</v>
      </c>
      <c r="D2758" s="3">
        <v>59</v>
      </c>
      <c r="E2758" s="3">
        <v>-1589.029</v>
      </c>
      <c r="F2758" s="4" t="str">
        <f>HYPERLINK("http://141.218.60.56/~jnz1568/getInfo.php?workbook=18_08.xlsx&amp;sheet=A0&amp;row=2758&amp;col=6&amp;number=6.016&amp;sourceID=14","6.016")</f>
        <v>6.016</v>
      </c>
      <c r="G2758" s="4" t="str">
        <f>HYPERLINK("http://141.218.60.56/~jnz1568/getInfo.php?workbook=18_08.xlsx&amp;sheet=A0&amp;row=2758&amp;col=7&amp;number=0&amp;sourceID=14","0")</f>
        <v>0</v>
      </c>
    </row>
    <row r="2759" spans="1:7">
      <c r="A2759" s="3">
        <v>18</v>
      </c>
      <c r="B2759" s="3">
        <v>8</v>
      </c>
      <c r="C2759" s="3">
        <v>80</v>
      </c>
      <c r="D2759" s="3">
        <v>59</v>
      </c>
      <c r="E2759" s="3">
        <v>-1506.213</v>
      </c>
      <c r="F2759" s="4" t="str">
        <f>HYPERLINK("http://141.218.60.56/~jnz1568/getInfo.php?workbook=18_08.xlsx&amp;sheet=A0&amp;row=2759&amp;col=6&amp;number=3.856&amp;sourceID=14","3.856")</f>
        <v>3.856</v>
      </c>
      <c r="G2759" s="4" t="str">
        <f>HYPERLINK("http://141.218.60.56/~jnz1568/getInfo.php?workbook=18_08.xlsx&amp;sheet=A0&amp;row=2759&amp;col=7&amp;number=0&amp;sourceID=14","0")</f>
        <v>0</v>
      </c>
    </row>
    <row r="2760" spans="1:7">
      <c r="A2760" s="3">
        <v>18</v>
      </c>
      <c r="B2760" s="3">
        <v>8</v>
      </c>
      <c r="C2760" s="3">
        <v>81</v>
      </c>
      <c r="D2760" s="3">
        <v>59</v>
      </c>
      <c r="E2760" s="3">
        <v>-1303.42</v>
      </c>
      <c r="F2760" s="4" t="str">
        <f>HYPERLINK("http://141.218.60.56/~jnz1568/getInfo.php?workbook=18_08.xlsx&amp;sheet=A0&amp;row=2760&amp;col=6&amp;number=2.233&amp;sourceID=14","2.233")</f>
        <v>2.233</v>
      </c>
      <c r="G2760" s="4" t="str">
        <f>HYPERLINK("http://141.218.60.56/~jnz1568/getInfo.php?workbook=18_08.xlsx&amp;sheet=A0&amp;row=2760&amp;col=7&amp;number=0&amp;sourceID=14","0")</f>
        <v>0</v>
      </c>
    </row>
    <row r="2761" spans="1:7">
      <c r="A2761" s="3">
        <v>18</v>
      </c>
      <c r="B2761" s="3">
        <v>8</v>
      </c>
      <c r="C2761" s="3">
        <v>82</v>
      </c>
      <c r="D2761" s="3">
        <v>59</v>
      </c>
      <c r="E2761" s="3">
        <v>-1250.135</v>
      </c>
      <c r="F2761" s="4" t="str">
        <f>HYPERLINK("http://141.218.60.56/~jnz1568/getInfo.php?workbook=18_08.xlsx&amp;sheet=A0&amp;row=2761&amp;col=6&amp;number=94.92&amp;sourceID=14","94.92")</f>
        <v>94.92</v>
      </c>
      <c r="G2761" s="4" t="str">
        <f>HYPERLINK("http://141.218.60.56/~jnz1568/getInfo.php?workbook=18_08.xlsx&amp;sheet=A0&amp;row=2761&amp;col=7&amp;number=0&amp;sourceID=14","0")</f>
        <v>0</v>
      </c>
    </row>
    <row r="2762" spans="1:7">
      <c r="A2762" s="3">
        <v>18</v>
      </c>
      <c r="B2762" s="3">
        <v>8</v>
      </c>
      <c r="C2762" s="3">
        <v>84</v>
      </c>
      <c r="D2762" s="3">
        <v>59</v>
      </c>
      <c r="E2762" s="3">
        <v>-1075.812</v>
      </c>
      <c r="F2762" s="4" t="str">
        <f>HYPERLINK("http://141.218.60.56/~jnz1568/getInfo.php?workbook=18_08.xlsx&amp;sheet=A0&amp;row=2762&amp;col=6&amp;number=0.009778&amp;sourceID=14","0.009778")</f>
        <v>0.009778</v>
      </c>
      <c r="G2762" s="4" t="str">
        <f>HYPERLINK("http://141.218.60.56/~jnz1568/getInfo.php?workbook=18_08.xlsx&amp;sheet=A0&amp;row=2762&amp;col=7&amp;number=0&amp;sourceID=14","0")</f>
        <v>0</v>
      </c>
    </row>
    <row r="2763" spans="1:7">
      <c r="A2763" s="3">
        <v>18</v>
      </c>
      <c r="B2763" s="3">
        <v>8</v>
      </c>
      <c r="C2763" s="3">
        <v>85</v>
      </c>
      <c r="D2763" s="3">
        <v>59</v>
      </c>
      <c r="E2763" s="3">
        <v>-1035.135</v>
      </c>
      <c r="F2763" s="4" t="str">
        <f>HYPERLINK("http://141.218.60.56/~jnz1568/getInfo.php?workbook=18_08.xlsx&amp;sheet=A0&amp;row=2763&amp;col=6&amp;number=0.6524&amp;sourceID=14","0.6524")</f>
        <v>0.6524</v>
      </c>
      <c r="G2763" s="4" t="str">
        <f>HYPERLINK("http://141.218.60.56/~jnz1568/getInfo.php?workbook=18_08.xlsx&amp;sheet=A0&amp;row=2763&amp;col=7&amp;number=0&amp;sourceID=14","0")</f>
        <v>0</v>
      </c>
    </row>
    <row r="2764" spans="1:7">
      <c r="A2764" s="3">
        <v>18</v>
      </c>
      <c r="B2764" s="3">
        <v>8</v>
      </c>
      <c r="C2764" s="3">
        <v>61</v>
      </c>
      <c r="D2764" s="3">
        <v>60</v>
      </c>
      <c r="E2764" s="3">
        <v>-62363.074</v>
      </c>
      <c r="F2764" s="4" t="str">
        <f>HYPERLINK("http://141.218.60.56/~jnz1568/getInfo.php?workbook=18_08.xlsx&amp;sheet=A0&amp;row=2764&amp;col=6&amp;number=0.09729&amp;sourceID=14","0.09729")</f>
        <v>0.09729</v>
      </c>
      <c r="G2764" s="4" t="str">
        <f>HYPERLINK("http://141.218.60.56/~jnz1568/getInfo.php?workbook=18_08.xlsx&amp;sheet=A0&amp;row=2764&amp;col=7&amp;number=0&amp;sourceID=14","0")</f>
        <v>0</v>
      </c>
    </row>
    <row r="2765" spans="1:7">
      <c r="A2765" s="3">
        <v>18</v>
      </c>
      <c r="B2765" s="3">
        <v>8</v>
      </c>
      <c r="C2765" s="3">
        <v>62</v>
      </c>
      <c r="D2765" s="3">
        <v>60</v>
      </c>
      <c r="E2765" s="3">
        <v>-27661.553</v>
      </c>
      <c r="F2765" s="4" t="str">
        <f>HYPERLINK("http://141.218.60.56/~jnz1568/getInfo.php?workbook=18_08.xlsx&amp;sheet=A0&amp;row=2765&amp;col=6&amp;number=8.187e-10&amp;sourceID=14","8.187e-10")</f>
        <v>8.187e-10</v>
      </c>
      <c r="G2765" s="4" t="str">
        <f>HYPERLINK("http://141.218.60.56/~jnz1568/getInfo.php?workbook=18_08.xlsx&amp;sheet=A0&amp;row=2765&amp;col=7&amp;number=0&amp;sourceID=14","0")</f>
        <v>0</v>
      </c>
    </row>
    <row r="2766" spans="1:7">
      <c r="A2766" s="3">
        <v>18</v>
      </c>
      <c r="B2766" s="3">
        <v>8</v>
      </c>
      <c r="C2766" s="3">
        <v>63</v>
      </c>
      <c r="D2766" s="3">
        <v>60</v>
      </c>
      <c r="E2766" s="3">
        <v>-14760.161</v>
      </c>
      <c r="F2766" s="4" t="str">
        <f>HYPERLINK("http://141.218.60.56/~jnz1568/getInfo.php?workbook=18_08.xlsx&amp;sheet=A0&amp;row=2766&amp;col=6&amp;number=0.2838&amp;sourceID=14","0.2838")</f>
        <v>0.2838</v>
      </c>
      <c r="G2766" s="4" t="str">
        <f>HYPERLINK("http://141.218.60.56/~jnz1568/getInfo.php?workbook=18_08.xlsx&amp;sheet=A0&amp;row=2766&amp;col=7&amp;number=0&amp;sourceID=14","0")</f>
        <v>0</v>
      </c>
    </row>
    <row r="2767" spans="1:7">
      <c r="A2767" s="3">
        <v>18</v>
      </c>
      <c r="B2767" s="3">
        <v>8</v>
      </c>
      <c r="C2767" s="3">
        <v>64</v>
      </c>
      <c r="D2767" s="3">
        <v>60</v>
      </c>
      <c r="E2767" s="3">
        <v>-5522.19</v>
      </c>
      <c r="F2767" s="4" t="str">
        <f>HYPERLINK("http://141.218.60.56/~jnz1568/getInfo.php?workbook=18_08.xlsx&amp;sheet=A0&amp;row=2767&amp;col=6&amp;number=0.001623&amp;sourceID=14","0.001623")</f>
        <v>0.001623</v>
      </c>
      <c r="G2767" s="4" t="str">
        <f>HYPERLINK("http://141.218.60.56/~jnz1568/getInfo.php?workbook=18_08.xlsx&amp;sheet=A0&amp;row=2767&amp;col=7&amp;number=0&amp;sourceID=14","0")</f>
        <v>0</v>
      </c>
    </row>
    <row r="2768" spans="1:7">
      <c r="A2768" s="3">
        <v>18</v>
      </c>
      <c r="B2768" s="3">
        <v>8</v>
      </c>
      <c r="C2768" s="3">
        <v>66</v>
      </c>
      <c r="D2768" s="3">
        <v>60</v>
      </c>
      <c r="E2768" s="3">
        <v>-6143.116</v>
      </c>
      <c r="F2768" s="4" t="str">
        <f>HYPERLINK("http://141.218.60.56/~jnz1568/getInfo.php?workbook=18_08.xlsx&amp;sheet=A0&amp;row=2768&amp;col=6&amp;number=0.1123&amp;sourceID=14","0.1123")</f>
        <v>0.1123</v>
      </c>
      <c r="G2768" s="4" t="str">
        <f>HYPERLINK("http://141.218.60.56/~jnz1568/getInfo.php?workbook=18_08.xlsx&amp;sheet=A0&amp;row=2768&amp;col=7&amp;number=0&amp;sourceID=14","0")</f>
        <v>0</v>
      </c>
    </row>
    <row r="2769" spans="1:7">
      <c r="A2769" s="3">
        <v>18</v>
      </c>
      <c r="B2769" s="3">
        <v>8</v>
      </c>
      <c r="C2769" s="3">
        <v>67</v>
      </c>
      <c r="D2769" s="3">
        <v>60</v>
      </c>
      <c r="E2769" s="3">
        <v>-11474.054</v>
      </c>
      <c r="F2769" s="4" t="str">
        <f>HYPERLINK("http://141.218.60.56/~jnz1568/getInfo.php?workbook=18_08.xlsx&amp;sheet=A0&amp;row=2769&amp;col=6&amp;number=0.0001012&amp;sourceID=14","0.0001012")</f>
        <v>0.0001012</v>
      </c>
      <c r="G2769" s="4" t="str">
        <f>HYPERLINK("http://141.218.60.56/~jnz1568/getInfo.php?workbook=18_08.xlsx&amp;sheet=A0&amp;row=2769&amp;col=7&amp;number=0&amp;sourceID=14","0")</f>
        <v>0</v>
      </c>
    </row>
    <row r="2770" spans="1:7">
      <c r="A2770" s="3">
        <v>18</v>
      </c>
      <c r="B2770" s="3">
        <v>8</v>
      </c>
      <c r="C2770" s="3">
        <v>68</v>
      </c>
      <c r="D2770" s="3">
        <v>60</v>
      </c>
      <c r="E2770" s="3">
        <v>-5284.862</v>
      </c>
      <c r="F2770" s="4" t="str">
        <f>HYPERLINK("http://141.218.60.56/~jnz1568/getInfo.php?workbook=18_08.xlsx&amp;sheet=A0&amp;row=2770&amp;col=6&amp;number=1.49&amp;sourceID=14","1.49")</f>
        <v>1.49</v>
      </c>
      <c r="G2770" s="4" t="str">
        <f>HYPERLINK("http://141.218.60.56/~jnz1568/getInfo.php?workbook=18_08.xlsx&amp;sheet=A0&amp;row=2770&amp;col=7&amp;number=0&amp;sourceID=14","0")</f>
        <v>0</v>
      </c>
    </row>
    <row r="2771" spans="1:7">
      <c r="A2771" s="3">
        <v>18</v>
      </c>
      <c r="B2771" s="3">
        <v>8</v>
      </c>
      <c r="C2771" s="3">
        <v>69</v>
      </c>
      <c r="D2771" s="3">
        <v>60</v>
      </c>
      <c r="E2771" s="3">
        <v>-3766.963</v>
      </c>
      <c r="F2771" s="4" t="str">
        <f>HYPERLINK("http://141.218.60.56/~jnz1568/getInfo.php?workbook=18_08.xlsx&amp;sheet=A0&amp;row=2771&amp;col=6&amp;number=0.2306&amp;sourceID=14","0.2306")</f>
        <v>0.2306</v>
      </c>
      <c r="G2771" s="4" t="str">
        <f>HYPERLINK("http://141.218.60.56/~jnz1568/getInfo.php?workbook=18_08.xlsx&amp;sheet=A0&amp;row=2771&amp;col=7&amp;number=0&amp;sourceID=14","0")</f>
        <v>0</v>
      </c>
    </row>
    <row r="2772" spans="1:7">
      <c r="A2772" s="3">
        <v>18</v>
      </c>
      <c r="B2772" s="3">
        <v>8</v>
      </c>
      <c r="C2772" s="3">
        <v>71</v>
      </c>
      <c r="D2772" s="3">
        <v>60</v>
      </c>
      <c r="E2772" s="3">
        <v>-3200.29</v>
      </c>
      <c r="F2772" s="4" t="str">
        <f>HYPERLINK("http://141.218.60.56/~jnz1568/getInfo.php?workbook=18_08.xlsx&amp;sheet=A0&amp;row=2772&amp;col=6&amp;number=0.01312&amp;sourceID=14","0.01312")</f>
        <v>0.01312</v>
      </c>
      <c r="G2772" s="4" t="str">
        <f>HYPERLINK("http://141.218.60.56/~jnz1568/getInfo.php?workbook=18_08.xlsx&amp;sheet=A0&amp;row=2772&amp;col=7&amp;number=0&amp;sourceID=14","0")</f>
        <v>0</v>
      </c>
    </row>
    <row r="2773" spans="1:7">
      <c r="A2773" s="3">
        <v>18</v>
      </c>
      <c r="B2773" s="3">
        <v>8</v>
      </c>
      <c r="C2773" s="3">
        <v>72</v>
      </c>
      <c r="D2773" s="3">
        <v>60</v>
      </c>
      <c r="E2773" s="3">
        <v>-4082.228</v>
      </c>
      <c r="F2773" s="4" t="str">
        <f>HYPERLINK("http://141.218.60.56/~jnz1568/getInfo.php?workbook=18_08.xlsx&amp;sheet=A0&amp;row=2773&amp;col=6&amp;number=0.2738&amp;sourceID=14","0.2738")</f>
        <v>0.2738</v>
      </c>
      <c r="G2773" s="4" t="str">
        <f>HYPERLINK("http://141.218.60.56/~jnz1568/getInfo.php?workbook=18_08.xlsx&amp;sheet=A0&amp;row=2773&amp;col=7&amp;number=0&amp;sourceID=14","0")</f>
        <v>0</v>
      </c>
    </row>
    <row r="2774" spans="1:7">
      <c r="A2774" s="3">
        <v>18</v>
      </c>
      <c r="B2774" s="3">
        <v>8</v>
      </c>
      <c r="C2774" s="3">
        <v>73</v>
      </c>
      <c r="D2774" s="3">
        <v>60</v>
      </c>
      <c r="E2774" s="3">
        <v>-2792.74</v>
      </c>
      <c r="F2774" s="4" t="str">
        <f>HYPERLINK("http://141.218.60.56/~jnz1568/getInfo.php?workbook=18_08.xlsx&amp;sheet=A0&amp;row=2774&amp;col=6&amp;number=0.005524&amp;sourceID=14","0.005524")</f>
        <v>0.005524</v>
      </c>
      <c r="G2774" s="4" t="str">
        <f>HYPERLINK("http://141.218.60.56/~jnz1568/getInfo.php?workbook=18_08.xlsx&amp;sheet=A0&amp;row=2774&amp;col=7&amp;number=0&amp;sourceID=14","0")</f>
        <v>0</v>
      </c>
    </row>
    <row r="2775" spans="1:7">
      <c r="A2775" s="3">
        <v>18</v>
      </c>
      <c r="B2775" s="3">
        <v>8</v>
      </c>
      <c r="C2775" s="3">
        <v>74</v>
      </c>
      <c r="D2775" s="3">
        <v>60</v>
      </c>
      <c r="E2775" s="3">
        <v>-1991.116</v>
      </c>
      <c r="F2775" s="4" t="str">
        <f>HYPERLINK("http://141.218.60.56/~jnz1568/getInfo.php?workbook=18_08.xlsx&amp;sheet=A0&amp;row=2775&amp;col=6&amp;number=120.5&amp;sourceID=14","120.5")</f>
        <v>120.5</v>
      </c>
      <c r="G2775" s="4" t="str">
        <f>HYPERLINK("http://141.218.60.56/~jnz1568/getInfo.php?workbook=18_08.xlsx&amp;sheet=A0&amp;row=2775&amp;col=7&amp;number=0&amp;sourceID=14","0")</f>
        <v>0</v>
      </c>
    </row>
    <row r="2776" spans="1:7">
      <c r="A2776" s="3">
        <v>18</v>
      </c>
      <c r="B2776" s="3">
        <v>8</v>
      </c>
      <c r="C2776" s="3">
        <v>75</v>
      </c>
      <c r="D2776" s="3">
        <v>60</v>
      </c>
      <c r="E2776" s="3">
        <v>-1863.12</v>
      </c>
      <c r="F2776" s="4" t="str">
        <f>HYPERLINK("http://141.218.60.56/~jnz1568/getInfo.php?workbook=18_08.xlsx&amp;sheet=A0&amp;row=2776&amp;col=6&amp;number=176.4&amp;sourceID=14","176.4")</f>
        <v>176.4</v>
      </c>
      <c r="G2776" s="4" t="str">
        <f>HYPERLINK("http://141.218.60.56/~jnz1568/getInfo.php?workbook=18_08.xlsx&amp;sheet=A0&amp;row=2776&amp;col=7&amp;number=0&amp;sourceID=14","0")</f>
        <v>0</v>
      </c>
    </row>
    <row r="2777" spans="1:7">
      <c r="A2777" s="3">
        <v>18</v>
      </c>
      <c r="B2777" s="3">
        <v>8</v>
      </c>
      <c r="C2777" s="3">
        <v>76</v>
      </c>
      <c r="D2777" s="3">
        <v>60</v>
      </c>
      <c r="E2777" s="3">
        <v>-1854.453</v>
      </c>
      <c r="F2777" s="4" t="str">
        <f>HYPERLINK("http://141.218.60.56/~jnz1568/getInfo.php?workbook=18_08.xlsx&amp;sheet=A0&amp;row=2777&amp;col=6&amp;number=16.59&amp;sourceID=14","16.59")</f>
        <v>16.59</v>
      </c>
      <c r="G2777" s="4" t="str">
        <f>HYPERLINK("http://141.218.60.56/~jnz1568/getInfo.php?workbook=18_08.xlsx&amp;sheet=A0&amp;row=2777&amp;col=7&amp;number=0&amp;sourceID=14","0")</f>
        <v>0</v>
      </c>
    </row>
    <row r="2778" spans="1:7">
      <c r="A2778" s="3">
        <v>18</v>
      </c>
      <c r="B2778" s="3">
        <v>8</v>
      </c>
      <c r="C2778" s="3">
        <v>77</v>
      </c>
      <c r="D2778" s="3">
        <v>60</v>
      </c>
      <c r="E2778" s="3">
        <v>-1786.997</v>
      </c>
      <c r="F2778" s="4" t="str">
        <f>HYPERLINK("http://141.218.60.56/~jnz1568/getInfo.php?workbook=18_08.xlsx&amp;sheet=A0&amp;row=2778&amp;col=6&amp;number=36.28&amp;sourceID=14","36.28")</f>
        <v>36.28</v>
      </c>
      <c r="G2778" s="4" t="str">
        <f>HYPERLINK("http://141.218.60.56/~jnz1568/getInfo.php?workbook=18_08.xlsx&amp;sheet=A0&amp;row=2778&amp;col=7&amp;number=0&amp;sourceID=14","0")</f>
        <v>0</v>
      </c>
    </row>
    <row r="2779" spans="1:7">
      <c r="A2779" s="3">
        <v>18</v>
      </c>
      <c r="B2779" s="3">
        <v>8</v>
      </c>
      <c r="C2779" s="3">
        <v>79</v>
      </c>
      <c r="D2779" s="3">
        <v>60</v>
      </c>
      <c r="E2779" s="3">
        <v>-1739.657</v>
      </c>
      <c r="F2779" s="4" t="str">
        <f>HYPERLINK("http://141.218.60.56/~jnz1568/getInfo.php?workbook=18_08.xlsx&amp;sheet=A0&amp;row=2779&amp;col=6&amp;number=0.0658&amp;sourceID=14","0.0658")</f>
        <v>0.0658</v>
      </c>
      <c r="G2779" s="4" t="str">
        <f>HYPERLINK("http://141.218.60.56/~jnz1568/getInfo.php?workbook=18_08.xlsx&amp;sheet=A0&amp;row=2779&amp;col=7&amp;number=0&amp;sourceID=14","0")</f>
        <v>0</v>
      </c>
    </row>
    <row r="2780" spans="1:7">
      <c r="A2780" s="3">
        <v>18</v>
      </c>
      <c r="B2780" s="3">
        <v>8</v>
      </c>
      <c r="C2780" s="3">
        <v>80</v>
      </c>
      <c r="D2780" s="3">
        <v>60</v>
      </c>
      <c r="E2780" s="3">
        <v>-1682.937</v>
      </c>
      <c r="F2780" s="4" t="str">
        <f>HYPERLINK("http://141.218.60.56/~jnz1568/getInfo.php?workbook=18_08.xlsx&amp;sheet=A0&amp;row=2780&amp;col=6&amp;number=9.806&amp;sourceID=14","9.806")</f>
        <v>9.806</v>
      </c>
      <c r="G2780" s="4" t="str">
        <f>HYPERLINK("http://141.218.60.56/~jnz1568/getInfo.php?workbook=18_08.xlsx&amp;sheet=A0&amp;row=2780&amp;col=7&amp;number=0&amp;sourceID=14","0")</f>
        <v>0</v>
      </c>
    </row>
    <row r="2781" spans="1:7">
      <c r="A2781" s="3">
        <v>18</v>
      </c>
      <c r="B2781" s="3">
        <v>8</v>
      </c>
      <c r="C2781" s="3">
        <v>81</v>
      </c>
      <c r="D2781" s="3">
        <v>60</v>
      </c>
      <c r="E2781" s="3">
        <v>-1433.702</v>
      </c>
      <c r="F2781" s="4" t="str">
        <f>HYPERLINK("http://141.218.60.56/~jnz1568/getInfo.php?workbook=18_08.xlsx&amp;sheet=A0&amp;row=2781&amp;col=6&amp;number=1.508&amp;sourceID=14","1.508")</f>
        <v>1.508</v>
      </c>
      <c r="G2781" s="4" t="str">
        <f>HYPERLINK("http://141.218.60.56/~jnz1568/getInfo.php?workbook=18_08.xlsx&amp;sheet=A0&amp;row=2781&amp;col=7&amp;number=0&amp;sourceID=14","0")</f>
        <v>0</v>
      </c>
    </row>
    <row r="2782" spans="1:7">
      <c r="A2782" s="3">
        <v>18</v>
      </c>
      <c r="B2782" s="3">
        <v>8</v>
      </c>
      <c r="C2782" s="3">
        <v>82</v>
      </c>
      <c r="D2782" s="3">
        <v>60</v>
      </c>
      <c r="E2782" s="3">
        <v>-1369.494</v>
      </c>
      <c r="F2782" s="4" t="str">
        <f>HYPERLINK("http://141.218.60.56/~jnz1568/getInfo.php?workbook=18_08.xlsx&amp;sheet=A0&amp;row=2782&amp;col=6&amp;number=12.02&amp;sourceID=14","12.02")</f>
        <v>12.02</v>
      </c>
      <c r="G2782" s="4" t="str">
        <f>HYPERLINK("http://141.218.60.56/~jnz1568/getInfo.php?workbook=18_08.xlsx&amp;sheet=A0&amp;row=2782&amp;col=7&amp;number=0&amp;sourceID=14","0")</f>
        <v>0</v>
      </c>
    </row>
    <row r="2783" spans="1:7">
      <c r="A2783" s="3">
        <v>18</v>
      </c>
      <c r="B2783" s="3">
        <v>8</v>
      </c>
      <c r="C2783" s="3">
        <v>83</v>
      </c>
      <c r="D2783" s="3">
        <v>60</v>
      </c>
      <c r="E2783" s="3">
        <v>-1365.499</v>
      </c>
      <c r="F2783" s="4" t="str">
        <f>HYPERLINK("http://141.218.60.56/~jnz1568/getInfo.php?workbook=18_08.xlsx&amp;sheet=A0&amp;row=2783&amp;col=6&amp;number=2.722&amp;sourceID=14","2.722")</f>
        <v>2.722</v>
      </c>
      <c r="G2783" s="4" t="str">
        <f>HYPERLINK("http://141.218.60.56/~jnz1568/getInfo.php?workbook=18_08.xlsx&amp;sheet=A0&amp;row=2783&amp;col=7&amp;number=0&amp;sourceID=14","0")</f>
        <v>0</v>
      </c>
    </row>
    <row r="2784" spans="1:7">
      <c r="A2784" s="3">
        <v>18</v>
      </c>
      <c r="B2784" s="3">
        <v>8</v>
      </c>
      <c r="C2784" s="3">
        <v>84</v>
      </c>
      <c r="D2784" s="3">
        <v>60</v>
      </c>
      <c r="E2784" s="3">
        <v>-1163.044</v>
      </c>
      <c r="F2784" s="4" t="str">
        <f>HYPERLINK("http://141.218.60.56/~jnz1568/getInfo.php?workbook=18_08.xlsx&amp;sheet=A0&amp;row=2784&amp;col=6&amp;number=26.38&amp;sourceID=14","26.38")</f>
        <v>26.38</v>
      </c>
      <c r="G2784" s="4" t="str">
        <f>HYPERLINK("http://141.218.60.56/~jnz1568/getInfo.php?workbook=18_08.xlsx&amp;sheet=A0&amp;row=2784&amp;col=7&amp;number=0&amp;sourceID=14","0")</f>
        <v>0</v>
      </c>
    </row>
    <row r="2785" spans="1:7">
      <c r="A2785" s="3">
        <v>18</v>
      </c>
      <c r="B2785" s="3">
        <v>8</v>
      </c>
      <c r="C2785" s="3">
        <v>85</v>
      </c>
      <c r="D2785" s="3">
        <v>60</v>
      </c>
      <c r="E2785" s="3">
        <v>-1115.647</v>
      </c>
      <c r="F2785" s="4" t="str">
        <f>HYPERLINK("http://141.218.60.56/~jnz1568/getInfo.php?workbook=18_08.xlsx&amp;sheet=A0&amp;row=2785&amp;col=6&amp;number=142.8&amp;sourceID=14","142.8")</f>
        <v>142.8</v>
      </c>
      <c r="G2785" s="4" t="str">
        <f>HYPERLINK("http://141.218.60.56/~jnz1568/getInfo.php?workbook=18_08.xlsx&amp;sheet=A0&amp;row=2785&amp;col=7&amp;number=0&amp;sourceID=14","0")</f>
        <v>0</v>
      </c>
    </row>
    <row r="2786" spans="1:7">
      <c r="A2786" s="3">
        <v>18</v>
      </c>
      <c r="B2786" s="3">
        <v>8</v>
      </c>
      <c r="C2786" s="3">
        <v>86</v>
      </c>
      <c r="D2786" s="3">
        <v>60</v>
      </c>
      <c r="E2786" s="3">
        <v>-829.07</v>
      </c>
      <c r="F2786" s="4" t="str">
        <f>HYPERLINK("http://141.218.60.56/~jnz1568/getInfo.php?workbook=18_08.xlsx&amp;sheet=A0&amp;row=2786&amp;col=6&amp;number=0.002886&amp;sourceID=14","0.002886")</f>
        <v>0.002886</v>
      </c>
      <c r="G2786" s="4" t="str">
        <f>HYPERLINK("http://141.218.60.56/~jnz1568/getInfo.php?workbook=18_08.xlsx&amp;sheet=A0&amp;row=2786&amp;col=7&amp;number=0&amp;sourceID=14","0")</f>
        <v>0</v>
      </c>
    </row>
    <row r="2787" spans="1:7">
      <c r="A2787" s="3">
        <v>18</v>
      </c>
      <c r="B2787" s="3">
        <v>8</v>
      </c>
      <c r="C2787" s="3">
        <v>62</v>
      </c>
      <c r="D2787" s="3">
        <v>61</v>
      </c>
      <c r="E2787" s="3">
        <v>-49711.352</v>
      </c>
      <c r="F2787" s="4" t="str">
        <f>HYPERLINK("http://141.218.60.56/~jnz1568/getInfo.php?workbook=18_08.xlsx&amp;sheet=A0&amp;row=2787&amp;col=6&amp;number=0.1417&amp;sourceID=14","0.1417")</f>
        <v>0.1417</v>
      </c>
      <c r="G2787" s="4" t="str">
        <f>HYPERLINK("http://141.218.60.56/~jnz1568/getInfo.php?workbook=18_08.xlsx&amp;sheet=A0&amp;row=2787&amp;col=7&amp;number=0&amp;sourceID=14","0")</f>
        <v>0</v>
      </c>
    </row>
    <row r="2788" spans="1:7">
      <c r="A2788" s="3">
        <v>18</v>
      </c>
      <c r="B2788" s="3">
        <v>8</v>
      </c>
      <c r="C2788" s="3">
        <v>63</v>
      </c>
      <c r="D2788" s="3">
        <v>61</v>
      </c>
      <c r="E2788" s="3">
        <v>-19336.82</v>
      </c>
      <c r="F2788" s="4" t="str">
        <f>HYPERLINK("http://141.218.60.56/~jnz1568/getInfo.php?workbook=18_08.xlsx&amp;sheet=A0&amp;row=2788&amp;col=6&amp;number=0.002698&amp;sourceID=14","0.002698")</f>
        <v>0.002698</v>
      </c>
      <c r="G2788" s="4" t="str">
        <f>HYPERLINK("http://141.218.60.56/~jnz1568/getInfo.php?workbook=18_08.xlsx&amp;sheet=A0&amp;row=2788&amp;col=7&amp;number=0&amp;sourceID=14","0")</f>
        <v>0</v>
      </c>
    </row>
    <row r="2789" spans="1:7">
      <c r="A2789" s="3">
        <v>18</v>
      </c>
      <c r="B2789" s="3">
        <v>8</v>
      </c>
      <c r="C2789" s="3">
        <v>66</v>
      </c>
      <c r="D2789" s="3">
        <v>61</v>
      </c>
      <c r="E2789" s="3">
        <v>-6814.371</v>
      </c>
      <c r="F2789" s="4" t="str">
        <f>HYPERLINK("http://141.218.60.56/~jnz1568/getInfo.php?workbook=18_08.xlsx&amp;sheet=A0&amp;row=2789&amp;col=6&amp;number=0.001156&amp;sourceID=14","0.001156")</f>
        <v>0.001156</v>
      </c>
      <c r="G2789" s="4" t="str">
        <f>HYPERLINK("http://141.218.60.56/~jnz1568/getInfo.php?workbook=18_08.xlsx&amp;sheet=A0&amp;row=2789&amp;col=7&amp;number=0&amp;sourceID=14","0")</f>
        <v>0</v>
      </c>
    </row>
    <row r="2790" spans="1:7">
      <c r="A2790" s="3">
        <v>18</v>
      </c>
      <c r="B2790" s="3">
        <v>8</v>
      </c>
      <c r="C2790" s="3">
        <v>68</v>
      </c>
      <c r="D2790" s="3">
        <v>61</v>
      </c>
      <c r="E2790" s="3">
        <v>-5774.187</v>
      </c>
      <c r="F2790" s="4" t="str">
        <f>HYPERLINK("http://141.218.60.56/~jnz1568/getInfo.php?workbook=18_08.xlsx&amp;sheet=A0&amp;row=2790&amp;col=6&amp;number=0.5383&amp;sourceID=14","0.5383")</f>
        <v>0.5383</v>
      </c>
      <c r="G2790" s="4" t="str">
        <f>HYPERLINK("http://141.218.60.56/~jnz1568/getInfo.php?workbook=18_08.xlsx&amp;sheet=A0&amp;row=2790&amp;col=7&amp;number=0&amp;sourceID=14","0")</f>
        <v>0</v>
      </c>
    </row>
    <row r="2791" spans="1:7">
      <c r="A2791" s="3">
        <v>18</v>
      </c>
      <c r="B2791" s="3">
        <v>8</v>
      </c>
      <c r="C2791" s="3">
        <v>69</v>
      </c>
      <c r="D2791" s="3">
        <v>61</v>
      </c>
      <c r="E2791" s="3">
        <v>-4009.129</v>
      </c>
      <c r="F2791" s="4" t="str">
        <f>HYPERLINK("http://141.218.60.56/~jnz1568/getInfo.php?workbook=18_08.xlsx&amp;sheet=A0&amp;row=2791&amp;col=6&amp;number=0.005487&amp;sourceID=14","0.005487")</f>
        <v>0.005487</v>
      </c>
      <c r="G2791" s="4" t="str">
        <f>HYPERLINK("http://141.218.60.56/~jnz1568/getInfo.php?workbook=18_08.xlsx&amp;sheet=A0&amp;row=2791&amp;col=7&amp;number=0&amp;sourceID=14","0")</f>
        <v>0</v>
      </c>
    </row>
    <row r="2792" spans="1:7">
      <c r="A2792" s="3">
        <v>18</v>
      </c>
      <c r="B2792" s="3">
        <v>8</v>
      </c>
      <c r="C2792" s="3">
        <v>72</v>
      </c>
      <c r="D2792" s="3">
        <v>61</v>
      </c>
      <c r="E2792" s="3">
        <v>-4368.164</v>
      </c>
      <c r="F2792" s="4" t="str">
        <f>HYPERLINK("http://141.218.60.56/~jnz1568/getInfo.php?workbook=18_08.xlsx&amp;sheet=A0&amp;row=2792&amp;col=6&amp;number=0.0009931&amp;sourceID=14","0.0009931")</f>
        <v>0.0009931</v>
      </c>
      <c r="G2792" s="4" t="str">
        <f>HYPERLINK("http://141.218.60.56/~jnz1568/getInfo.php?workbook=18_08.xlsx&amp;sheet=A0&amp;row=2792&amp;col=7&amp;number=0&amp;sourceID=14","0")</f>
        <v>0</v>
      </c>
    </row>
    <row r="2793" spans="1:7">
      <c r="A2793" s="3">
        <v>18</v>
      </c>
      <c r="B2793" s="3">
        <v>8</v>
      </c>
      <c r="C2793" s="3">
        <v>74</v>
      </c>
      <c r="D2793" s="3">
        <v>61</v>
      </c>
      <c r="E2793" s="3">
        <v>-2056.785</v>
      </c>
      <c r="F2793" s="4" t="str">
        <f>HYPERLINK("http://141.218.60.56/~jnz1568/getInfo.php?workbook=18_08.xlsx&amp;sheet=A0&amp;row=2793&amp;col=6&amp;number=0.1999&amp;sourceID=14","0.1999")</f>
        <v>0.1999</v>
      </c>
      <c r="G2793" s="4" t="str">
        <f>HYPERLINK("http://141.218.60.56/~jnz1568/getInfo.php?workbook=18_08.xlsx&amp;sheet=A0&amp;row=2793&amp;col=7&amp;number=0&amp;sourceID=14","0")</f>
        <v>0</v>
      </c>
    </row>
    <row r="2794" spans="1:7">
      <c r="A2794" s="3">
        <v>18</v>
      </c>
      <c r="B2794" s="3">
        <v>8</v>
      </c>
      <c r="C2794" s="3">
        <v>75</v>
      </c>
      <c r="D2794" s="3">
        <v>61</v>
      </c>
      <c r="E2794" s="3">
        <v>-1920.496</v>
      </c>
      <c r="F2794" s="4" t="str">
        <f>HYPERLINK("http://141.218.60.56/~jnz1568/getInfo.php?workbook=18_08.xlsx&amp;sheet=A0&amp;row=2794&amp;col=6&amp;number=0.3243&amp;sourceID=14","0.3243")</f>
        <v>0.3243</v>
      </c>
      <c r="G2794" s="4" t="str">
        <f>HYPERLINK("http://141.218.60.56/~jnz1568/getInfo.php?workbook=18_08.xlsx&amp;sheet=A0&amp;row=2794&amp;col=7&amp;number=0&amp;sourceID=14","0")</f>
        <v>0</v>
      </c>
    </row>
    <row r="2795" spans="1:7">
      <c r="A2795" s="3">
        <v>18</v>
      </c>
      <c r="B2795" s="3">
        <v>8</v>
      </c>
      <c r="C2795" s="3">
        <v>76</v>
      </c>
      <c r="D2795" s="3">
        <v>61</v>
      </c>
      <c r="E2795" s="3">
        <v>-1911.288</v>
      </c>
      <c r="F2795" s="4" t="str">
        <f>HYPERLINK("http://141.218.60.56/~jnz1568/getInfo.php?workbook=18_08.xlsx&amp;sheet=A0&amp;row=2795&amp;col=6&amp;number=146.3&amp;sourceID=14","146.3")</f>
        <v>146.3</v>
      </c>
      <c r="G2795" s="4" t="str">
        <f>HYPERLINK("http://141.218.60.56/~jnz1568/getInfo.php?workbook=18_08.xlsx&amp;sheet=A0&amp;row=2795&amp;col=7&amp;number=0&amp;sourceID=14","0")</f>
        <v>0</v>
      </c>
    </row>
    <row r="2796" spans="1:7">
      <c r="A2796" s="3">
        <v>18</v>
      </c>
      <c r="B2796" s="3">
        <v>8</v>
      </c>
      <c r="C2796" s="3">
        <v>77</v>
      </c>
      <c r="D2796" s="3">
        <v>61</v>
      </c>
      <c r="E2796" s="3">
        <v>-1839.714</v>
      </c>
      <c r="F2796" s="4" t="str">
        <f>HYPERLINK("http://141.218.60.56/~jnz1568/getInfo.php?workbook=18_08.xlsx&amp;sheet=A0&amp;row=2796&amp;col=6&amp;number=27.71&amp;sourceID=14","27.71")</f>
        <v>27.71</v>
      </c>
      <c r="G2796" s="4" t="str">
        <f>HYPERLINK("http://141.218.60.56/~jnz1568/getInfo.php?workbook=18_08.xlsx&amp;sheet=A0&amp;row=2796&amp;col=7&amp;number=0&amp;sourceID=14","0")</f>
        <v>0</v>
      </c>
    </row>
    <row r="2797" spans="1:7">
      <c r="A2797" s="3">
        <v>18</v>
      </c>
      <c r="B2797" s="3">
        <v>8</v>
      </c>
      <c r="C2797" s="3">
        <v>80</v>
      </c>
      <c r="D2797" s="3">
        <v>61</v>
      </c>
      <c r="E2797" s="3">
        <v>-1729.612</v>
      </c>
      <c r="F2797" s="4" t="str">
        <f>HYPERLINK("http://141.218.60.56/~jnz1568/getInfo.php?workbook=18_08.xlsx&amp;sheet=A0&amp;row=2797&amp;col=6&amp;number=0.4971&amp;sourceID=14","0.4971")</f>
        <v>0.4971</v>
      </c>
      <c r="G2797" s="4" t="str">
        <f>HYPERLINK("http://141.218.60.56/~jnz1568/getInfo.php?workbook=18_08.xlsx&amp;sheet=A0&amp;row=2797&amp;col=7&amp;number=0&amp;sourceID=14","0")</f>
        <v>0</v>
      </c>
    </row>
    <row r="2798" spans="1:7">
      <c r="A2798" s="3">
        <v>18</v>
      </c>
      <c r="B2798" s="3">
        <v>8</v>
      </c>
      <c r="C2798" s="3">
        <v>81</v>
      </c>
      <c r="D2798" s="3">
        <v>61</v>
      </c>
      <c r="E2798" s="3">
        <v>-1467.438</v>
      </c>
      <c r="F2798" s="4" t="str">
        <f>HYPERLINK("http://141.218.60.56/~jnz1568/getInfo.php?workbook=18_08.xlsx&amp;sheet=A0&amp;row=2798&amp;col=6&amp;number=1.281&amp;sourceID=14","1.281")</f>
        <v>1.281</v>
      </c>
      <c r="G2798" s="4" t="str">
        <f>HYPERLINK("http://141.218.60.56/~jnz1568/getInfo.php?workbook=18_08.xlsx&amp;sheet=A0&amp;row=2798&amp;col=7&amp;number=0&amp;sourceID=14","0")</f>
        <v>0</v>
      </c>
    </row>
    <row r="2799" spans="1:7">
      <c r="A2799" s="3">
        <v>18</v>
      </c>
      <c r="B2799" s="3">
        <v>8</v>
      </c>
      <c r="C2799" s="3">
        <v>82</v>
      </c>
      <c r="D2799" s="3">
        <v>61</v>
      </c>
      <c r="E2799" s="3">
        <v>-1400.244</v>
      </c>
      <c r="F2799" s="4" t="str">
        <f>HYPERLINK("http://141.218.60.56/~jnz1568/getInfo.php?workbook=18_08.xlsx&amp;sheet=A0&amp;row=2799&amp;col=6&amp;number=152.8&amp;sourceID=14","152.8")</f>
        <v>152.8</v>
      </c>
      <c r="G2799" s="4" t="str">
        <f>HYPERLINK("http://141.218.60.56/~jnz1568/getInfo.php?workbook=18_08.xlsx&amp;sheet=A0&amp;row=2799&amp;col=7&amp;number=0&amp;sourceID=14","0")</f>
        <v>0</v>
      </c>
    </row>
    <row r="2800" spans="1:7">
      <c r="A2800" s="3">
        <v>18</v>
      </c>
      <c r="B2800" s="3">
        <v>8</v>
      </c>
      <c r="C2800" s="3">
        <v>84</v>
      </c>
      <c r="D2800" s="3">
        <v>61</v>
      </c>
      <c r="E2800" s="3">
        <v>-1185.146</v>
      </c>
      <c r="F2800" s="4" t="str">
        <f>HYPERLINK("http://141.218.60.56/~jnz1568/getInfo.php?workbook=18_08.xlsx&amp;sheet=A0&amp;row=2800&amp;col=6&amp;number=0.003235&amp;sourceID=14","0.003235")</f>
        <v>0.003235</v>
      </c>
      <c r="G2800" s="4" t="str">
        <f>HYPERLINK("http://141.218.60.56/~jnz1568/getInfo.php?workbook=18_08.xlsx&amp;sheet=A0&amp;row=2800&amp;col=7&amp;number=0&amp;sourceID=14","0")</f>
        <v>0</v>
      </c>
    </row>
    <row r="2801" spans="1:7">
      <c r="A2801" s="3">
        <v>18</v>
      </c>
      <c r="B2801" s="3">
        <v>8</v>
      </c>
      <c r="C2801" s="3">
        <v>85</v>
      </c>
      <c r="D2801" s="3">
        <v>61</v>
      </c>
      <c r="E2801" s="3">
        <v>-1135.969</v>
      </c>
      <c r="F2801" s="4" t="str">
        <f>HYPERLINK("http://141.218.60.56/~jnz1568/getInfo.php?workbook=18_08.xlsx&amp;sheet=A0&amp;row=2801&amp;col=6&amp;number=226.4&amp;sourceID=14","226.4")</f>
        <v>226.4</v>
      </c>
      <c r="G2801" s="4" t="str">
        <f>HYPERLINK("http://141.218.60.56/~jnz1568/getInfo.php?workbook=18_08.xlsx&amp;sheet=A0&amp;row=2801&amp;col=7&amp;number=0&amp;sourceID=14","0")</f>
        <v>0</v>
      </c>
    </row>
    <row r="2802" spans="1:7">
      <c r="A2802" s="3">
        <v>18</v>
      </c>
      <c r="B2802" s="3">
        <v>8</v>
      </c>
      <c r="C2802" s="3">
        <v>63</v>
      </c>
      <c r="D2802" s="3">
        <v>62</v>
      </c>
      <c r="E2802" s="3">
        <v>-31646.891</v>
      </c>
      <c r="F2802" s="4" t="str">
        <f>HYPERLINK("http://141.218.60.56/~jnz1568/getInfo.php?workbook=18_08.xlsx&amp;sheet=A0&amp;row=2802&amp;col=6&amp;number=0.0464&amp;sourceID=14","0.0464")</f>
        <v>0.0464</v>
      </c>
      <c r="G2802" s="4" t="str">
        <f>HYPERLINK("http://141.218.60.56/~jnz1568/getInfo.php?workbook=18_08.xlsx&amp;sheet=A0&amp;row=2802&amp;col=7&amp;number=0&amp;sourceID=14","0")</f>
        <v>0</v>
      </c>
    </row>
    <row r="2803" spans="1:7">
      <c r="A2803" s="3">
        <v>18</v>
      </c>
      <c r="B2803" s="3">
        <v>8</v>
      </c>
      <c r="C2803" s="3">
        <v>68</v>
      </c>
      <c r="D2803" s="3">
        <v>62</v>
      </c>
      <c r="E2803" s="3">
        <v>-6533.026</v>
      </c>
      <c r="F2803" s="4" t="str">
        <f>HYPERLINK("http://141.218.60.56/~jnz1568/getInfo.php?workbook=18_08.xlsx&amp;sheet=A0&amp;row=2803&amp;col=6&amp;number=0.00222&amp;sourceID=14","0.00222")</f>
        <v>0.00222</v>
      </c>
      <c r="G2803" s="4" t="str">
        <f>HYPERLINK("http://141.218.60.56/~jnz1568/getInfo.php?workbook=18_08.xlsx&amp;sheet=A0&amp;row=2803&amp;col=7&amp;number=0&amp;sourceID=14","0")</f>
        <v>0</v>
      </c>
    </row>
    <row r="2804" spans="1:7">
      <c r="A2804" s="3">
        <v>18</v>
      </c>
      <c r="B2804" s="3">
        <v>8</v>
      </c>
      <c r="C2804" s="3">
        <v>74</v>
      </c>
      <c r="D2804" s="3">
        <v>62</v>
      </c>
      <c r="E2804" s="3">
        <v>-2145.557</v>
      </c>
      <c r="F2804" s="4" t="str">
        <f>HYPERLINK("http://141.218.60.56/~jnz1568/getInfo.php?workbook=18_08.xlsx&amp;sheet=A0&amp;row=2804&amp;col=6&amp;number=0.04896&amp;sourceID=14","0.04896")</f>
        <v>0.04896</v>
      </c>
      <c r="G2804" s="4" t="str">
        <f>HYPERLINK("http://141.218.60.56/~jnz1568/getInfo.php?workbook=18_08.xlsx&amp;sheet=A0&amp;row=2804&amp;col=7&amp;number=0&amp;sourceID=14","0")</f>
        <v>0</v>
      </c>
    </row>
    <row r="2805" spans="1:7">
      <c r="A2805" s="3">
        <v>18</v>
      </c>
      <c r="B2805" s="3">
        <v>8</v>
      </c>
      <c r="C2805" s="3">
        <v>76</v>
      </c>
      <c r="D2805" s="3">
        <v>62</v>
      </c>
      <c r="E2805" s="3">
        <v>-1987.711</v>
      </c>
      <c r="F2805" s="4" t="str">
        <f>HYPERLINK("http://141.218.60.56/~jnz1568/getInfo.php?workbook=18_08.xlsx&amp;sheet=A0&amp;row=2805&amp;col=6&amp;number=132.7&amp;sourceID=14","132.7")</f>
        <v>132.7</v>
      </c>
      <c r="G2805" s="4" t="str">
        <f>HYPERLINK("http://141.218.60.56/~jnz1568/getInfo.php?workbook=18_08.xlsx&amp;sheet=A0&amp;row=2805&amp;col=7&amp;number=0&amp;sourceID=14","0")</f>
        <v>0</v>
      </c>
    </row>
    <row r="2806" spans="1:7">
      <c r="A2806" s="3">
        <v>18</v>
      </c>
      <c r="B2806" s="3">
        <v>8</v>
      </c>
      <c r="C2806" s="3">
        <v>77</v>
      </c>
      <c r="D2806" s="3">
        <v>62</v>
      </c>
      <c r="E2806" s="3">
        <v>-1910.414</v>
      </c>
      <c r="F2806" s="4" t="str">
        <f>HYPERLINK("http://141.218.60.56/~jnz1568/getInfo.php?workbook=18_08.xlsx&amp;sheet=A0&amp;row=2806&amp;col=6&amp;number=0.4348&amp;sourceID=14","0.4348")</f>
        <v>0.4348</v>
      </c>
      <c r="G2806" s="4" t="str">
        <f>HYPERLINK("http://141.218.60.56/~jnz1568/getInfo.php?workbook=18_08.xlsx&amp;sheet=A0&amp;row=2806&amp;col=7&amp;number=0&amp;sourceID=14","0")</f>
        <v>0</v>
      </c>
    </row>
    <row r="2807" spans="1:7">
      <c r="A2807" s="3">
        <v>18</v>
      </c>
      <c r="B2807" s="3">
        <v>8</v>
      </c>
      <c r="C2807" s="3">
        <v>82</v>
      </c>
      <c r="D2807" s="3">
        <v>62</v>
      </c>
      <c r="E2807" s="3">
        <v>-1440.828</v>
      </c>
      <c r="F2807" s="4" t="str">
        <f>HYPERLINK("http://141.218.60.56/~jnz1568/getInfo.php?workbook=18_08.xlsx&amp;sheet=A0&amp;row=2807&amp;col=6&amp;number=1.527&amp;sourceID=14","1.527")</f>
        <v>1.527</v>
      </c>
      <c r="G2807" s="4" t="str">
        <f>HYPERLINK("http://141.218.60.56/~jnz1568/getInfo.php?workbook=18_08.xlsx&amp;sheet=A0&amp;row=2807&amp;col=7&amp;number=0&amp;sourceID=14","0")</f>
        <v>0</v>
      </c>
    </row>
    <row r="2808" spans="1:7">
      <c r="A2808" s="3">
        <v>18</v>
      </c>
      <c r="B2808" s="3">
        <v>8</v>
      </c>
      <c r="C2808" s="3">
        <v>85</v>
      </c>
      <c r="D2808" s="3">
        <v>62</v>
      </c>
      <c r="E2808" s="3">
        <v>-1162.535</v>
      </c>
      <c r="F2808" s="4" t="str">
        <f>HYPERLINK("http://141.218.60.56/~jnz1568/getInfo.php?workbook=18_08.xlsx&amp;sheet=A0&amp;row=2808&amp;col=6&amp;number=0.1036&amp;sourceID=14","0.1036")</f>
        <v>0.1036</v>
      </c>
      <c r="G2808" s="4" t="str">
        <f>HYPERLINK("http://141.218.60.56/~jnz1568/getInfo.php?workbook=18_08.xlsx&amp;sheet=A0&amp;row=2808&amp;col=7&amp;number=0&amp;sourceID=14","0")</f>
        <v>0</v>
      </c>
    </row>
    <row r="2809" spans="1:7">
      <c r="A2809" s="3">
        <v>18</v>
      </c>
      <c r="B2809" s="3">
        <v>8</v>
      </c>
      <c r="C2809" s="3">
        <v>66</v>
      </c>
      <c r="D2809" s="3">
        <v>63</v>
      </c>
      <c r="E2809" s="3">
        <v>-10522.562</v>
      </c>
      <c r="F2809" s="4" t="str">
        <f>HYPERLINK("http://141.218.60.56/~jnz1568/getInfo.php?workbook=18_08.xlsx&amp;sheet=A0&amp;row=2809&amp;col=6&amp;number=9.546e-06&amp;sourceID=14","9.546e-06")</f>
        <v>9.546e-06</v>
      </c>
      <c r="G2809" s="4" t="str">
        <f>HYPERLINK("http://141.218.60.56/~jnz1568/getInfo.php?workbook=18_08.xlsx&amp;sheet=A0&amp;row=2809&amp;col=7&amp;number=0&amp;sourceID=14","0")</f>
        <v>0</v>
      </c>
    </row>
    <row r="2810" spans="1:7">
      <c r="A2810" s="3">
        <v>18</v>
      </c>
      <c r="B2810" s="3">
        <v>8</v>
      </c>
      <c r="C2810" s="3">
        <v>68</v>
      </c>
      <c r="D2810" s="3">
        <v>63</v>
      </c>
      <c r="E2810" s="3">
        <v>-8232.502</v>
      </c>
      <c r="F2810" s="4" t="str">
        <f>HYPERLINK("http://141.218.60.56/~jnz1568/getInfo.php?workbook=18_08.xlsx&amp;sheet=A0&amp;row=2810&amp;col=6&amp;number=0.004951&amp;sourceID=14","0.004951")</f>
        <v>0.004951</v>
      </c>
      <c r="G2810" s="4" t="str">
        <f>HYPERLINK("http://141.218.60.56/~jnz1568/getInfo.php?workbook=18_08.xlsx&amp;sheet=A0&amp;row=2810&amp;col=7&amp;number=0&amp;sourceID=14","0")</f>
        <v>0</v>
      </c>
    </row>
    <row r="2811" spans="1:7">
      <c r="A2811" s="3">
        <v>18</v>
      </c>
      <c r="B2811" s="3">
        <v>8</v>
      </c>
      <c r="C2811" s="3">
        <v>69</v>
      </c>
      <c r="D2811" s="3">
        <v>63</v>
      </c>
      <c r="E2811" s="3">
        <v>-5057.762</v>
      </c>
      <c r="F2811" s="4" t="str">
        <f>HYPERLINK("http://141.218.60.56/~jnz1568/getInfo.php?workbook=18_08.xlsx&amp;sheet=A0&amp;row=2811&amp;col=6&amp;number=0.0006073&amp;sourceID=14","0.0006073")</f>
        <v>0.0006073</v>
      </c>
      <c r="G2811" s="4" t="str">
        <f>HYPERLINK("http://141.218.60.56/~jnz1568/getInfo.php?workbook=18_08.xlsx&amp;sheet=A0&amp;row=2811&amp;col=7&amp;number=0&amp;sourceID=14","0")</f>
        <v>0</v>
      </c>
    </row>
    <row r="2812" spans="1:7">
      <c r="A2812" s="3">
        <v>18</v>
      </c>
      <c r="B2812" s="3">
        <v>8</v>
      </c>
      <c r="C2812" s="3">
        <v>72</v>
      </c>
      <c r="D2812" s="3">
        <v>63</v>
      </c>
      <c r="E2812" s="3">
        <v>-5642.884</v>
      </c>
      <c r="F2812" s="4" t="str">
        <f>HYPERLINK("http://141.218.60.56/~jnz1568/getInfo.php?workbook=18_08.xlsx&amp;sheet=A0&amp;row=2812&amp;col=6&amp;number=0.001369&amp;sourceID=14","0.001369")</f>
        <v>0.001369</v>
      </c>
      <c r="G2812" s="4" t="str">
        <f>HYPERLINK("http://141.218.60.56/~jnz1568/getInfo.php?workbook=18_08.xlsx&amp;sheet=A0&amp;row=2812&amp;col=7&amp;number=0&amp;sourceID=14","0")</f>
        <v>0</v>
      </c>
    </row>
    <row r="2813" spans="1:7">
      <c r="A2813" s="3">
        <v>18</v>
      </c>
      <c r="B2813" s="3">
        <v>8</v>
      </c>
      <c r="C2813" s="3">
        <v>74</v>
      </c>
      <c r="D2813" s="3">
        <v>63</v>
      </c>
      <c r="E2813" s="3">
        <v>-2301.597</v>
      </c>
      <c r="F2813" s="4" t="str">
        <f>HYPERLINK("http://141.218.60.56/~jnz1568/getInfo.php?workbook=18_08.xlsx&amp;sheet=A0&amp;row=2813&amp;col=6&amp;number=60.93&amp;sourceID=14","60.93")</f>
        <v>60.93</v>
      </c>
      <c r="G2813" s="4" t="str">
        <f>HYPERLINK("http://141.218.60.56/~jnz1568/getInfo.php?workbook=18_08.xlsx&amp;sheet=A0&amp;row=2813&amp;col=7&amp;number=0&amp;sourceID=14","0")</f>
        <v>0</v>
      </c>
    </row>
    <row r="2814" spans="1:7">
      <c r="A2814" s="3">
        <v>18</v>
      </c>
      <c r="B2814" s="3">
        <v>8</v>
      </c>
      <c r="C2814" s="3">
        <v>75</v>
      </c>
      <c r="D2814" s="3">
        <v>63</v>
      </c>
      <c r="E2814" s="3">
        <v>-2132.268</v>
      </c>
      <c r="F2814" s="4" t="str">
        <f>HYPERLINK("http://141.218.60.56/~jnz1568/getInfo.php?workbook=18_08.xlsx&amp;sheet=A0&amp;row=2814&amp;col=6&amp;number=0.08009&amp;sourceID=14","0.08009")</f>
        <v>0.08009</v>
      </c>
      <c r="G2814" s="4" t="str">
        <f>HYPERLINK("http://141.218.60.56/~jnz1568/getInfo.php?workbook=18_08.xlsx&amp;sheet=A0&amp;row=2814&amp;col=7&amp;number=0&amp;sourceID=14","0")</f>
        <v>0</v>
      </c>
    </row>
    <row r="2815" spans="1:7">
      <c r="A2815" s="3">
        <v>18</v>
      </c>
      <c r="B2815" s="3">
        <v>8</v>
      </c>
      <c r="C2815" s="3">
        <v>76</v>
      </c>
      <c r="D2815" s="3">
        <v>63</v>
      </c>
      <c r="E2815" s="3">
        <v>-2120.924</v>
      </c>
      <c r="F2815" s="4" t="str">
        <f>HYPERLINK("http://141.218.60.56/~jnz1568/getInfo.php?workbook=18_08.xlsx&amp;sheet=A0&amp;row=2815&amp;col=6&amp;number=83.39&amp;sourceID=14","83.39")</f>
        <v>83.39</v>
      </c>
      <c r="G2815" s="4" t="str">
        <f>HYPERLINK("http://141.218.60.56/~jnz1568/getInfo.php?workbook=18_08.xlsx&amp;sheet=A0&amp;row=2815&amp;col=7&amp;number=0&amp;sourceID=14","0")</f>
        <v>0</v>
      </c>
    </row>
    <row r="2816" spans="1:7">
      <c r="A2816" s="3">
        <v>18</v>
      </c>
      <c r="B2816" s="3">
        <v>8</v>
      </c>
      <c r="C2816" s="3">
        <v>77</v>
      </c>
      <c r="D2816" s="3">
        <v>63</v>
      </c>
      <c r="E2816" s="3">
        <v>-2033.148</v>
      </c>
      <c r="F2816" s="4" t="str">
        <f>HYPERLINK("http://141.218.60.56/~jnz1568/getInfo.php?workbook=18_08.xlsx&amp;sheet=A0&amp;row=2816&amp;col=6&amp;number=34.45&amp;sourceID=14","34.45")</f>
        <v>34.45</v>
      </c>
      <c r="G2816" s="4" t="str">
        <f>HYPERLINK("http://141.218.60.56/~jnz1568/getInfo.php?workbook=18_08.xlsx&amp;sheet=A0&amp;row=2816&amp;col=7&amp;number=0&amp;sourceID=14","0")</f>
        <v>0</v>
      </c>
    </row>
    <row r="2817" spans="1:7">
      <c r="A2817" s="3">
        <v>18</v>
      </c>
      <c r="B2817" s="3">
        <v>8</v>
      </c>
      <c r="C2817" s="3">
        <v>80</v>
      </c>
      <c r="D2817" s="3">
        <v>63</v>
      </c>
      <c r="E2817" s="3">
        <v>-1899.517</v>
      </c>
      <c r="F2817" s="4" t="str">
        <f>HYPERLINK("http://141.218.60.56/~jnz1568/getInfo.php?workbook=18_08.xlsx&amp;sheet=A0&amp;row=2817&amp;col=6&amp;number=0.02867&amp;sourceID=14","0.02867")</f>
        <v>0.02867</v>
      </c>
      <c r="G2817" s="4" t="str">
        <f>HYPERLINK("http://141.218.60.56/~jnz1568/getInfo.php?workbook=18_08.xlsx&amp;sheet=A0&amp;row=2817&amp;col=7&amp;number=0&amp;sourceID=14","0")</f>
        <v>0</v>
      </c>
    </row>
    <row r="2818" spans="1:7">
      <c r="A2818" s="3">
        <v>18</v>
      </c>
      <c r="B2818" s="3">
        <v>8</v>
      </c>
      <c r="C2818" s="3">
        <v>81</v>
      </c>
      <c r="D2818" s="3">
        <v>63</v>
      </c>
      <c r="E2818" s="3">
        <v>-1587.944</v>
      </c>
      <c r="F2818" s="4" t="str">
        <f>HYPERLINK("http://141.218.60.56/~jnz1568/getInfo.php?workbook=18_08.xlsx&amp;sheet=A0&amp;row=2818&amp;col=6&amp;number=0.778&amp;sourceID=14","0.778")</f>
        <v>0.778</v>
      </c>
      <c r="G2818" s="4" t="str">
        <f>HYPERLINK("http://141.218.60.56/~jnz1568/getInfo.php?workbook=18_08.xlsx&amp;sheet=A0&amp;row=2818&amp;col=7&amp;number=0&amp;sourceID=14","0")</f>
        <v>0</v>
      </c>
    </row>
    <row r="2819" spans="1:7">
      <c r="A2819" s="3">
        <v>18</v>
      </c>
      <c r="B2819" s="3">
        <v>8</v>
      </c>
      <c r="C2819" s="3">
        <v>82</v>
      </c>
      <c r="D2819" s="3">
        <v>63</v>
      </c>
      <c r="E2819" s="3">
        <v>-1509.556</v>
      </c>
      <c r="F2819" s="4" t="str">
        <f>HYPERLINK("http://141.218.60.56/~jnz1568/getInfo.php?workbook=18_08.xlsx&amp;sheet=A0&amp;row=2819&amp;col=6&amp;number=13.59&amp;sourceID=14","13.59")</f>
        <v>13.59</v>
      </c>
      <c r="G2819" s="4" t="str">
        <f>HYPERLINK("http://141.218.60.56/~jnz1568/getInfo.php?workbook=18_08.xlsx&amp;sheet=A0&amp;row=2819&amp;col=7&amp;number=0&amp;sourceID=14","0")</f>
        <v>0</v>
      </c>
    </row>
    <row r="2820" spans="1:7">
      <c r="A2820" s="3">
        <v>18</v>
      </c>
      <c r="B2820" s="3">
        <v>8</v>
      </c>
      <c r="C2820" s="3">
        <v>84</v>
      </c>
      <c r="D2820" s="3">
        <v>63</v>
      </c>
      <c r="E2820" s="3">
        <v>-1262.526</v>
      </c>
      <c r="F2820" s="4" t="str">
        <f>HYPERLINK("http://141.218.60.56/~jnz1568/getInfo.php?workbook=18_08.xlsx&amp;sheet=A0&amp;row=2820&amp;col=6&amp;number=15.14&amp;sourceID=14","15.14")</f>
        <v>15.14</v>
      </c>
      <c r="G2820" s="4" t="str">
        <f>HYPERLINK("http://141.218.60.56/~jnz1568/getInfo.php?workbook=18_08.xlsx&amp;sheet=A0&amp;row=2820&amp;col=7&amp;number=0&amp;sourceID=14","0")</f>
        <v>0</v>
      </c>
    </row>
    <row r="2821" spans="1:7">
      <c r="A2821" s="3">
        <v>18</v>
      </c>
      <c r="B2821" s="3">
        <v>8</v>
      </c>
      <c r="C2821" s="3">
        <v>85</v>
      </c>
      <c r="D2821" s="3">
        <v>63</v>
      </c>
      <c r="E2821" s="3">
        <v>-1206.868</v>
      </c>
      <c r="F2821" s="4" t="str">
        <f>HYPERLINK("http://141.218.60.56/~jnz1568/getInfo.php?workbook=18_08.xlsx&amp;sheet=A0&amp;row=2821&amp;col=6&amp;number=22.03&amp;sourceID=14","22.03")</f>
        <v>22.03</v>
      </c>
      <c r="G2821" s="4" t="str">
        <f>HYPERLINK("http://141.218.60.56/~jnz1568/getInfo.php?workbook=18_08.xlsx&amp;sheet=A0&amp;row=2821&amp;col=7&amp;number=0&amp;sourceID=14","0")</f>
        <v>0</v>
      </c>
    </row>
    <row r="2822" spans="1:7">
      <c r="A2822" s="3">
        <v>18</v>
      </c>
      <c r="B2822" s="3">
        <v>8</v>
      </c>
      <c r="C2822" s="3">
        <v>68</v>
      </c>
      <c r="D2822" s="3">
        <v>64</v>
      </c>
      <c r="E2822" s="3">
        <v>83056.477</v>
      </c>
      <c r="F2822" s="4" t="str">
        <f>HYPERLINK("http://141.218.60.56/~jnz1568/getInfo.php?workbook=18_08.xlsx&amp;sheet=A0&amp;row=2822&amp;col=6&amp;number=2.227e-11&amp;sourceID=14","2.227e-11")</f>
        <v>2.227e-11</v>
      </c>
      <c r="G2822" s="4" t="str">
        <f>HYPERLINK("http://141.218.60.56/~jnz1568/getInfo.php?workbook=18_08.xlsx&amp;sheet=A0&amp;row=2822&amp;col=7&amp;number=0&amp;sourceID=14","0")</f>
        <v>0</v>
      </c>
    </row>
    <row r="2823" spans="1:7">
      <c r="A2823" s="3">
        <v>18</v>
      </c>
      <c r="B2823" s="3">
        <v>8</v>
      </c>
      <c r="C2823" s="3">
        <v>69</v>
      </c>
      <c r="D2823" s="3">
        <v>64</v>
      </c>
      <c r="E2823" s="3">
        <v>9787.609</v>
      </c>
      <c r="F2823" s="4" t="str">
        <f>HYPERLINK("http://141.218.60.56/~jnz1568/getInfo.php?workbook=18_08.xlsx&amp;sheet=A0&amp;row=2823&amp;col=6&amp;number=1.142&amp;sourceID=14","1.142")</f>
        <v>1.142</v>
      </c>
      <c r="G2823" s="4" t="str">
        <f>HYPERLINK("http://141.218.60.56/~jnz1568/getInfo.php?workbook=18_08.xlsx&amp;sheet=A0&amp;row=2823&amp;col=7&amp;number=0&amp;sourceID=14","0")</f>
        <v>0</v>
      </c>
    </row>
    <row r="2824" spans="1:7">
      <c r="A2824" s="3">
        <v>18</v>
      </c>
      <c r="B2824" s="3">
        <v>8</v>
      </c>
      <c r="C2824" s="3">
        <v>70</v>
      </c>
      <c r="D2824" s="3">
        <v>64</v>
      </c>
      <c r="E2824" s="3">
        <v>-8012.562</v>
      </c>
      <c r="F2824" s="4" t="str">
        <f>HYPERLINK("http://141.218.60.56/~jnz1568/getInfo.php?workbook=18_08.xlsx&amp;sheet=A0&amp;row=2824&amp;col=6&amp;number=0.1405&amp;sourceID=14","0.1405")</f>
        <v>0.1405</v>
      </c>
      <c r="G2824" s="4" t="str">
        <f>HYPERLINK("http://141.218.60.56/~jnz1568/getInfo.php?workbook=18_08.xlsx&amp;sheet=A0&amp;row=2824&amp;col=7&amp;number=0&amp;sourceID=14","0")</f>
        <v>0</v>
      </c>
    </row>
    <row r="2825" spans="1:7">
      <c r="A2825" s="3">
        <v>18</v>
      </c>
      <c r="B2825" s="3">
        <v>8</v>
      </c>
      <c r="C2825" s="3">
        <v>71</v>
      </c>
      <c r="D2825" s="3">
        <v>64</v>
      </c>
      <c r="E2825" s="3">
        <v>4624.063</v>
      </c>
      <c r="F2825" s="4" t="str">
        <f>HYPERLINK("http://141.218.60.56/~jnz1568/getInfo.php?workbook=18_08.xlsx&amp;sheet=A0&amp;row=2825&amp;col=6&amp;number=0.009134&amp;sourceID=14","0.009134")</f>
        <v>0.009134</v>
      </c>
      <c r="G2825" s="4" t="str">
        <f>HYPERLINK("http://141.218.60.56/~jnz1568/getInfo.php?workbook=18_08.xlsx&amp;sheet=A0&amp;row=2825&amp;col=7&amp;number=0&amp;sourceID=14","0")</f>
        <v>0</v>
      </c>
    </row>
    <row r="2826" spans="1:7">
      <c r="A2826" s="3">
        <v>18</v>
      </c>
      <c r="B2826" s="3">
        <v>8</v>
      </c>
      <c r="C2826" s="3">
        <v>72</v>
      </c>
      <c r="D2826" s="3">
        <v>64</v>
      </c>
      <c r="E2826" s="3">
        <v>9787.609</v>
      </c>
      <c r="F2826" s="4" t="str">
        <f>HYPERLINK("http://141.218.60.56/~jnz1568/getInfo.php?workbook=18_08.xlsx&amp;sheet=A0&amp;row=2826&amp;col=6&amp;number=0.0128&amp;sourceID=14","0.0128")</f>
        <v>0.0128</v>
      </c>
      <c r="G2826" s="4" t="str">
        <f>HYPERLINK("http://141.218.60.56/~jnz1568/getInfo.php?workbook=18_08.xlsx&amp;sheet=A0&amp;row=2826&amp;col=7&amp;number=0&amp;sourceID=14","0")</f>
        <v>0</v>
      </c>
    </row>
    <row r="2827" spans="1:7">
      <c r="A2827" s="3">
        <v>18</v>
      </c>
      <c r="B2827" s="3">
        <v>8</v>
      </c>
      <c r="C2827" s="3">
        <v>73</v>
      </c>
      <c r="D2827" s="3">
        <v>64</v>
      </c>
      <c r="E2827" s="3">
        <v>4624.063</v>
      </c>
      <c r="F2827" s="4" t="str">
        <f>HYPERLINK("http://141.218.60.56/~jnz1568/getInfo.php?workbook=18_08.xlsx&amp;sheet=A0&amp;row=2827&amp;col=6&amp;number=0.3565&amp;sourceID=14","0.3565")</f>
        <v>0.3565</v>
      </c>
      <c r="G2827" s="4" t="str">
        <f>HYPERLINK("http://141.218.60.56/~jnz1568/getInfo.php?workbook=18_08.xlsx&amp;sheet=A0&amp;row=2827&amp;col=7&amp;number=0&amp;sourceID=14","0")</f>
        <v>0</v>
      </c>
    </row>
    <row r="2828" spans="1:7">
      <c r="A2828" s="3">
        <v>18</v>
      </c>
      <c r="B2828" s="3">
        <v>8</v>
      </c>
      <c r="C2828" s="3">
        <v>74</v>
      </c>
      <c r="D2828" s="3">
        <v>64</v>
      </c>
      <c r="E2828" s="3">
        <v>2967.623</v>
      </c>
      <c r="F2828" s="4" t="str">
        <f>HYPERLINK("http://141.218.60.56/~jnz1568/getInfo.php?workbook=18_08.xlsx&amp;sheet=A0&amp;row=2828&amp;col=6&amp;number=0.04846&amp;sourceID=14","0.04846")</f>
        <v>0.04846</v>
      </c>
      <c r="G2828" s="4" t="str">
        <f>HYPERLINK("http://141.218.60.56/~jnz1568/getInfo.php?workbook=18_08.xlsx&amp;sheet=A0&amp;row=2828&amp;col=7&amp;number=0&amp;sourceID=14","0")</f>
        <v>0</v>
      </c>
    </row>
    <row r="2829" spans="1:7">
      <c r="A2829" s="3">
        <v>18</v>
      </c>
      <c r="B2829" s="3">
        <v>8</v>
      </c>
      <c r="C2829" s="3">
        <v>75</v>
      </c>
      <c r="D2829" s="3">
        <v>64</v>
      </c>
      <c r="E2829" s="3">
        <v>-2811.781</v>
      </c>
      <c r="F2829" s="4" t="str">
        <f>HYPERLINK("http://141.218.60.56/~jnz1568/getInfo.php?workbook=18_08.xlsx&amp;sheet=A0&amp;row=2829&amp;col=6&amp;number=0.2908&amp;sourceID=14","0.2908")</f>
        <v>0.2908</v>
      </c>
      <c r="G2829" s="4" t="str">
        <f>HYPERLINK("http://141.218.60.56/~jnz1568/getInfo.php?workbook=18_08.xlsx&amp;sheet=A0&amp;row=2829&amp;col=7&amp;number=0&amp;sourceID=14","0")</f>
        <v>0</v>
      </c>
    </row>
    <row r="2830" spans="1:7">
      <c r="A2830" s="3">
        <v>18</v>
      </c>
      <c r="B2830" s="3">
        <v>8</v>
      </c>
      <c r="C2830" s="3">
        <v>77</v>
      </c>
      <c r="D2830" s="3">
        <v>64</v>
      </c>
      <c r="E2830" s="3">
        <v>2964.72</v>
      </c>
      <c r="F2830" s="4" t="str">
        <f>HYPERLINK("http://141.218.60.56/~jnz1568/getInfo.php?workbook=18_08.xlsx&amp;sheet=A0&amp;row=2830&amp;col=6&amp;number=0.04489&amp;sourceID=14","0.04489")</f>
        <v>0.04489</v>
      </c>
      <c r="G2830" s="4" t="str">
        <f>HYPERLINK("http://141.218.60.56/~jnz1568/getInfo.php?workbook=18_08.xlsx&amp;sheet=A0&amp;row=2830&amp;col=7&amp;number=0&amp;sourceID=14","0")</f>
        <v>0</v>
      </c>
    </row>
    <row r="2831" spans="1:7">
      <c r="A2831" s="3">
        <v>18</v>
      </c>
      <c r="B2831" s="3">
        <v>8</v>
      </c>
      <c r="C2831" s="3">
        <v>78</v>
      </c>
      <c r="D2831" s="3">
        <v>64</v>
      </c>
      <c r="E2831" s="3">
        <v>-2748.233</v>
      </c>
      <c r="F2831" s="4" t="str">
        <f>HYPERLINK("http://141.218.60.56/~jnz1568/getInfo.php?workbook=18_08.xlsx&amp;sheet=A0&amp;row=2831&amp;col=6&amp;number=26.47&amp;sourceID=14","26.47")</f>
        <v>26.47</v>
      </c>
      <c r="G2831" s="4" t="str">
        <f>HYPERLINK("http://141.218.60.56/~jnz1568/getInfo.php?workbook=18_08.xlsx&amp;sheet=A0&amp;row=2831&amp;col=7&amp;number=0&amp;sourceID=14","0")</f>
        <v>0</v>
      </c>
    </row>
    <row r="2832" spans="1:7">
      <c r="A2832" s="3">
        <v>18</v>
      </c>
      <c r="B2832" s="3">
        <v>8</v>
      </c>
      <c r="C2832" s="3">
        <v>79</v>
      </c>
      <c r="D2832" s="3">
        <v>64</v>
      </c>
      <c r="E2832" s="3">
        <v>-2539.757</v>
      </c>
      <c r="F2832" s="4" t="str">
        <f>HYPERLINK("http://141.218.60.56/~jnz1568/getInfo.php?workbook=18_08.xlsx&amp;sheet=A0&amp;row=2832&amp;col=6&amp;number=0.5528&amp;sourceID=14","0.5528")</f>
        <v>0.5528</v>
      </c>
      <c r="G2832" s="4" t="str">
        <f>HYPERLINK("http://141.218.60.56/~jnz1568/getInfo.php?workbook=18_08.xlsx&amp;sheet=A0&amp;row=2832&amp;col=7&amp;number=0&amp;sourceID=14","0")</f>
        <v>0</v>
      </c>
    </row>
    <row r="2833" spans="1:7">
      <c r="A2833" s="3">
        <v>18</v>
      </c>
      <c r="B2833" s="3">
        <v>8</v>
      </c>
      <c r="C2833" s="3">
        <v>80</v>
      </c>
      <c r="D2833" s="3">
        <v>64</v>
      </c>
      <c r="E2833" s="3">
        <v>-2420.652</v>
      </c>
      <c r="F2833" s="4" t="str">
        <f>HYPERLINK("http://141.218.60.56/~jnz1568/getInfo.php?workbook=18_08.xlsx&amp;sheet=A0&amp;row=2833&amp;col=6&amp;number=28.23&amp;sourceID=14","28.23")</f>
        <v>28.23</v>
      </c>
      <c r="G2833" s="4" t="str">
        <f>HYPERLINK("http://141.218.60.56/~jnz1568/getInfo.php?workbook=18_08.xlsx&amp;sheet=A0&amp;row=2833&amp;col=7&amp;number=0&amp;sourceID=14","0")</f>
        <v>0</v>
      </c>
    </row>
    <row r="2834" spans="1:7">
      <c r="A2834" s="3">
        <v>18</v>
      </c>
      <c r="B2834" s="3">
        <v>8</v>
      </c>
      <c r="C2834" s="3">
        <v>81</v>
      </c>
      <c r="D2834" s="3">
        <v>64</v>
      </c>
      <c r="E2834" s="3">
        <v>1864.628</v>
      </c>
      <c r="F2834" s="4" t="str">
        <f>HYPERLINK("http://141.218.60.56/~jnz1568/getInfo.php?workbook=18_08.xlsx&amp;sheet=A0&amp;row=2834&amp;col=6&amp;number=0.4763&amp;sourceID=14","0.4763")</f>
        <v>0.4763</v>
      </c>
      <c r="G2834" s="4" t="str">
        <f>HYPERLINK("http://141.218.60.56/~jnz1568/getInfo.php?workbook=18_08.xlsx&amp;sheet=A0&amp;row=2834&amp;col=7&amp;number=0&amp;sourceID=14","0")</f>
        <v>0</v>
      </c>
    </row>
    <row r="2835" spans="1:7">
      <c r="A2835" s="3">
        <v>18</v>
      </c>
      <c r="B2835" s="3">
        <v>8</v>
      </c>
      <c r="C2835" s="3">
        <v>82</v>
      </c>
      <c r="D2835" s="3">
        <v>64</v>
      </c>
      <c r="E2835" s="3">
        <v>1738.858</v>
      </c>
      <c r="F2835" s="4" t="str">
        <f>HYPERLINK("http://141.218.60.56/~jnz1568/getInfo.php?workbook=18_08.xlsx&amp;sheet=A0&amp;row=2835&amp;col=6&amp;number=0.1421&amp;sourceID=14","0.1421")</f>
        <v>0.1421</v>
      </c>
      <c r="G2835" s="4" t="str">
        <f>HYPERLINK("http://141.218.60.56/~jnz1568/getInfo.php?workbook=18_08.xlsx&amp;sheet=A0&amp;row=2835&amp;col=7&amp;number=0&amp;sourceID=14","0")</f>
        <v>0</v>
      </c>
    </row>
    <row r="2836" spans="1:7">
      <c r="A2836" s="3">
        <v>18</v>
      </c>
      <c r="B2836" s="3">
        <v>8</v>
      </c>
      <c r="C2836" s="3">
        <v>83</v>
      </c>
      <c r="D2836" s="3">
        <v>64</v>
      </c>
      <c r="E2836" s="3">
        <v>1485.884</v>
      </c>
      <c r="F2836" s="4" t="str">
        <f>HYPERLINK("http://141.218.60.56/~jnz1568/getInfo.php?workbook=18_08.xlsx&amp;sheet=A0&amp;row=2836&amp;col=6&amp;number=4.809&amp;sourceID=14","4.809")</f>
        <v>4.809</v>
      </c>
      <c r="G2836" s="4" t="str">
        <f>HYPERLINK("http://141.218.60.56/~jnz1568/getInfo.php?workbook=18_08.xlsx&amp;sheet=A0&amp;row=2836&amp;col=7&amp;number=0&amp;sourceID=14","0")</f>
        <v>0</v>
      </c>
    </row>
    <row r="2837" spans="1:7">
      <c r="A2837" s="3">
        <v>18</v>
      </c>
      <c r="B2837" s="3">
        <v>8</v>
      </c>
      <c r="C2837" s="3">
        <v>84</v>
      </c>
      <c r="D2837" s="3">
        <v>64</v>
      </c>
      <c r="E2837" s="3">
        <v>1730.104</v>
      </c>
      <c r="F2837" s="4" t="str">
        <f>HYPERLINK("http://141.218.60.56/~jnz1568/getInfo.php?workbook=18_08.xlsx&amp;sheet=A0&amp;row=2837&amp;col=6&amp;number=6.6&amp;sourceID=14","6.6")</f>
        <v>6.6</v>
      </c>
      <c r="G2837" s="4" t="str">
        <f>HYPERLINK("http://141.218.60.56/~jnz1568/getInfo.php?workbook=18_08.xlsx&amp;sheet=A0&amp;row=2837&amp;col=7&amp;number=0&amp;sourceID=14","0")</f>
        <v>0</v>
      </c>
    </row>
    <row r="2838" spans="1:7">
      <c r="A2838" s="3">
        <v>18</v>
      </c>
      <c r="B2838" s="3">
        <v>8</v>
      </c>
      <c r="C2838" s="3">
        <v>85</v>
      </c>
      <c r="D2838" s="3">
        <v>64</v>
      </c>
      <c r="E2838" s="3">
        <v>1369.3</v>
      </c>
      <c r="F2838" s="4" t="str">
        <f>HYPERLINK("http://141.218.60.56/~jnz1568/getInfo.php?workbook=18_08.xlsx&amp;sheet=A0&amp;row=2838&amp;col=6&amp;number=0.006352&amp;sourceID=14","0.006352")</f>
        <v>0.006352</v>
      </c>
      <c r="G2838" s="4" t="str">
        <f>HYPERLINK("http://141.218.60.56/~jnz1568/getInfo.php?workbook=18_08.xlsx&amp;sheet=A0&amp;row=2838&amp;col=7&amp;number=0&amp;sourceID=14","0")</f>
        <v>0</v>
      </c>
    </row>
    <row r="2839" spans="1:7">
      <c r="A2839" s="3">
        <v>18</v>
      </c>
      <c r="B2839" s="3">
        <v>8</v>
      </c>
      <c r="C2839" s="3">
        <v>86</v>
      </c>
      <c r="D2839" s="3">
        <v>64</v>
      </c>
      <c r="E2839" s="3">
        <v>964.041</v>
      </c>
      <c r="F2839" s="4" t="str">
        <f>HYPERLINK("http://141.218.60.56/~jnz1568/getInfo.php?workbook=18_08.xlsx&amp;sheet=A0&amp;row=2839&amp;col=6&amp;number=77.54&amp;sourceID=14","77.54")</f>
        <v>77.54</v>
      </c>
      <c r="G2839" s="4" t="str">
        <f>HYPERLINK("http://141.218.60.56/~jnz1568/getInfo.php?workbook=18_08.xlsx&amp;sheet=A0&amp;row=2839&amp;col=7&amp;number=0&amp;sourceID=14","0")</f>
        <v>0</v>
      </c>
    </row>
    <row r="2840" spans="1:7">
      <c r="A2840" s="3">
        <v>18</v>
      </c>
      <c r="B2840" s="3">
        <v>8</v>
      </c>
      <c r="C2840" s="3">
        <v>66</v>
      </c>
      <c r="D2840" s="3">
        <v>65</v>
      </c>
      <c r="E2840" s="3">
        <v>-3592.179</v>
      </c>
      <c r="F2840" s="4" t="str">
        <f>HYPERLINK("http://141.218.60.56/~jnz1568/getInfo.php?workbook=18_08.xlsx&amp;sheet=A0&amp;row=2840&amp;col=6&amp;number=1.6e-07&amp;sourceID=14","1.6e-07")</f>
        <v>1.6e-07</v>
      </c>
      <c r="G2840" s="4" t="str">
        <f>HYPERLINK("http://141.218.60.56/~jnz1568/getInfo.php?workbook=18_08.xlsx&amp;sheet=A0&amp;row=2840&amp;col=7&amp;number=0&amp;sourceID=14","0")</f>
        <v>0</v>
      </c>
    </row>
    <row r="2841" spans="1:7">
      <c r="A2841" s="3">
        <v>18</v>
      </c>
      <c r="B2841" s="3">
        <v>8</v>
      </c>
      <c r="C2841" s="3">
        <v>67</v>
      </c>
      <c r="D2841" s="3">
        <v>65</v>
      </c>
      <c r="E2841" s="3">
        <v>-4932.136</v>
      </c>
      <c r="F2841" s="4" t="str">
        <f>HYPERLINK("http://141.218.60.56/~jnz1568/getInfo.php?workbook=18_08.xlsx&amp;sheet=A0&amp;row=2841&amp;col=6&amp;number=94130&amp;sourceID=14","94130")</f>
        <v>94130</v>
      </c>
      <c r="G2841" s="4" t="str">
        <f>HYPERLINK("http://141.218.60.56/~jnz1568/getInfo.php?workbook=18_08.xlsx&amp;sheet=A0&amp;row=2841&amp;col=7&amp;number=0&amp;sourceID=14","0")</f>
        <v>0</v>
      </c>
    </row>
    <row r="2842" spans="1:7">
      <c r="A2842" s="3">
        <v>18</v>
      </c>
      <c r="B2842" s="3">
        <v>8</v>
      </c>
      <c r="C2842" s="3">
        <v>69</v>
      </c>
      <c r="D2842" s="3">
        <v>65</v>
      </c>
      <c r="E2842" s="3">
        <v>-2624.227</v>
      </c>
      <c r="F2842" s="4" t="str">
        <f>HYPERLINK("http://141.218.60.56/~jnz1568/getInfo.php?workbook=18_08.xlsx&amp;sheet=A0&amp;row=2842&amp;col=6&amp;number=2.639e-06&amp;sourceID=14","2.639e-06")</f>
        <v>2.639e-06</v>
      </c>
      <c r="G2842" s="4" t="str">
        <f>HYPERLINK("http://141.218.60.56/~jnz1568/getInfo.php?workbook=18_08.xlsx&amp;sheet=A0&amp;row=2842&amp;col=7&amp;number=0&amp;sourceID=14","0")</f>
        <v>0</v>
      </c>
    </row>
    <row r="2843" spans="1:7">
      <c r="A2843" s="3">
        <v>18</v>
      </c>
      <c r="B2843" s="3">
        <v>8</v>
      </c>
      <c r="C2843" s="3">
        <v>71</v>
      </c>
      <c r="D2843" s="3">
        <v>65</v>
      </c>
      <c r="E2843" s="3">
        <v>-2336.064</v>
      </c>
      <c r="F2843" s="4" t="str">
        <f>HYPERLINK("http://141.218.60.56/~jnz1568/getInfo.php?workbook=18_08.xlsx&amp;sheet=A0&amp;row=2843&amp;col=6&amp;number=13440&amp;sourceID=14","13440")</f>
        <v>13440</v>
      </c>
      <c r="G2843" s="4" t="str">
        <f>HYPERLINK("http://141.218.60.56/~jnz1568/getInfo.php?workbook=18_08.xlsx&amp;sheet=A0&amp;row=2843&amp;col=7&amp;number=0&amp;sourceID=14","0")</f>
        <v>0</v>
      </c>
    </row>
    <row r="2844" spans="1:7">
      <c r="A2844" s="3">
        <v>18</v>
      </c>
      <c r="B2844" s="3">
        <v>8</v>
      </c>
      <c r="C2844" s="3">
        <v>72</v>
      </c>
      <c r="D2844" s="3">
        <v>65</v>
      </c>
      <c r="E2844" s="3">
        <v>-2773.44</v>
      </c>
      <c r="F2844" s="4" t="str">
        <f>HYPERLINK("http://141.218.60.56/~jnz1568/getInfo.php?workbook=18_08.xlsx&amp;sheet=A0&amp;row=2844&amp;col=6&amp;number=2.921e-05&amp;sourceID=14","2.921e-05")</f>
        <v>2.921e-05</v>
      </c>
      <c r="G2844" s="4" t="str">
        <f>HYPERLINK("http://141.218.60.56/~jnz1568/getInfo.php?workbook=18_08.xlsx&amp;sheet=A0&amp;row=2844&amp;col=7&amp;number=0&amp;sourceID=14","0")</f>
        <v>0</v>
      </c>
    </row>
    <row r="2845" spans="1:7">
      <c r="A2845" s="3">
        <v>18</v>
      </c>
      <c r="B2845" s="3">
        <v>8</v>
      </c>
      <c r="C2845" s="3">
        <v>73</v>
      </c>
      <c r="D2845" s="3">
        <v>65</v>
      </c>
      <c r="E2845" s="3">
        <v>-2111.175</v>
      </c>
      <c r="F2845" s="4" t="str">
        <f>HYPERLINK("http://141.218.60.56/~jnz1568/getInfo.php?workbook=18_08.xlsx&amp;sheet=A0&amp;row=2845&amp;col=6&amp;number=97890&amp;sourceID=14","97890")</f>
        <v>97890</v>
      </c>
      <c r="G2845" s="4" t="str">
        <f>HYPERLINK("http://141.218.60.56/~jnz1568/getInfo.php?workbook=18_08.xlsx&amp;sheet=A0&amp;row=2845&amp;col=7&amp;number=0&amp;sourceID=14","0")</f>
        <v>0</v>
      </c>
    </row>
    <row r="2846" spans="1:7">
      <c r="A2846" s="3">
        <v>18</v>
      </c>
      <c r="B2846" s="3">
        <v>8</v>
      </c>
      <c r="C2846" s="3">
        <v>75</v>
      </c>
      <c r="D2846" s="3">
        <v>65</v>
      </c>
      <c r="E2846" s="3">
        <v>-1532.96</v>
      </c>
      <c r="F2846" s="4" t="str">
        <f>HYPERLINK("http://141.218.60.56/~jnz1568/getInfo.php?workbook=18_08.xlsx&amp;sheet=A0&amp;row=2846&amp;col=6&amp;number=2.199e-05&amp;sourceID=14","2.199e-05")</f>
        <v>2.199e-05</v>
      </c>
      <c r="G2846" s="4" t="str">
        <f>HYPERLINK("http://141.218.60.56/~jnz1568/getInfo.php?workbook=18_08.xlsx&amp;sheet=A0&amp;row=2846&amp;col=7&amp;number=0&amp;sourceID=14","0")</f>
        <v>0</v>
      </c>
    </row>
    <row r="2847" spans="1:7">
      <c r="A2847" s="3">
        <v>18</v>
      </c>
      <c r="B2847" s="3">
        <v>8</v>
      </c>
      <c r="C2847" s="3">
        <v>79</v>
      </c>
      <c r="D2847" s="3">
        <v>65</v>
      </c>
      <c r="E2847" s="3">
        <v>-1448.384</v>
      </c>
      <c r="F2847" s="4" t="str">
        <f>HYPERLINK("http://141.218.60.56/~jnz1568/getInfo.php?workbook=18_08.xlsx&amp;sheet=A0&amp;row=2847&amp;col=6&amp;number=686200&amp;sourceID=14","686200")</f>
        <v>686200</v>
      </c>
      <c r="G2847" s="4" t="str">
        <f>HYPERLINK("http://141.218.60.56/~jnz1568/getInfo.php?workbook=18_08.xlsx&amp;sheet=A0&amp;row=2847&amp;col=7&amp;number=0&amp;sourceID=14","0")</f>
        <v>0</v>
      </c>
    </row>
    <row r="2848" spans="1:7">
      <c r="A2848" s="3">
        <v>18</v>
      </c>
      <c r="B2848" s="3">
        <v>8</v>
      </c>
      <c r="C2848" s="3">
        <v>80</v>
      </c>
      <c r="D2848" s="3">
        <v>65</v>
      </c>
      <c r="E2848" s="3">
        <v>-1408.851</v>
      </c>
      <c r="F2848" s="4" t="str">
        <f>HYPERLINK("http://141.218.60.56/~jnz1568/getInfo.php?workbook=18_08.xlsx&amp;sheet=A0&amp;row=2848&amp;col=6&amp;number=0.001537&amp;sourceID=14","0.001537")</f>
        <v>0.001537</v>
      </c>
      <c r="G2848" s="4" t="str">
        <f>HYPERLINK("http://141.218.60.56/~jnz1568/getInfo.php?workbook=18_08.xlsx&amp;sheet=A0&amp;row=2848&amp;col=7&amp;number=0&amp;sourceID=14","0")</f>
        <v>0</v>
      </c>
    </row>
    <row r="2849" spans="1:7">
      <c r="A2849" s="3">
        <v>18</v>
      </c>
      <c r="B2849" s="3">
        <v>8</v>
      </c>
      <c r="C2849" s="3">
        <v>81</v>
      </c>
      <c r="D2849" s="3">
        <v>65</v>
      </c>
      <c r="E2849" s="3">
        <v>-1229.87</v>
      </c>
      <c r="F2849" s="4" t="str">
        <f>HYPERLINK("http://141.218.60.56/~jnz1568/getInfo.php?workbook=18_08.xlsx&amp;sheet=A0&amp;row=2849&amp;col=6&amp;number=7.573e-05&amp;sourceID=14","7.573e-05")</f>
        <v>7.573e-05</v>
      </c>
      <c r="G2849" s="4" t="str">
        <f>HYPERLINK("http://141.218.60.56/~jnz1568/getInfo.php?workbook=18_08.xlsx&amp;sheet=A0&amp;row=2849&amp;col=7&amp;number=0&amp;sourceID=14","0")</f>
        <v>0</v>
      </c>
    </row>
    <row r="2850" spans="1:7">
      <c r="A2850" s="3">
        <v>18</v>
      </c>
      <c r="B2850" s="3">
        <v>8</v>
      </c>
      <c r="C2850" s="3">
        <v>83</v>
      </c>
      <c r="D2850" s="3">
        <v>65</v>
      </c>
      <c r="E2850" s="3">
        <v>-1179.34</v>
      </c>
      <c r="F2850" s="4" t="str">
        <f>HYPERLINK("http://141.218.60.56/~jnz1568/getInfo.php?workbook=18_08.xlsx&amp;sheet=A0&amp;row=2850&amp;col=6&amp;number=652400&amp;sourceID=14","652400")</f>
        <v>652400</v>
      </c>
      <c r="G2850" s="4" t="str">
        <f>HYPERLINK("http://141.218.60.56/~jnz1568/getInfo.php?workbook=18_08.xlsx&amp;sheet=A0&amp;row=2850&amp;col=7&amp;number=0&amp;sourceID=14","0")</f>
        <v>0</v>
      </c>
    </row>
    <row r="2851" spans="1:7">
      <c r="A2851" s="3">
        <v>18</v>
      </c>
      <c r="B2851" s="3">
        <v>8</v>
      </c>
      <c r="C2851" s="3">
        <v>84</v>
      </c>
      <c r="D2851" s="3">
        <v>65</v>
      </c>
      <c r="E2851" s="3">
        <v>-1025.208</v>
      </c>
      <c r="F2851" s="4" t="str">
        <f>HYPERLINK("http://141.218.60.56/~jnz1568/getInfo.php?workbook=18_08.xlsx&amp;sheet=A0&amp;row=2851&amp;col=6&amp;number=0.003842&amp;sourceID=14","0.003842")</f>
        <v>0.003842</v>
      </c>
      <c r="G2851" s="4" t="str">
        <f>HYPERLINK("http://141.218.60.56/~jnz1568/getInfo.php?workbook=18_08.xlsx&amp;sheet=A0&amp;row=2851&amp;col=7&amp;number=0&amp;sourceID=14","0")</f>
        <v>0</v>
      </c>
    </row>
    <row r="2852" spans="1:7">
      <c r="A2852" s="3">
        <v>18</v>
      </c>
      <c r="B2852" s="3">
        <v>8</v>
      </c>
      <c r="C2852" s="3">
        <v>86</v>
      </c>
      <c r="D2852" s="3">
        <v>65</v>
      </c>
      <c r="E2852" s="3">
        <v>-756.562</v>
      </c>
      <c r="F2852" s="4" t="str">
        <f>HYPERLINK("http://141.218.60.56/~jnz1568/getInfo.php?workbook=18_08.xlsx&amp;sheet=A0&amp;row=2852&amp;col=6&amp;number=689000000&amp;sourceID=14","689000000")</f>
        <v>689000000</v>
      </c>
      <c r="G2852" s="4" t="str">
        <f>HYPERLINK("http://141.218.60.56/~jnz1568/getInfo.php?workbook=18_08.xlsx&amp;sheet=A0&amp;row=2852&amp;col=7&amp;number=0&amp;sourceID=14","0")</f>
        <v>0</v>
      </c>
    </row>
    <row r="2853" spans="1:7">
      <c r="A2853" s="3">
        <v>18</v>
      </c>
      <c r="B2853" s="3">
        <v>8</v>
      </c>
      <c r="C2853" s="3">
        <v>68</v>
      </c>
      <c r="D2853" s="3">
        <v>66</v>
      </c>
      <c r="E2853" s="3">
        <v>63371.355</v>
      </c>
      <c r="F2853" s="4" t="str">
        <f>HYPERLINK("http://141.218.60.56/~jnz1568/getInfo.php?workbook=18_08.xlsx&amp;sheet=A0&amp;row=2853&amp;col=6&amp;number=0.06294&amp;sourceID=14","0.06294")</f>
        <v>0.06294</v>
      </c>
      <c r="G2853" s="4" t="str">
        <f>HYPERLINK("http://141.218.60.56/~jnz1568/getInfo.php?workbook=18_08.xlsx&amp;sheet=A0&amp;row=2853&amp;col=7&amp;number=0&amp;sourceID=14","0")</f>
        <v>0</v>
      </c>
    </row>
    <row r="2854" spans="1:7">
      <c r="A2854" s="3">
        <v>18</v>
      </c>
      <c r="B2854" s="3">
        <v>8</v>
      </c>
      <c r="C2854" s="3">
        <v>69</v>
      </c>
      <c r="D2854" s="3">
        <v>66</v>
      </c>
      <c r="E2854" s="3">
        <v>9441.979</v>
      </c>
      <c r="F2854" s="4" t="str">
        <f>HYPERLINK("http://141.218.60.56/~jnz1568/getInfo.php?workbook=18_08.xlsx&amp;sheet=A0&amp;row=2854&amp;col=6&amp;number=0.5682&amp;sourceID=14","0.5682")</f>
        <v>0.5682</v>
      </c>
      <c r="G2854" s="4" t="str">
        <f>HYPERLINK("http://141.218.60.56/~jnz1568/getInfo.php?workbook=18_08.xlsx&amp;sheet=A0&amp;row=2854&amp;col=7&amp;number=0&amp;sourceID=14","0")</f>
        <v>0</v>
      </c>
    </row>
    <row r="2855" spans="1:7">
      <c r="A2855" s="3">
        <v>18</v>
      </c>
      <c r="B2855" s="3">
        <v>8</v>
      </c>
      <c r="C2855" s="3">
        <v>70</v>
      </c>
      <c r="D2855" s="3">
        <v>66</v>
      </c>
      <c r="E2855" s="3">
        <v>-6987.74</v>
      </c>
      <c r="F2855" s="4" t="str">
        <f>HYPERLINK("http://141.218.60.56/~jnz1568/getInfo.php?workbook=18_08.xlsx&amp;sheet=A0&amp;row=2855&amp;col=6&amp;number=0.007794&amp;sourceID=14","0.007794")</f>
        <v>0.007794</v>
      </c>
      <c r="G2855" s="4" t="str">
        <f>HYPERLINK("http://141.218.60.56/~jnz1568/getInfo.php?workbook=18_08.xlsx&amp;sheet=A0&amp;row=2855&amp;col=7&amp;number=0&amp;sourceID=14","0")</f>
        <v>0</v>
      </c>
    </row>
    <row r="2856" spans="1:7">
      <c r="A2856" s="3">
        <v>18</v>
      </c>
      <c r="B2856" s="3">
        <v>8</v>
      </c>
      <c r="C2856" s="3">
        <v>71</v>
      </c>
      <c r="D2856" s="3">
        <v>66</v>
      </c>
      <c r="E2856" s="3">
        <v>4545.455</v>
      </c>
      <c r="F2856" s="4" t="str">
        <f>HYPERLINK("http://141.218.60.56/~jnz1568/getInfo.php?workbook=18_08.xlsx&amp;sheet=A0&amp;row=2856&amp;col=6&amp;number=1.174&amp;sourceID=14","1.174")</f>
        <v>1.174</v>
      </c>
      <c r="G2856" s="4" t="str">
        <f>HYPERLINK("http://141.218.60.56/~jnz1568/getInfo.php?workbook=18_08.xlsx&amp;sheet=A0&amp;row=2856&amp;col=7&amp;number=0&amp;sourceID=14","0")</f>
        <v>0</v>
      </c>
    </row>
    <row r="2857" spans="1:7">
      <c r="A2857" s="3">
        <v>18</v>
      </c>
      <c r="B2857" s="3">
        <v>8</v>
      </c>
      <c r="C2857" s="3">
        <v>72</v>
      </c>
      <c r="D2857" s="3">
        <v>66</v>
      </c>
      <c r="E2857" s="3">
        <v>9441.979</v>
      </c>
      <c r="F2857" s="4" t="str">
        <f>HYPERLINK("http://141.218.60.56/~jnz1568/getInfo.php?workbook=18_08.xlsx&amp;sheet=A0&amp;row=2857&amp;col=6&amp;number=0.7838&amp;sourceID=14","0.7838")</f>
        <v>0.7838</v>
      </c>
      <c r="G2857" s="4" t="str">
        <f>HYPERLINK("http://141.218.60.56/~jnz1568/getInfo.php?workbook=18_08.xlsx&amp;sheet=A0&amp;row=2857&amp;col=7&amp;number=0&amp;sourceID=14","0")</f>
        <v>0</v>
      </c>
    </row>
    <row r="2858" spans="1:7">
      <c r="A2858" s="3">
        <v>18</v>
      </c>
      <c r="B2858" s="3">
        <v>8</v>
      </c>
      <c r="C2858" s="3">
        <v>73</v>
      </c>
      <c r="D2858" s="3">
        <v>66</v>
      </c>
      <c r="E2858" s="3">
        <v>4545.455</v>
      </c>
      <c r="F2858" s="4" t="str">
        <f>HYPERLINK("http://141.218.60.56/~jnz1568/getInfo.php?workbook=18_08.xlsx&amp;sheet=A0&amp;row=2858&amp;col=6&amp;number=0.6365&amp;sourceID=14","0.6365")</f>
        <v>0.6365</v>
      </c>
      <c r="G2858" s="4" t="str">
        <f>HYPERLINK("http://141.218.60.56/~jnz1568/getInfo.php?workbook=18_08.xlsx&amp;sheet=A0&amp;row=2858&amp;col=7&amp;number=0&amp;sourceID=14","0")</f>
        <v>0</v>
      </c>
    </row>
    <row r="2859" spans="1:7">
      <c r="A2859" s="3">
        <v>18</v>
      </c>
      <c r="B2859" s="3">
        <v>8</v>
      </c>
      <c r="C2859" s="3">
        <v>74</v>
      </c>
      <c r="D2859" s="3">
        <v>66</v>
      </c>
      <c r="E2859" s="3">
        <v>2935.047</v>
      </c>
      <c r="F2859" s="4" t="str">
        <f>HYPERLINK("http://141.218.60.56/~jnz1568/getInfo.php?workbook=18_08.xlsx&amp;sheet=A0&amp;row=2859&amp;col=6&amp;number=0.09858&amp;sourceID=14","0.09858")</f>
        <v>0.09858</v>
      </c>
      <c r="G2859" s="4" t="str">
        <f>HYPERLINK("http://141.218.60.56/~jnz1568/getInfo.php?workbook=18_08.xlsx&amp;sheet=A0&amp;row=2859&amp;col=7&amp;number=0&amp;sourceID=14","0")</f>
        <v>0</v>
      </c>
    </row>
    <row r="2860" spans="1:7">
      <c r="A2860" s="3">
        <v>18</v>
      </c>
      <c r="B2860" s="3">
        <v>8</v>
      </c>
      <c r="C2860" s="3">
        <v>75</v>
      </c>
      <c r="D2860" s="3">
        <v>66</v>
      </c>
      <c r="E2860" s="3">
        <v>-2674.153</v>
      </c>
      <c r="F2860" s="4" t="str">
        <f>HYPERLINK("http://141.218.60.56/~jnz1568/getInfo.php?workbook=18_08.xlsx&amp;sheet=A0&amp;row=2860&amp;col=6&amp;number=0.6736&amp;sourceID=14","0.6736")</f>
        <v>0.6736</v>
      </c>
      <c r="G2860" s="4" t="str">
        <f>HYPERLINK("http://141.218.60.56/~jnz1568/getInfo.php?workbook=18_08.xlsx&amp;sheet=A0&amp;row=2860&amp;col=7&amp;number=0&amp;sourceID=14","0")</f>
        <v>0</v>
      </c>
    </row>
    <row r="2861" spans="1:7">
      <c r="A2861" s="3">
        <v>18</v>
      </c>
      <c r="B2861" s="3">
        <v>8</v>
      </c>
      <c r="C2861" s="3">
        <v>76</v>
      </c>
      <c r="D2861" s="3">
        <v>66</v>
      </c>
      <c r="E2861" s="3">
        <v>-2656.333</v>
      </c>
      <c r="F2861" s="4" t="str">
        <f>HYPERLINK("http://141.218.60.56/~jnz1568/getInfo.php?workbook=18_08.xlsx&amp;sheet=A0&amp;row=2861&amp;col=6&amp;number=0.005003&amp;sourceID=14","0.005003")</f>
        <v>0.005003</v>
      </c>
      <c r="G2861" s="4" t="str">
        <f>HYPERLINK("http://141.218.60.56/~jnz1568/getInfo.php?workbook=18_08.xlsx&amp;sheet=A0&amp;row=2861&amp;col=7&amp;number=0&amp;sourceID=14","0")</f>
        <v>0</v>
      </c>
    </row>
    <row r="2862" spans="1:7">
      <c r="A2862" s="3">
        <v>18</v>
      </c>
      <c r="B2862" s="3">
        <v>8</v>
      </c>
      <c r="C2862" s="3">
        <v>77</v>
      </c>
      <c r="D2862" s="3">
        <v>66</v>
      </c>
      <c r="E2862" s="3">
        <v>2932.207</v>
      </c>
      <c r="F2862" s="4" t="str">
        <f>HYPERLINK("http://141.218.60.56/~jnz1568/getInfo.php?workbook=18_08.xlsx&amp;sheet=A0&amp;row=2862&amp;col=6&amp;number=4.606&amp;sourceID=14","4.606")</f>
        <v>4.606</v>
      </c>
      <c r="G2862" s="4" t="str">
        <f>HYPERLINK("http://141.218.60.56/~jnz1568/getInfo.php?workbook=18_08.xlsx&amp;sheet=A0&amp;row=2862&amp;col=7&amp;number=0&amp;sourceID=14","0")</f>
        <v>0</v>
      </c>
    </row>
    <row r="2863" spans="1:7">
      <c r="A2863" s="3">
        <v>18</v>
      </c>
      <c r="B2863" s="3">
        <v>8</v>
      </c>
      <c r="C2863" s="3">
        <v>78</v>
      </c>
      <c r="D2863" s="3">
        <v>66</v>
      </c>
      <c r="E2863" s="3">
        <v>-2616.609</v>
      </c>
      <c r="F2863" s="4" t="str">
        <f>HYPERLINK("http://141.218.60.56/~jnz1568/getInfo.php?workbook=18_08.xlsx&amp;sheet=A0&amp;row=2863&amp;col=6&amp;number=0.1426&amp;sourceID=14","0.1426")</f>
        <v>0.1426</v>
      </c>
      <c r="G2863" s="4" t="str">
        <f>HYPERLINK("http://141.218.60.56/~jnz1568/getInfo.php?workbook=18_08.xlsx&amp;sheet=A0&amp;row=2863&amp;col=7&amp;number=0&amp;sourceID=14","0")</f>
        <v>0</v>
      </c>
    </row>
    <row r="2864" spans="1:7">
      <c r="A2864" s="3">
        <v>18</v>
      </c>
      <c r="B2864" s="3">
        <v>8</v>
      </c>
      <c r="C2864" s="3">
        <v>79</v>
      </c>
      <c r="D2864" s="3">
        <v>66</v>
      </c>
      <c r="E2864" s="3">
        <v>-2426.936</v>
      </c>
      <c r="F2864" s="4" t="str">
        <f>HYPERLINK("http://141.218.60.56/~jnz1568/getInfo.php?workbook=18_08.xlsx&amp;sheet=A0&amp;row=2864&amp;col=6&amp;number=14.08&amp;sourceID=14","14.08")</f>
        <v>14.08</v>
      </c>
      <c r="G2864" s="4" t="str">
        <f>HYPERLINK("http://141.218.60.56/~jnz1568/getInfo.php?workbook=18_08.xlsx&amp;sheet=A0&amp;row=2864&amp;col=7&amp;number=0&amp;sourceID=14","0")</f>
        <v>0</v>
      </c>
    </row>
    <row r="2865" spans="1:7">
      <c r="A2865" s="3">
        <v>18</v>
      </c>
      <c r="B2865" s="3">
        <v>8</v>
      </c>
      <c r="C2865" s="3">
        <v>80</v>
      </c>
      <c r="D2865" s="3">
        <v>66</v>
      </c>
      <c r="E2865" s="3">
        <v>-2317.95</v>
      </c>
      <c r="F2865" s="4" t="str">
        <f>HYPERLINK("http://141.218.60.56/~jnz1568/getInfo.php?workbook=18_08.xlsx&amp;sheet=A0&amp;row=2865&amp;col=6&amp;number=7.805&amp;sourceID=14","7.805")</f>
        <v>7.805</v>
      </c>
      <c r="G2865" s="4" t="str">
        <f>HYPERLINK("http://141.218.60.56/~jnz1568/getInfo.php?workbook=18_08.xlsx&amp;sheet=A0&amp;row=2865&amp;col=7&amp;number=0&amp;sourceID=14","0")</f>
        <v>0</v>
      </c>
    </row>
    <row r="2866" spans="1:7">
      <c r="A2866" s="3">
        <v>18</v>
      </c>
      <c r="B2866" s="3">
        <v>8</v>
      </c>
      <c r="C2866" s="3">
        <v>81</v>
      </c>
      <c r="D2866" s="3">
        <v>66</v>
      </c>
      <c r="E2866" s="3">
        <v>1851.715</v>
      </c>
      <c r="F2866" s="4" t="str">
        <f>HYPERLINK("http://141.218.60.56/~jnz1568/getInfo.php?workbook=18_08.xlsx&amp;sheet=A0&amp;row=2866&amp;col=6&amp;number=4.178&amp;sourceID=14","4.178")</f>
        <v>4.178</v>
      </c>
      <c r="G2866" s="4" t="str">
        <f>HYPERLINK("http://141.218.60.56/~jnz1568/getInfo.php?workbook=18_08.xlsx&amp;sheet=A0&amp;row=2866&amp;col=7&amp;number=0&amp;sourceID=14","0")</f>
        <v>0</v>
      </c>
    </row>
    <row r="2867" spans="1:7">
      <c r="A2867" s="3">
        <v>18</v>
      </c>
      <c r="B2867" s="3">
        <v>8</v>
      </c>
      <c r="C2867" s="3">
        <v>82</v>
      </c>
      <c r="D2867" s="3">
        <v>66</v>
      </c>
      <c r="E2867" s="3">
        <v>1727.623</v>
      </c>
      <c r="F2867" s="4" t="str">
        <f>HYPERLINK("http://141.218.60.56/~jnz1568/getInfo.php?workbook=18_08.xlsx&amp;sheet=A0&amp;row=2867&amp;col=6&amp;number=167.6&amp;sourceID=14","167.6")</f>
        <v>167.6</v>
      </c>
      <c r="G2867" s="4" t="str">
        <f>HYPERLINK("http://141.218.60.56/~jnz1568/getInfo.php?workbook=18_08.xlsx&amp;sheet=A0&amp;row=2867&amp;col=7&amp;number=0&amp;sourceID=14","0")</f>
        <v>0</v>
      </c>
    </row>
    <row r="2868" spans="1:7">
      <c r="A2868" s="3">
        <v>18</v>
      </c>
      <c r="B2868" s="3">
        <v>8</v>
      </c>
      <c r="C2868" s="3">
        <v>83</v>
      </c>
      <c r="D2868" s="3">
        <v>66</v>
      </c>
      <c r="E2868" s="3">
        <v>1477.672</v>
      </c>
      <c r="F2868" s="4" t="str">
        <f>HYPERLINK("http://141.218.60.56/~jnz1568/getInfo.php?workbook=18_08.xlsx&amp;sheet=A0&amp;row=2868&amp;col=6&amp;number=74.14&amp;sourceID=14","74.14")</f>
        <v>74.14</v>
      </c>
      <c r="G2868" s="4" t="str">
        <f>HYPERLINK("http://141.218.60.56/~jnz1568/getInfo.php?workbook=18_08.xlsx&amp;sheet=A0&amp;row=2868&amp;col=7&amp;number=0&amp;sourceID=14","0")</f>
        <v>0</v>
      </c>
    </row>
    <row r="2869" spans="1:7">
      <c r="A2869" s="3">
        <v>18</v>
      </c>
      <c r="B2869" s="3">
        <v>8</v>
      </c>
      <c r="C2869" s="3">
        <v>84</v>
      </c>
      <c r="D2869" s="3">
        <v>66</v>
      </c>
      <c r="E2869" s="3">
        <v>1718.981</v>
      </c>
      <c r="F2869" s="4" t="str">
        <f>HYPERLINK("http://141.218.60.56/~jnz1568/getInfo.php?workbook=18_08.xlsx&amp;sheet=A0&amp;row=2869&amp;col=6&amp;number=7.285&amp;sourceID=14","7.285")</f>
        <v>7.285</v>
      </c>
      <c r="G2869" s="4" t="str">
        <f>HYPERLINK("http://141.218.60.56/~jnz1568/getInfo.php?workbook=18_08.xlsx&amp;sheet=A0&amp;row=2869&amp;col=7&amp;number=0&amp;sourceID=14","0")</f>
        <v>0</v>
      </c>
    </row>
    <row r="2870" spans="1:7">
      <c r="A2870" s="3">
        <v>18</v>
      </c>
      <c r="B2870" s="3">
        <v>8</v>
      </c>
      <c r="C2870" s="3">
        <v>85</v>
      </c>
      <c r="D2870" s="3">
        <v>66</v>
      </c>
      <c r="E2870" s="3">
        <v>1362.324</v>
      </c>
      <c r="F2870" s="4" t="str">
        <f>HYPERLINK("http://141.218.60.56/~jnz1568/getInfo.php?workbook=18_08.xlsx&amp;sheet=A0&amp;row=2870&amp;col=6&amp;number=6.025&amp;sourceID=14","6.025")</f>
        <v>6.025</v>
      </c>
      <c r="G2870" s="4" t="str">
        <f>HYPERLINK("http://141.218.60.56/~jnz1568/getInfo.php?workbook=18_08.xlsx&amp;sheet=A0&amp;row=2870&amp;col=7&amp;number=0&amp;sourceID=14","0")</f>
        <v>0</v>
      </c>
    </row>
    <row r="2871" spans="1:7">
      <c r="A2871" s="3">
        <v>18</v>
      </c>
      <c r="B2871" s="3">
        <v>8</v>
      </c>
      <c r="C2871" s="3">
        <v>86</v>
      </c>
      <c r="D2871" s="3">
        <v>66</v>
      </c>
      <c r="E2871" s="3">
        <v>960.578</v>
      </c>
      <c r="F2871" s="4" t="str">
        <f>HYPERLINK("http://141.218.60.56/~jnz1568/getInfo.php?workbook=18_08.xlsx&amp;sheet=A0&amp;row=2871&amp;col=6&amp;number=470.1&amp;sourceID=14","470.1")</f>
        <v>470.1</v>
      </c>
      <c r="G2871" s="4" t="str">
        <f>HYPERLINK("http://141.218.60.56/~jnz1568/getInfo.php?workbook=18_08.xlsx&amp;sheet=A0&amp;row=2871&amp;col=7&amp;number=0&amp;sourceID=14","0")</f>
        <v>0</v>
      </c>
    </row>
    <row r="2872" spans="1:7">
      <c r="A2872" s="3">
        <v>18</v>
      </c>
      <c r="B2872" s="3">
        <v>8</v>
      </c>
      <c r="C2872" s="3">
        <v>68</v>
      </c>
      <c r="D2872" s="3">
        <v>67</v>
      </c>
      <c r="E2872" s="3">
        <v>9733.308</v>
      </c>
      <c r="F2872" s="4" t="str">
        <f>HYPERLINK("http://141.218.60.56/~jnz1568/getInfo.php?workbook=18_08.xlsx&amp;sheet=A0&amp;row=2872&amp;col=6&amp;number=2.981e-06&amp;sourceID=14","2.981e-06")</f>
        <v>2.981e-06</v>
      </c>
      <c r="G2872" s="4" t="str">
        <f>HYPERLINK("http://141.218.60.56/~jnz1568/getInfo.php?workbook=18_08.xlsx&amp;sheet=A0&amp;row=2872&amp;col=7&amp;number=0&amp;sourceID=14","0")</f>
        <v>0</v>
      </c>
    </row>
    <row r="2873" spans="1:7">
      <c r="A2873" s="3">
        <v>18</v>
      </c>
      <c r="B2873" s="3">
        <v>8</v>
      </c>
      <c r="C2873" s="3">
        <v>69</v>
      </c>
      <c r="D2873" s="3">
        <v>67</v>
      </c>
      <c r="E2873" s="3">
        <v>5184.839</v>
      </c>
      <c r="F2873" s="4" t="str">
        <f>HYPERLINK("http://141.218.60.56/~jnz1568/getInfo.php?workbook=18_08.xlsx&amp;sheet=A0&amp;row=2873&amp;col=6&amp;number=0.7277&amp;sourceID=14","0.7277")</f>
        <v>0.7277</v>
      </c>
      <c r="G2873" s="4" t="str">
        <f>HYPERLINK("http://141.218.60.56/~jnz1568/getInfo.php?workbook=18_08.xlsx&amp;sheet=A0&amp;row=2873&amp;col=7&amp;number=0&amp;sourceID=14","0")</f>
        <v>0</v>
      </c>
    </row>
    <row r="2874" spans="1:7">
      <c r="A2874" s="3">
        <v>18</v>
      </c>
      <c r="B2874" s="3">
        <v>8</v>
      </c>
      <c r="C2874" s="3">
        <v>70</v>
      </c>
      <c r="D2874" s="3">
        <v>67</v>
      </c>
      <c r="E2874" s="3">
        <v>-4571.67</v>
      </c>
      <c r="F2874" s="4" t="str">
        <f>HYPERLINK("http://141.218.60.56/~jnz1568/getInfo.php?workbook=18_08.xlsx&amp;sheet=A0&amp;row=2874&amp;col=6&amp;number=2.917&amp;sourceID=14","2.917")</f>
        <v>2.917</v>
      </c>
      <c r="G2874" s="4" t="str">
        <f>HYPERLINK("http://141.218.60.56/~jnz1568/getInfo.php?workbook=18_08.xlsx&amp;sheet=A0&amp;row=2874&amp;col=7&amp;number=0&amp;sourceID=14","0")</f>
        <v>0</v>
      </c>
    </row>
    <row r="2875" spans="1:7">
      <c r="A2875" s="3">
        <v>18</v>
      </c>
      <c r="B2875" s="3">
        <v>8</v>
      </c>
      <c r="C2875" s="3">
        <v>71</v>
      </c>
      <c r="D2875" s="3">
        <v>67</v>
      </c>
      <c r="E2875" s="3">
        <v>3257.753</v>
      </c>
      <c r="F2875" s="4" t="str">
        <f>HYPERLINK("http://141.218.60.56/~jnz1568/getInfo.php?workbook=18_08.xlsx&amp;sheet=A0&amp;row=2875&amp;col=6&amp;number=2.729&amp;sourceID=14","2.729")</f>
        <v>2.729</v>
      </c>
      <c r="G2875" s="4" t="str">
        <f>HYPERLINK("http://141.218.60.56/~jnz1568/getInfo.php?workbook=18_08.xlsx&amp;sheet=A0&amp;row=2875&amp;col=7&amp;number=0&amp;sourceID=14","0")</f>
        <v>0</v>
      </c>
    </row>
    <row r="2876" spans="1:7">
      <c r="A2876" s="3">
        <v>18</v>
      </c>
      <c r="B2876" s="3">
        <v>8</v>
      </c>
      <c r="C2876" s="3">
        <v>72</v>
      </c>
      <c r="D2876" s="3">
        <v>67</v>
      </c>
      <c r="E2876" s="3">
        <v>5184.839</v>
      </c>
      <c r="F2876" s="4" t="str">
        <f>HYPERLINK("http://141.218.60.56/~jnz1568/getInfo.php?workbook=18_08.xlsx&amp;sheet=A0&amp;row=2876&amp;col=6&amp;number=1.523&amp;sourceID=14","1.523")</f>
        <v>1.523</v>
      </c>
      <c r="G2876" s="4" t="str">
        <f>HYPERLINK("http://141.218.60.56/~jnz1568/getInfo.php?workbook=18_08.xlsx&amp;sheet=A0&amp;row=2876&amp;col=7&amp;number=0&amp;sourceID=14","0")</f>
        <v>0</v>
      </c>
    </row>
    <row r="2877" spans="1:7">
      <c r="A2877" s="3">
        <v>18</v>
      </c>
      <c r="B2877" s="3">
        <v>8</v>
      </c>
      <c r="C2877" s="3">
        <v>73</v>
      </c>
      <c r="D2877" s="3">
        <v>67</v>
      </c>
      <c r="E2877" s="3">
        <v>3257.753</v>
      </c>
      <c r="F2877" s="4" t="str">
        <f>HYPERLINK("http://141.218.60.56/~jnz1568/getInfo.php?workbook=18_08.xlsx&amp;sheet=A0&amp;row=2877&amp;col=6&amp;number=5.457&amp;sourceID=14","5.457")</f>
        <v>5.457</v>
      </c>
      <c r="G2877" s="4" t="str">
        <f>HYPERLINK("http://141.218.60.56/~jnz1568/getInfo.php?workbook=18_08.xlsx&amp;sheet=A0&amp;row=2877&amp;col=7&amp;number=0&amp;sourceID=14","0")</f>
        <v>0</v>
      </c>
    </row>
    <row r="2878" spans="1:7">
      <c r="A2878" s="3">
        <v>18</v>
      </c>
      <c r="B2878" s="3">
        <v>8</v>
      </c>
      <c r="C2878" s="3">
        <v>74</v>
      </c>
      <c r="D2878" s="3">
        <v>67</v>
      </c>
      <c r="E2878" s="3">
        <v>2338.251</v>
      </c>
      <c r="F2878" s="4" t="str">
        <f>HYPERLINK("http://141.218.60.56/~jnz1568/getInfo.php?workbook=18_08.xlsx&amp;sheet=A0&amp;row=2878&amp;col=6&amp;number=0.1265&amp;sourceID=14","0.1265")</f>
        <v>0.1265</v>
      </c>
      <c r="G2878" s="4" t="str">
        <f>HYPERLINK("http://141.218.60.56/~jnz1568/getInfo.php?workbook=18_08.xlsx&amp;sheet=A0&amp;row=2878&amp;col=7&amp;number=0&amp;sourceID=14","0")</f>
        <v>0</v>
      </c>
    </row>
    <row r="2879" spans="1:7">
      <c r="A2879" s="3">
        <v>18</v>
      </c>
      <c r="B2879" s="3">
        <v>8</v>
      </c>
      <c r="C2879" s="3">
        <v>75</v>
      </c>
      <c r="D2879" s="3">
        <v>67</v>
      </c>
      <c r="E2879" s="3">
        <v>-2224.294</v>
      </c>
      <c r="F2879" s="4" t="str">
        <f>HYPERLINK("http://141.218.60.56/~jnz1568/getInfo.php?workbook=18_08.xlsx&amp;sheet=A0&amp;row=2879&amp;col=6&amp;number=0.05241&amp;sourceID=14","0.05241")</f>
        <v>0.05241</v>
      </c>
      <c r="G2879" s="4" t="str">
        <f>HYPERLINK("http://141.218.60.56/~jnz1568/getInfo.php?workbook=18_08.xlsx&amp;sheet=A0&amp;row=2879&amp;col=7&amp;number=0&amp;sourceID=14","0")</f>
        <v>0</v>
      </c>
    </row>
    <row r="2880" spans="1:7">
      <c r="A2880" s="3">
        <v>18</v>
      </c>
      <c r="B2880" s="3">
        <v>8</v>
      </c>
      <c r="C2880" s="3">
        <v>77</v>
      </c>
      <c r="D2880" s="3">
        <v>67</v>
      </c>
      <c r="E2880" s="3">
        <v>2336.448</v>
      </c>
      <c r="F2880" s="4" t="str">
        <f>HYPERLINK("http://141.218.60.56/~jnz1568/getInfo.php?workbook=18_08.xlsx&amp;sheet=A0&amp;row=2880&amp;col=6&amp;number=0.09019&amp;sourceID=14","0.09019")</f>
        <v>0.09019</v>
      </c>
      <c r="G2880" s="4" t="str">
        <f>HYPERLINK("http://141.218.60.56/~jnz1568/getInfo.php?workbook=18_08.xlsx&amp;sheet=A0&amp;row=2880&amp;col=7&amp;number=0&amp;sourceID=14","0")</f>
        <v>0</v>
      </c>
    </row>
    <row r="2881" spans="1:7">
      <c r="A2881" s="3">
        <v>18</v>
      </c>
      <c r="B2881" s="3">
        <v>8</v>
      </c>
      <c r="C2881" s="3">
        <v>78</v>
      </c>
      <c r="D2881" s="3">
        <v>67</v>
      </c>
      <c r="E2881" s="3">
        <v>-2184.338</v>
      </c>
      <c r="F2881" s="4" t="str">
        <f>HYPERLINK("http://141.218.60.56/~jnz1568/getInfo.php?workbook=18_08.xlsx&amp;sheet=A0&amp;row=2881&amp;col=6&amp;number=233.7&amp;sourceID=14","233.7")</f>
        <v>233.7</v>
      </c>
      <c r="G2881" s="4" t="str">
        <f>HYPERLINK("http://141.218.60.56/~jnz1568/getInfo.php?workbook=18_08.xlsx&amp;sheet=A0&amp;row=2881&amp;col=7&amp;number=0&amp;sourceID=14","0")</f>
        <v>0</v>
      </c>
    </row>
    <row r="2882" spans="1:7">
      <c r="A2882" s="3">
        <v>18</v>
      </c>
      <c r="B2882" s="3">
        <v>8</v>
      </c>
      <c r="C2882" s="3">
        <v>79</v>
      </c>
      <c r="D2882" s="3">
        <v>67</v>
      </c>
      <c r="E2882" s="3">
        <v>-2050.555</v>
      </c>
      <c r="F2882" s="4" t="str">
        <f>HYPERLINK("http://141.218.60.56/~jnz1568/getInfo.php?workbook=18_08.xlsx&amp;sheet=A0&amp;row=2882&amp;col=6&amp;number=66.91&amp;sourceID=14","66.91")</f>
        <v>66.91</v>
      </c>
      <c r="G2882" s="4" t="str">
        <f>HYPERLINK("http://141.218.60.56/~jnz1568/getInfo.php?workbook=18_08.xlsx&amp;sheet=A0&amp;row=2882&amp;col=7&amp;number=0&amp;sourceID=14","0")</f>
        <v>0</v>
      </c>
    </row>
    <row r="2883" spans="1:7">
      <c r="A2883" s="3">
        <v>18</v>
      </c>
      <c r="B2883" s="3">
        <v>8</v>
      </c>
      <c r="C2883" s="3">
        <v>80</v>
      </c>
      <c r="D2883" s="3">
        <v>67</v>
      </c>
      <c r="E2883" s="3">
        <v>-1972.207</v>
      </c>
      <c r="F2883" s="4" t="str">
        <f>HYPERLINK("http://141.218.60.56/~jnz1568/getInfo.php?workbook=18_08.xlsx&amp;sheet=A0&amp;row=2883&amp;col=6&amp;number=0.01879&amp;sourceID=14","0.01879")</f>
        <v>0.01879</v>
      </c>
      <c r="G2883" s="4" t="str">
        <f>HYPERLINK("http://141.218.60.56/~jnz1568/getInfo.php?workbook=18_08.xlsx&amp;sheet=A0&amp;row=2883&amp;col=7&amp;number=0&amp;sourceID=14","0")</f>
        <v>0</v>
      </c>
    </row>
    <row r="2884" spans="1:7">
      <c r="A2884" s="3">
        <v>18</v>
      </c>
      <c r="B2884" s="3">
        <v>8</v>
      </c>
      <c r="C2884" s="3">
        <v>81</v>
      </c>
      <c r="D2884" s="3">
        <v>67</v>
      </c>
      <c r="E2884" s="3">
        <v>1594.896</v>
      </c>
      <c r="F2884" s="4" t="str">
        <f>HYPERLINK("http://141.218.60.56/~jnz1568/getInfo.php?workbook=18_08.xlsx&amp;sheet=A0&amp;row=2884&amp;col=6&amp;number=31.37&amp;sourceID=14","31.37")</f>
        <v>31.37</v>
      </c>
      <c r="G2884" s="4" t="str">
        <f>HYPERLINK("http://141.218.60.56/~jnz1568/getInfo.php?workbook=18_08.xlsx&amp;sheet=A0&amp;row=2884&amp;col=7&amp;number=0&amp;sourceID=14","0")</f>
        <v>0</v>
      </c>
    </row>
    <row r="2885" spans="1:7">
      <c r="A2885" s="3">
        <v>18</v>
      </c>
      <c r="B2885" s="3">
        <v>8</v>
      </c>
      <c r="C2885" s="3">
        <v>82</v>
      </c>
      <c r="D2885" s="3">
        <v>67</v>
      </c>
      <c r="E2885" s="3">
        <v>1501.975</v>
      </c>
      <c r="F2885" s="4" t="str">
        <f>HYPERLINK("http://141.218.60.56/~jnz1568/getInfo.php?workbook=18_08.xlsx&amp;sheet=A0&amp;row=2885&amp;col=6&amp;number=0.1961&amp;sourceID=14","0.1961")</f>
        <v>0.1961</v>
      </c>
      <c r="G2885" s="4" t="str">
        <f>HYPERLINK("http://141.218.60.56/~jnz1568/getInfo.php?workbook=18_08.xlsx&amp;sheet=A0&amp;row=2885&amp;col=7&amp;number=0&amp;sourceID=14","0")</f>
        <v>0</v>
      </c>
    </row>
    <row r="2886" spans="1:7">
      <c r="A2886" s="3">
        <v>18</v>
      </c>
      <c r="B2886" s="3">
        <v>8</v>
      </c>
      <c r="C2886" s="3">
        <v>83</v>
      </c>
      <c r="D2886" s="3">
        <v>67</v>
      </c>
      <c r="E2886" s="3">
        <v>1309.415</v>
      </c>
      <c r="F2886" s="4" t="str">
        <f>HYPERLINK("http://141.218.60.56/~jnz1568/getInfo.php?workbook=18_08.xlsx&amp;sheet=A0&amp;row=2886&amp;col=6&amp;number=12.88&amp;sourceID=14","12.88")</f>
        <v>12.88</v>
      </c>
      <c r="G2886" s="4" t="str">
        <f>HYPERLINK("http://141.218.60.56/~jnz1568/getInfo.php?workbook=18_08.xlsx&amp;sheet=A0&amp;row=2886&amp;col=7&amp;number=0&amp;sourceID=14","0")</f>
        <v>0</v>
      </c>
    </row>
    <row r="2887" spans="1:7">
      <c r="A2887" s="3">
        <v>18</v>
      </c>
      <c r="B2887" s="3">
        <v>8</v>
      </c>
      <c r="C2887" s="3">
        <v>84</v>
      </c>
      <c r="D2887" s="3">
        <v>67</v>
      </c>
      <c r="E2887" s="3">
        <v>1495.439</v>
      </c>
      <c r="F2887" s="4" t="str">
        <f>HYPERLINK("http://141.218.60.56/~jnz1568/getInfo.php?workbook=18_08.xlsx&amp;sheet=A0&amp;row=2887&amp;col=6&amp;number=52.19&amp;sourceID=14","52.19")</f>
        <v>52.19</v>
      </c>
      <c r="G2887" s="4" t="str">
        <f>HYPERLINK("http://141.218.60.56/~jnz1568/getInfo.php?workbook=18_08.xlsx&amp;sheet=A0&amp;row=2887&amp;col=7&amp;number=0&amp;sourceID=14","0")</f>
        <v>0</v>
      </c>
    </row>
    <row r="2888" spans="1:7">
      <c r="A2888" s="3">
        <v>18</v>
      </c>
      <c r="B2888" s="3">
        <v>8</v>
      </c>
      <c r="C2888" s="3">
        <v>85</v>
      </c>
      <c r="D2888" s="3">
        <v>67</v>
      </c>
      <c r="E2888" s="3">
        <v>1218.027</v>
      </c>
      <c r="F2888" s="4" t="str">
        <f>HYPERLINK("http://141.218.60.56/~jnz1568/getInfo.php?workbook=18_08.xlsx&amp;sheet=A0&amp;row=2888&amp;col=6&amp;number=0.004243&amp;sourceID=14","0.004243")</f>
        <v>0.004243</v>
      </c>
      <c r="G2888" s="4" t="str">
        <f>HYPERLINK("http://141.218.60.56/~jnz1568/getInfo.php?workbook=18_08.xlsx&amp;sheet=A0&amp;row=2888&amp;col=7&amp;number=0&amp;sourceID=14","0")</f>
        <v>0</v>
      </c>
    </row>
    <row r="2889" spans="1:7">
      <c r="A2889" s="3">
        <v>18</v>
      </c>
      <c r="B2889" s="3">
        <v>8</v>
      </c>
      <c r="C2889" s="3">
        <v>86</v>
      </c>
      <c r="D2889" s="3">
        <v>67</v>
      </c>
      <c r="E2889" s="3">
        <v>886.525</v>
      </c>
      <c r="F2889" s="4" t="str">
        <f>HYPERLINK("http://141.218.60.56/~jnz1568/getInfo.php?workbook=18_08.xlsx&amp;sheet=A0&amp;row=2889&amp;col=6&amp;number=54.54&amp;sourceID=14","54.54")</f>
        <v>54.54</v>
      </c>
      <c r="G2889" s="4" t="str">
        <f>HYPERLINK("http://141.218.60.56/~jnz1568/getInfo.php?workbook=18_08.xlsx&amp;sheet=A0&amp;row=2889&amp;col=7&amp;number=0&amp;sourceID=14","0")</f>
        <v>0</v>
      </c>
    </row>
    <row r="2890" spans="1:7">
      <c r="A2890" s="3">
        <v>18</v>
      </c>
      <c r="B2890" s="3">
        <v>8</v>
      </c>
      <c r="C2890" s="3">
        <v>69</v>
      </c>
      <c r="D2890" s="3">
        <v>68</v>
      </c>
      <c r="E2890" s="3">
        <v>11095.085</v>
      </c>
      <c r="F2890" s="4" t="str">
        <f>HYPERLINK("http://141.218.60.56/~jnz1568/getInfo.php?workbook=18_08.xlsx&amp;sheet=A0&amp;row=2890&amp;col=6&amp;number=0.9546&amp;sourceID=14","0.9546")</f>
        <v>0.9546</v>
      </c>
      <c r="G2890" s="4" t="str">
        <f>HYPERLINK("http://141.218.60.56/~jnz1568/getInfo.php?workbook=18_08.xlsx&amp;sheet=A0&amp;row=2890&amp;col=7&amp;number=0&amp;sourceID=14","0")</f>
        <v>0</v>
      </c>
    </row>
    <row r="2891" spans="1:7">
      <c r="A2891" s="3">
        <v>18</v>
      </c>
      <c r="B2891" s="3">
        <v>8</v>
      </c>
      <c r="C2891" s="3">
        <v>71</v>
      </c>
      <c r="D2891" s="3">
        <v>68</v>
      </c>
      <c r="E2891" s="3">
        <v>4896.68</v>
      </c>
      <c r="F2891" s="4" t="str">
        <f>HYPERLINK("http://141.218.60.56/~jnz1568/getInfo.php?workbook=18_08.xlsx&amp;sheet=A0&amp;row=2891&amp;col=6&amp;number=0.0007212&amp;sourceID=14","0.0007212")</f>
        <v>0.0007212</v>
      </c>
      <c r="G2891" s="4" t="str">
        <f>HYPERLINK("http://141.218.60.56/~jnz1568/getInfo.php?workbook=18_08.xlsx&amp;sheet=A0&amp;row=2891&amp;col=7&amp;number=0&amp;sourceID=14","0")</f>
        <v>0</v>
      </c>
    </row>
    <row r="2892" spans="1:7">
      <c r="A2892" s="3">
        <v>18</v>
      </c>
      <c r="B2892" s="3">
        <v>8</v>
      </c>
      <c r="C2892" s="3">
        <v>72</v>
      </c>
      <c r="D2892" s="3">
        <v>68</v>
      </c>
      <c r="E2892" s="3">
        <v>11095.085</v>
      </c>
      <c r="F2892" s="4" t="str">
        <f>HYPERLINK("http://141.218.60.56/~jnz1568/getInfo.php?workbook=18_08.xlsx&amp;sheet=A0&amp;row=2892&amp;col=6&amp;number=0.004761&amp;sourceID=14","0.004761")</f>
        <v>0.004761</v>
      </c>
      <c r="G2892" s="4" t="str">
        <f>HYPERLINK("http://141.218.60.56/~jnz1568/getInfo.php?workbook=18_08.xlsx&amp;sheet=A0&amp;row=2892&amp;col=7&amp;number=0&amp;sourceID=14","0")</f>
        <v>0</v>
      </c>
    </row>
    <row r="2893" spans="1:7">
      <c r="A2893" s="3">
        <v>18</v>
      </c>
      <c r="B2893" s="3">
        <v>8</v>
      </c>
      <c r="C2893" s="3">
        <v>73</v>
      </c>
      <c r="D2893" s="3">
        <v>68</v>
      </c>
      <c r="E2893" s="3">
        <v>4896.68</v>
      </c>
      <c r="F2893" s="4" t="str">
        <f>HYPERLINK("http://141.218.60.56/~jnz1568/getInfo.php?workbook=18_08.xlsx&amp;sheet=A0&amp;row=2893&amp;col=6&amp;number=0.02419&amp;sourceID=14","0.02419")</f>
        <v>0.02419</v>
      </c>
      <c r="G2893" s="4" t="str">
        <f>HYPERLINK("http://141.218.60.56/~jnz1568/getInfo.php?workbook=18_08.xlsx&amp;sheet=A0&amp;row=2893&amp;col=7&amp;number=0&amp;sourceID=14","0")</f>
        <v>0</v>
      </c>
    </row>
    <row r="2894" spans="1:7">
      <c r="A2894" s="3">
        <v>18</v>
      </c>
      <c r="B2894" s="3">
        <v>8</v>
      </c>
      <c r="C2894" s="3">
        <v>74</v>
      </c>
      <c r="D2894" s="3">
        <v>68</v>
      </c>
      <c r="E2894" s="3">
        <v>3077.586</v>
      </c>
      <c r="F2894" s="4" t="str">
        <f>HYPERLINK("http://141.218.60.56/~jnz1568/getInfo.php?workbook=18_08.xlsx&amp;sheet=A0&amp;row=2894&amp;col=6&amp;number=1.149&amp;sourceID=14","1.149")</f>
        <v>1.149</v>
      </c>
      <c r="G2894" s="4" t="str">
        <f>HYPERLINK("http://141.218.60.56/~jnz1568/getInfo.php?workbook=18_08.xlsx&amp;sheet=A0&amp;row=2894&amp;col=7&amp;number=0&amp;sourceID=14","0")</f>
        <v>0</v>
      </c>
    </row>
    <row r="2895" spans="1:7">
      <c r="A2895" s="3">
        <v>18</v>
      </c>
      <c r="B2895" s="3">
        <v>8</v>
      </c>
      <c r="C2895" s="3">
        <v>75</v>
      </c>
      <c r="D2895" s="3">
        <v>68</v>
      </c>
      <c r="E2895" s="3">
        <v>-2877.579</v>
      </c>
      <c r="F2895" s="4" t="str">
        <f>HYPERLINK("http://141.218.60.56/~jnz1568/getInfo.php?workbook=18_08.xlsx&amp;sheet=A0&amp;row=2895&amp;col=6&amp;number=0.1249&amp;sourceID=14","0.1249")</f>
        <v>0.1249</v>
      </c>
      <c r="G2895" s="4" t="str">
        <f>HYPERLINK("http://141.218.60.56/~jnz1568/getInfo.php?workbook=18_08.xlsx&amp;sheet=A0&amp;row=2895&amp;col=7&amp;number=0&amp;sourceID=14","0")</f>
        <v>0</v>
      </c>
    </row>
    <row r="2896" spans="1:7">
      <c r="A2896" s="3">
        <v>18</v>
      </c>
      <c r="B2896" s="3">
        <v>8</v>
      </c>
      <c r="C2896" s="3">
        <v>76</v>
      </c>
      <c r="D2896" s="3">
        <v>68</v>
      </c>
      <c r="E2896" s="3">
        <v>-2856.956</v>
      </c>
      <c r="F2896" s="4" t="str">
        <f>HYPERLINK("http://141.218.60.56/~jnz1568/getInfo.php?workbook=18_08.xlsx&amp;sheet=A0&amp;row=2896&amp;col=6&amp;number=0.006083&amp;sourceID=14","0.006083")</f>
        <v>0.006083</v>
      </c>
      <c r="G2896" s="4" t="str">
        <f>HYPERLINK("http://141.218.60.56/~jnz1568/getInfo.php?workbook=18_08.xlsx&amp;sheet=A0&amp;row=2896&amp;col=7&amp;number=0&amp;sourceID=14","0")</f>
        <v>0</v>
      </c>
    </row>
    <row r="2897" spans="1:7">
      <c r="A2897" s="3">
        <v>18</v>
      </c>
      <c r="B2897" s="3">
        <v>8</v>
      </c>
      <c r="C2897" s="3">
        <v>77</v>
      </c>
      <c r="D2897" s="3">
        <v>68</v>
      </c>
      <c r="E2897" s="3">
        <v>3074.464</v>
      </c>
      <c r="F2897" s="4" t="str">
        <f>HYPERLINK("http://141.218.60.56/~jnz1568/getInfo.php?workbook=18_08.xlsx&amp;sheet=A0&amp;row=2897&amp;col=6&amp;number=0.7268&amp;sourceID=14","0.7268")</f>
        <v>0.7268</v>
      </c>
      <c r="G2897" s="4" t="str">
        <f>HYPERLINK("http://141.218.60.56/~jnz1568/getInfo.php?workbook=18_08.xlsx&amp;sheet=A0&amp;row=2897&amp;col=7&amp;number=0&amp;sourceID=14","0")</f>
        <v>0</v>
      </c>
    </row>
    <row r="2898" spans="1:7">
      <c r="A2898" s="3">
        <v>18</v>
      </c>
      <c r="B2898" s="3">
        <v>8</v>
      </c>
      <c r="C2898" s="3">
        <v>79</v>
      </c>
      <c r="D2898" s="3">
        <v>68</v>
      </c>
      <c r="E2898" s="3">
        <v>-2593.318</v>
      </c>
      <c r="F2898" s="4" t="str">
        <f>HYPERLINK("http://141.218.60.56/~jnz1568/getInfo.php?workbook=18_08.xlsx&amp;sheet=A0&amp;row=2898&amp;col=6&amp;number=0.2761&amp;sourceID=14","0.2761")</f>
        <v>0.2761</v>
      </c>
      <c r="G2898" s="4" t="str">
        <f>HYPERLINK("http://141.218.60.56/~jnz1568/getInfo.php?workbook=18_08.xlsx&amp;sheet=A0&amp;row=2898&amp;col=7&amp;number=0&amp;sourceID=14","0")</f>
        <v>0</v>
      </c>
    </row>
    <row r="2899" spans="1:7">
      <c r="A2899" s="3">
        <v>18</v>
      </c>
      <c r="B2899" s="3">
        <v>8</v>
      </c>
      <c r="C2899" s="3">
        <v>80</v>
      </c>
      <c r="D2899" s="3">
        <v>68</v>
      </c>
      <c r="E2899" s="3">
        <v>-2469.259</v>
      </c>
      <c r="F2899" s="4" t="str">
        <f>HYPERLINK("http://141.218.60.56/~jnz1568/getInfo.php?workbook=18_08.xlsx&amp;sheet=A0&amp;row=2899&amp;col=6&amp;number=9.886&amp;sourceID=14","9.886")</f>
        <v>9.886</v>
      </c>
      <c r="G2899" s="4" t="str">
        <f>HYPERLINK("http://141.218.60.56/~jnz1568/getInfo.php?workbook=18_08.xlsx&amp;sheet=A0&amp;row=2899&amp;col=7&amp;number=0&amp;sourceID=14","0")</f>
        <v>0</v>
      </c>
    </row>
    <row r="2900" spans="1:7">
      <c r="A2900" s="3">
        <v>18</v>
      </c>
      <c r="B2900" s="3">
        <v>8</v>
      </c>
      <c r="C2900" s="3">
        <v>81</v>
      </c>
      <c r="D2900" s="3">
        <v>68</v>
      </c>
      <c r="E2900" s="3">
        <v>1907.451</v>
      </c>
      <c r="F2900" s="4" t="str">
        <f>HYPERLINK("http://141.218.60.56/~jnz1568/getInfo.php?workbook=18_08.xlsx&amp;sheet=A0&amp;row=2900&amp;col=6&amp;number=159.7&amp;sourceID=14","159.7")</f>
        <v>159.7</v>
      </c>
      <c r="G2900" s="4" t="str">
        <f>HYPERLINK("http://141.218.60.56/~jnz1568/getInfo.php?workbook=18_08.xlsx&amp;sheet=A0&amp;row=2900&amp;col=7&amp;number=0&amp;sourceID=14","0")</f>
        <v>0</v>
      </c>
    </row>
    <row r="2901" spans="1:7">
      <c r="A2901" s="3">
        <v>18</v>
      </c>
      <c r="B2901" s="3">
        <v>8</v>
      </c>
      <c r="C2901" s="3">
        <v>82</v>
      </c>
      <c r="D2901" s="3">
        <v>68</v>
      </c>
      <c r="E2901" s="3">
        <v>1776.041</v>
      </c>
      <c r="F2901" s="4" t="str">
        <f>HYPERLINK("http://141.218.60.56/~jnz1568/getInfo.php?workbook=18_08.xlsx&amp;sheet=A0&amp;row=2901&amp;col=6&amp;number=10.48&amp;sourceID=14","10.48")</f>
        <v>10.48</v>
      </c>
      <c r="G2901" s="4" t="str">
        <f>HYPERLINK("http://141.218.60.56/~jnz1568/getInfo.php?workbook=18_08.xlsx&amp;sheet=A0&amp;row=2901&amp;col=7&amp;number=0&amp;sourceID=14","0")</f>
        <v>0</v>
      </c>
    </row>
    <row r="2902" spans="1:7">
      <c r="A2902" s="3">
        <v>18</v>
      </c>
      <c r="B2902" s="3">
        <v>8</v>
      </c>
      <c r="C2902" s="3">
        <v>83</v>
      </c>
      <c r="D2902" s="3">
        <v>68</v>
      </c>
      <c r="E2902" s="3">
        <v>1512.951</v>
      </c>
      <c r="F2902" s="4" t="str">
        <f>HYPERLINK("http://141.218.60.56/~jnz1568/getInfo.php?workbook=18_08.xlsx&amp;sheet=A0&amp;row=2902&amp;col=6&amp;number=0.006347&amp;sourceID=14","0.006347")</f>
        <v>0.006347</v>
      </c>
      <c r="G2902" s="4" t="str">
        <f>HYPERLINK("http://141.218.60.56/~jnz1568/getInfo.php?workbook=18_08.xlsx&amp;sheet=A0&amp;row=2902&amp;col=7&amp;number=0&amp;sourceID=14","0")</f>
        <v>0</v>
      </c>
    </row>
    <row r="2903" spans="1:7">
      <c r="A2903" s="3">
        <v>18</v>
      </c>
      <c r="B2903" s="3">
        <v>8</v>
      </c>
      <c r="C2903" s="3">
        <v>84</v>
      </c>
      <c r="D2903" s="3">
        <v>68</v>
      </c>
      <c r="E2903" s="3">
        <v>1766.909</v>
      </c>
      <c r="F2903" s="4" t="str">
        <f>HYPERLINK("http://141.218.60.56/~jnz1568/getInfo.php?workbook=18_08.xlsx&amp;sheet=A0&amp;row=2903&amp;col=6&amp;number=8.373&amp;sourceID=14","8.373")</f>
        <v>8.373</v>
      </c>
      <c r="G2903" s="4" t="str">
        <f>HYPERLINK("http://141.218.60.56/~jnz1568/getInfo.php?workbook=18_08.xlsx&amp;sheet=A0&amp;row=2903&amp;col=7&amp;number=0&amp;sourceID=14","0")</f>
        <v>0</v>
      </c>
    </row>
    <row r="2904" spans="1:7">
      <c r="A2904" s="3">
        <v>18</v>
      </c>
      <c r="B2904" s="3">
        <v>8</v>
      </c>
      <c r="C2904" s="3">
        <v>85</v>
      </c>
      <c r="D2904" s="3">
        <v>68</v>
      </c>
      <c r="E2904" s="3">
        <v>1392.254</v>
      </c>
      <c r="F2904" s="4" t="str">
        <f>HYPERLINK("http://141.218.60.56/~jnz1568/getInfo.php?workbook=18_08.xlsx&amp;sheet=A0&amp;row=2904&amp;col=6&amp;number=77.08&amp;sourceID=14","77.08")</f>
        <v>77.08</v>
      </c>
      <c r="G2904" s="4" t="str">
        <f>HYPERLINK("http://141.218.60.56/~jnz1568/getInfo.php?workbook=18_08.xlsx&amp;sheet=A0&amp;row=2904&amp;col=7&amp;number=0&amp;sourceID=14","0")</f>
        <v>0</v>
      </c>
    </row>
    <row r="2905" spans="1:7">
      <c r="A2905" s="3">
        <v>18</v>
      </c>
      <c r="B2905" s="3">
        <v>8</v>
      </c>
      <c r="C2905" s="3">
        <v>86</v>
      </c>
      <c r="D2905" s="3">
        <v>68</v>
      </c>
      <c r="E2905" s="3">
        <v>975.362</v>
      </c>
      <c r="F2905" s="4" t="str">
        <f>HYPERLINK("http://141.218.60.56/~jnz1568/getInfo.php?workbook=18_08.xlsx&amp;sheet=A0&amp;row=2905&amp;col=6&amp;number=0.004934&amp;sourceID=14","0.004934")</f>
        <v>0.004934</v>
      </c>
      <c r="G2905" s="4" t="str">
        <f>HYPERLINK("http://141.218.60.56/~jnz1568/getInfo.php?workbook=18_08.xlsx&amp;sheet=A0&amp;row=2905&amp;col=7&amp;number=0&amp;sourceID=14","0")</f>
        <v>0</v>
      </c>
    </row>
    <row r="2906" spans="1:7">
      <c r="A2906" s="3">
        <v>18</v>
      </c>
      <c r="B2906" s="3">
        <v>8</v>
      </c>
      <c r="C2906" s="3">
        <v>70</v>
      </c>
      <c r="D2906" s="3">
        <v>69</v>
      </c>
      <c r="E2906" s="3">
        <v>-24736.703</v>
      </c>
      <c r="F2906" s="4" t="str">
        <f>HYPERLINK("http://141.218.60.56/~jnz1568/getInfo.php?workbook=18_08.xlsx&amp;sheet=A0&amp;row=2906&amp;col=6&amp;number=5.683e-06&amp;sourceID=14","5.683e-06")</f>
        <v>5.683e-06</v>
      </c>
      <c r="G2906" s="4" t="str">
        <f>HYPERLINK("http://141.218.60.56/~jnz1568/getInfo.php?workbook=18_08.xlsx&amp;sheet=A0&amp;row=2906&amp;col=7&amp;number=0&amp;sourceID=14","0")</f>
        <v>0</v>
      </c>
    </row>
    <row r="2907" spans="1:7">
      <c r="A2907" s="3">
        <v>18</v>
      </c>
      <c r="B2907" s="3">
        <v>8</v>
      </c>
      <c r="C2907" s="3">
        <v>71</v>
      </c>
      <c r="D2907" s="3">
        <v>69</v>
      </c>
      <c r="E2907" s="3">
        <v>8765.01</v>
      </c>
      <c r="F2907" s="4" t="str">
        <f>HYPERLINK("http://141.218.60.56/~jnz1568/getInfo.php?workbook=18_08.xlsx&amp;sheet=A0&amp;row=2907&amp;col=6&amp;number=1.662&amp;sourceID=14","1.662")</f>
        <v>1.662</v>
      </c>
      <c r="G2907" s="4" t="str">
        <f>HYPERLINK("http://141.218.60.56/~jnz1568/getInfo.php?workbook=18_08.xlsx&amp;sheet=A0&amp;row=2907&amp;col=7&amp;number=0&amp;sourceID=14","0")</f>
        <v>0</v>
      </c>
    </row>
    <row r="2908" spans="1:7">
      <c r="A2908" s="3">
        <v>18</v>
      </c>
      <c r="B2908" s="3">
        <v>8</v>
      </c>
      <c r="C2908" s="3">
        <v>73</v>
      </c>
      <c r="D2908" s="3">
        <v>69</v>
      </c>
      <c r="E2908" s="3">
        <v>8765.01</v>
      </c>
      <c r="F2908" s="4" t="str">
        <f>HYPERLINK("http://141.218.60.56/~jnz1568/getInfo.php?workbook=18_08.xlsx&amp;sheet=A0&amp;row=2908&amp;col=6&amp;number=0.8865&amp;sourceID=14","0.8865")</f>
        <v>0.8865</v>
      </c>
      <c r="G2908" s="4" t="str">
        <f>HYPERLINK("http://141.218.60.56/~jnz1568/getInfo.php?workbook=18_08.xlsx&amp;sheet=A0&amp;row=2908&amp;col=7&amp;number=0&amp;sourceID=14","0")</f>
        <v>0</v>
      </c>
    </row>
    <row r="2909" spans="1:7">
      <c r="A2909" s="3">
        <v>18</v>
      </c>
      <c r="B2909" s="3">
        <v>8</v>
      </c>
      <c r="C2909" s="3">
        <v>74</v>
      </c>
      <c r="D2909" s="3">
        <v>69</v>
      </c>
      <c r="E2909" s="3">
        <v>4258.944</v>
      </c>
      <c r="F2909" s="4" t="str">
        <f>HYPERLINK("http://141.218.60.56/~jnz1568/getInfo.php?workbook=18_08.xlsx&amp;sheet=A0&amp;row=2909&amp;col=6&amp;number=0.2027&amp;sourceID=14","0.2027")</f>
        <v>0.2027</v>
      </c>
      <c r="G2909" s="4" t="str">
        <f>HYPERLINK("http://141.218.60.56/~jnz1568/getInfo.php?workbook=18_08.xlsx&amp;sheet=A0&amp;row=2909&amp;col=7&amp;number=0&amp;sourceID=14","0")</f>
        <v>0</v>
      </c>
    </row>
    <row r="2910" spans="1:7">
      <c r="A2910" s="3">
        <v>18</v>
      </c>
      <c r="B2910" s="3">
        <v>8</v>
      </c>
      <c r="C2910" s="3">
        <v>75</v>
      </c>
      <c r="D2910" s="3">
        <v>69</v>
      </c>
      <c r="E2910" s="3">
        <v>-3686.388</v>
      </c>
      <c r="F2910" s="4" t="str">
        <f>HYPERLINK("http://141.218.60.56/~jnz1568/getInfo.php?workbook=18_08.xlsx&amp;sheet=A0&amp;row=2910&amp;col=6&amp;number=0.6835&amp;sourceID=14","0.6835")</f>
        <v>0.6835</v>
      </c>
      <c r="G2910" s="4" t="str">
        <f>HYPERLINK("http://141.218.60.56/~jnz1568/getInfo.php?workbook=18_08.xlsx&amp;sheet=A0&amp;row=2910&amp;col=7&amp;number=0&amp;sourceID=14","0")</f>
        <v>0</v>
      </c>
    </row>
    <row r="2911" spans="1:7">
      <c r="A2911" s="3">
        <v>18</v>
      </c>
      <c r="B2911" s="3">
        <v>8</v>
      </c>
      <c r="C2911" s="3">
        <v>76</v>
      </c>
      <c r="D2911" s="3">
        <v>69</v>
      </c>
      <c r="E2911" s="3">
        <v>-3652.612</v>
      </c>
      <c r="F2911" s="4" t="str">
        <f>HYPERLINK("http://141.218.60.56/~jnz1568/getInfo.php?workbook=18_08.xlsx&amp;sheet=A0&amp;row=2911&amp;col=6&amp;number=0.02251&amp;sourceID=14","0.02251")</f>
        <v>0.02251</v>
      </c>
      <c r="G2911" s="4" t="str">
        <f>HYPERLINK("http://141.218.60.56/~jnz1568/getInfo.php?workbook=18_08.xlsx&amp;sheet=A0&amp;row=2911&amp;col=7&amp;number=0&amp;sourceID=14","0")</f>
        <v>0</v>
      </c>
    </row>
    <row r="2912" spans="1:7">
      <c r="A2912" s="3">
        <v>18</v>
      </c>
      <c r="B2912" s="3">
        <v>8</v>
      </c>
      <c r="C2912" s="3">
        <v>77</v>
      </c>
      <c r="D2912" s="3">
        <v>69</v>
      </c>
      <c r="E2912" s="3">
        <v>4252.966</v>
      </c>
      <c r="F2912" s="4" t="str">
        <f>HYPERLINK("http://141.218.60.56/~jnz1568/getInfo.php?workbook=18_08.xlsx&amp;sheet=A0&amp;row=2912&amp;col=6&amp;number=0.02925&amp;sourceID=14","0.02925")</f>
        <v>0.02925</v>
      </c>
      <c r="G2912" s="4" t="str">
        <f>HYPERLINK("http://141.218.60.56/~jnz1568/getInfo.php?workbook=18_08.xlsx&amp;sheet=A0&amp;row=2912&amp;col=7&amp;number=0&amp;sourceID=14","0")</f>
        <v>0</v>
      </c>
    </row>
    <row r="2913" spans="1:7">
      <c r="A2913" s="3">
        <v>18</v>
      </c>
      <c r="B2913" s="3">
        <v>8</v>
      </c>
      <c r="C2913" s="3">
        <v>78</v>
      </c>
      <c r="D2913" s="3">
        <v>69</v>
      </c>
      <c r="E2913" s="3">
        <v>-3577.921</v>
      </c>
      <c r="F2913" s="4" t="str">
        <f>HYPERLINK("http://141.218.60.56/~jnz1568/getInfo.php?workbook=18_08.xlsx&amp;sheet=A0&amp;row=2913&amp;col=6&amp;number=0.002987&amp;sourceID=14","0.002987")</f>
        <v>0.002987</v>
      </c>
      <c r="G2913" s="4" t="str">
        <f>HYPERLINK("http://141.218.60.56/~jnz1568/getInfo.php?workbook=18_08.xlsx&amp;sheet=A0&amp;row=2913&amp;col=7&amp;number=0&amp;sourceID=14","0")</f>
        <v>0</v>
      </c>
    </row>
    <row r="2914" spans="1:7">
      <c r="A2914" s="3">
        <v>18</v>
      </c>
      <c r="B2914" s="3">
        <v>8</v>
      </c>
      <c r="C2914" s="3">
        <v>79</v>
      </c>
      <c r="D2914" s="3">
        <v>69</v>
      </c>
      <c r="E2914" s="3">
        <v>-3232.478</v>
      </c>
      <c r="F2914" s="4" t="str">
        <f>HYPERLINK("http://141.218.60.56/~jnz1568/getInfo.php?workbook=18_08.xlsx&amp;sheet=A0&amp;row=2914&amp;col=6&amp;number=52.78&amp;sourceID=14","52.78")</f>
        <v>52.78</v>
      </c>
      <c r="G2914" s="4" t="str">
        <f>HYPERLINK("http://141.218.60.56/~jnz1568/getInfo.php?workbook=18_08.xlsx&amp;sheet=A0&amp;row=2914&amp;col=7&amp;number=0&amp;sourceID=14","0")</f>
        <v>0</v>
      </c>
    </row>
    <row r="2915" spans="1:7">
      <c r="A2915" s="3">
        <v>18</v>
      </c>
      <c r="B2915" s="3">
        <v>8</v>
      </c>
      <c r="C2915" s="3">
        <v>80</v>
      </c>
      <c r="D2915" s="3">
        <v>69</v>
      </c>
      <c r="E2915" s="3">
        <v>-3041.977</v>
      </c>
      <c r="F2915" s="4" t="str">
        <f>HYPERLINK("http://141.218.60.56/~jnz1568/getInfo.php?workbook=18_08.xlsx&amp;sheet=A0&amp;row=2915&amp;col=6&amp;number=5.129&amp;sourceID=14","5.129")</f>
        <v>5.129</v>
      </c>
      <c r="G2915" s="4" t="str">
        <f>HYPERLINK("http://141.218.60.56/~jnz1568/getInfo.php?workbook=18_08.xlsx&amp;sheet=A0&amp;row=2915&amp;col=7&amp;number=0&amp;sourceID=14","0")</f>
        <v>0</v>
      </c>
    </row>
    <row r="2916" spans="1:7">
      <c r="A2916" s="3">
        <v>18</v>
      </c>
      <c r="B2916" s="3">
        <v>8</v>
      </c>
      <c r="C2916" s="3">
        <v>81</v>
      </c>
      <c r="D2916" s="3">
        <v>69</v>
      </c>
      <c r="E2916" s="3">
        <v>2303.458</v>
      </c>
      <c r="F2916" s="4" t="str">
        <f>HYPERLINK("http://141.218.60.56/~jnz1568/getInfo.php?workbook=18_08.xlsx&amp;sheet=A0&amp;row=2916&amp;col=6&amp;number=33.93&amp;sourceID=14","33.93")</f>
        <v>33.93</v>
      </c>
      <c r="G2916" s="4" t="str">
        <f>HYPERLINK("http://141.218.60.56/~jnz1568/getInfo.php?workbook=18_08.xlsx&amp;sheet=A0&amp;row=2916&amp;col=7&amp;number=0&amp;sourceID=14","0")</f>
        <v>0</v>
      </c>
    </row>
    <row r="2917" spans="1:7">
      <c r="A2917" s="3">
        <v>18</v>
      </c>
      <c r="B2917" s="3">
        <v>8</v>
      </c>
      <c r="C2917" s="3">
        <v>82</v>
      </c>
      <c r="D2917" s="3">
        <v>69</v>
      </c>
      <c r="E2917" s="3">
        <v>2114.522</v>
      </c>
      <c r="F2917" s="4" t="str">
        <f>HYPERLINK("http://141.218.60.56/~jnz1568/getInfo.php?workbook=18_08.xlsx&amp;sheet=A0&amp;row=2917&amp;col=6&amp;number=0.005077&amp;sourceID=14","0.005077")</f>
        <v>0.005077</v>
      </c>
      <c r="G2917" s="4" t="str">
        <f>HYPERLINK("http://141.218.60.56/~jnz1568/getInfo.php?workbook=18_08.xlsx&amp;sheet=A0&amp;row=2917&amp;col=7&amp;number=0&amp;sourceID=14","0")</f>
        <v>0</v>
      </c>
    </row>
    <row r="2918" spans="1:7">
      <c r="A2918" s="3">
        <v>18</v>
      </c>
      <c r="B2918" s="3">
        <v>8</v>
      </c>
      <c r="C2918" s="3">
        <v>83</v>
      </c>
      <c r="D2918" s="3">
        <v>69</v>
      </c>
      <c r="E2918" s="3">
        <v>1751.835</v>
      </c>
      <c r="F2918" s="4" t="str">
        <f>HYPERLINK("http://141.218.60.56/~jnz1568/getInfo.php?workbook=18_08.xlsx&amp;sheet=A0&amp;row=2918&amp;col=6&amp;number=33.36&amp;sourceID=14","33.36")</f>
        <v>33.36</v>
      </c>
      <c r="G2918" s="4" t="str">
        <f>HYPERLINK("http://141.218.60.56/~jnz1568/getInfo.php?workbook=18_08.xlsx&amp;sheet=A0&amp;row=2918&amp;col=7&amp;number=0&amp;sourceID=14","0")</f>
        <v>0</v>
      </c>
    </row>
    <row r="2919" spans="1:7">
      <c r="A2919" s="3">
        <v>18</v>
      </c>
      <c r="B2919" s="3">
        <v>8</v>
      </c>
      <c r="C2919" s="3">
        <v>84</v>
      </c>
      <c r="D2919" s="3">
        <v>69</v>
      </c>
      <c r="E2919" s="3">
        <v>2101.591</v>
      </c>
      <c r="F2919" s="4" t="str">
        <f>HYPERLINK("http://141.218.60.56/~jnz1568/getInfo.php?workbook=18_08.xlsx&amp;sheet=A0&amp;row=2919&amp;col=6&amp;number=3.425&amp;sourceID=14","3.425")</f>
        <v>3.425</v>
      </c>
      <c r="G2919" s="4" t="str">
        <f>HYPERLINK("http://141.218.60.56/~jnz1568/getInfo.php?workbook=18_08.xlsx&amp;sheet=A0&amp;row=2919&amp;col=7&amp;number=0&amp;sourceID=14","0")</f>
        <v>0</v>
      </c>
    </row>
    <row r="2920" spans="1:7">
      <c r="A2920" s="3">
        <v>18</v>
      </c>
      <c r="B2920" s="3">
        <v>8</v>
      </c>
      <c r="C2920" s="3">
        <v>85</v>
      </c>
      <c r="D2920" s="3">
        <v>69</v>
      </c>
      <c r="E2920" s="3">
        <v>1592.027</v>
      </c>
      <c r="F2920" s="4" t="str">
        <f>HYPERLINK("http://141.218.60.56/~jnz1568/getInfo.php?workbook=18_08.xlsx&amp;sheet=A0&amp;row=2920&amp;col=6&amp;number=2.927&amp;sourceID=14","2.927")</f>
        <v>2.927</v>
      </c>
      <c r="G2920" s="4" t="str">
        <f>HYPERLINK("http://141.218.60.56/~jnz1568/getInfo.php?workbook=18_08.xlsx&amp;sheet=A0&amp;row=2920&amp;col=7&amp;number=0&amp;sourceID=14","0")</f>
        <v>0</v>
      </c>
    </row>
    <row r="2921" spans="1:7">
      <c r="A2921" s="3">
        <v>18</v>
      </c>
      <c r="B2921" s="3">
        <v>8</v>
      </c>
      <c r="C2921" s="3">
        <v>86</v>
      </c>
      <c r="D2921" s="3">
        <v>69</v>
      </c>
      <c r="E2921" s="3">
        <v>1069.37</v>
      </c>
      <c r="F2921" s="4" t="str">
        <f>HYPERLINK("http://141.218.60.56/~jnz1568/getInfo.php?workbook=18_08.xlsx&amp;sheet=A0&amp;row=2921&amp;col=6&amp;number=20.34&amp;sourceID=14","20.34")</f>
        <v>20.34</v>
      </c>
      <c r="G2921" s="4" t="str">
        <f>HYPERLINK("http://141.218.60.56/~jnz1568/getInfo.php?workbook=18_08.xlsx&amp;sheet=A0&amp;row=2921&amp;col=7&amp;number=0&amp;sourceID=14","0")</f>
        <v>0</v>
      </c>
    </row>
    <row r="2922" spans="1:7">
      <c r="A2922" s="3">
        <v>18</v>
      </c>
      <c r="B2922" s="3">
        <v>8</v>
      </c>
      <c r="C2922" s="3">
        <v>71</v>
      </c>
      <c r="D2922" s="3">
        <v>70</v>
      </c>
      <c r="E2922" s="3">
        <v>-151973.844</v>
      </c>
      <c r="F2922" s="4" t="str">
        <f>HYPERLINK("http://141.218.60.56/~jnz1568/getInfo.php?workbook=18_08.xlsx&amp;sheet=A0&amp;row=2922&amp;col=6&amp;number=0.004821&amp;sourceID=14","0.004821")</f>
        <v>0.004821</v>
      </c>
      <c r="G2922" s="4" t="str">
        <f>HYPERLINK("http://141.218.60.56/~jnz1568/getInfo.php?workbook=18_08.xlsx&amp;sheet=A0&amp;row=2922&amp;col=7&amp;number=0&amp;sourceID=14","0")</f>
        <v>0</v>
      </c>
    </row>
    <row r="2923" spans="1:7">
      <c r="A2923" s="3">
        <v>18</v>
      </c>
      <c r="B2923" s="3">
        <v>8</v>
      </c>
      <c r="C2923" s="3">
        <v>73</v>
      </c>
      <c r="D2923" s="3">
        <v>70</v>
      </c>
      <c r="E2923" s="3">
        <v>-19164.559</v>
      </c>
      <c r="F2923" s="4" t="str">
        <f>HYPERLINK("http://141.218.60.56/~jnz1568/getInfo.php?workbook=18_08.xlsx&amp;sheet=A0&amp;row=2923&amp;col=6&amp;number=0.005045&amp;sourceID=14","0.005045")</f>
        <v>0.005045</v>
      </c>
      <c r="G2923" s="4" t="str">
        <f>HYPERLINK("http://141.218.60.56/~jnz1568/getInfo.php?workbook=18_08.xlsx&amp;sheet=A0&amp;row=2923&amp;col=7&amp;number=0&amp;sourceID=14","0")</f>
        <v>0</v>
      </c>
    </row>
    <row r="2924" spans="1:7">
      <c r="A2924" s="3">
        <v>18</v>
      </c>
      <c r="B2924" s="3">
        <v>8</v>
      </c>
      <c r="C2924" s="3">
        <v>75</v>
      </c>
      <c r="D2924" s="3">
        <v>70</v>
      </c>
      <c r="E2924" s="3">
        <v>-4331.958</v>
      </c>
      <c r="F2924" s="4" t="str">
        <f>HYPERLINK("http://141.218.60.56/~jnz1568/getInfo.php?workbook=18_08.xlsx&amp;sheet=A0&amp;row=2924&amp;col=6&amp;number=0.006563&amp;sourceID=14","0.006563")</f>
        <v>0.006563</v>
      </c>
      <c r="G2924" s="4" t="str">
        <f>HYPERLINK("http://141.218.60.56/~jnz1568/getInfo.php?workbook=18_08.xlsx&amp;sheet=A0&amp;row=2924&amp;col=7&amp;number=0&amp;sourceID=14","0")</f>
        <v>0</v>
      </c>
    </row>
    <row r="2925" spans="1:7">
      <c r="A2925" s="3">
        <v>18</v>
      </c>
      <c r="B2925" s="3">
        <v>8</v>
      </c>
      <c r="C2925" s="3">
        <v>79</v>
      </c>
      <c r="D2925" s="3">
        <v>70</v>
      </c>
      <c r="E2925" s="3">
        <v>-3718.379</v>
      </c>
      <c r="F2925" s="4" t="str">
        <f>HYPERLINK("http://141.218.60.56/~jnz1568/getInfo.php?workbook=18_08.xlsx&amp;sheet=A0&amp;row=2925&amp;col=6&amp;number=11.74&amp;sourceID=14","11.74")</f>
        <v>11.74</v>
      </c>
      <c r="G2925" s="4" t="str">
        <f>HYPERLINK("http://141.218.60.56/~jnz1568/getInfo.php?workbook=18_08.xlsx&amp;sheet=A0&amp;row=2925&amp;col=7&amp;number=0&amp;sourceID=14","0")</f>
        <v>0</v>
      </c>
    </row>
    <row r="2926" spans="1:7">
      <c r="A2926" s="3">
        <v>18</v>
      </c>
      <c r="B2926" s="3">
        <v>8</v>
      </c>
      <c r="C2926" s="3">
        <v>80</v>
      </c>
      <c r="D2926" s="3">
        <v>70</v>
      </c>
      <c r="E2926" s="3">
        <v>-3468.515</v>
      </c>
      <c r="F2926" s="4" t="str">
        <f>HYPERLINK("http://141.218.60.56/~jnz1568/getInfo.php?workbook=18_08.xlsx&amp;sheet=A0&amp;row=2926&amp;col=6&amp;number=0.001605&amp;sourceID=14","0.001605")</f>
        <v>0.001605</v>
      </c>
      <c r="G2926" s="4" t="str">
        <f>HYPERLINK("http://141.218.60.56/~jnz1568/getInfo.php?workbook=18_08.xlsx&amp;sheet=A0&amp;row=2926&amp;col=7&amp;number=0&amp;sourceID=14","0")</f>
        <v>0</v>
      </c>
    </row>
    <row r="2927" spans="1:7">
      <c r="A2927" s="3">
        <v>18</v>
      </c>
      <c r="B2927" s="3">
        <v>8</v>
      </c>
      <c r="C2927" s="3">
        <v>81</v>
      </c>
      <c r="D2927" s="3">
        <v>70</v>
      </c>
      <c r="E2927" s="3">
        <v>-2553.604</v>
      </c>
      <c r="F2927" s="4" t="str">
        <f>HYPERLINK("http://141.218.60.56/~jnz1568/getInfo.php?workbook=18_08.xlsx&amp;sheet=A0&amp;row=2927&amp;col=6&amp;number=0.01941&amp;sourceID=14","0.01941")</f>
        <v>0.01941</v>
      </c>
      <c r="G2927" s="4" t="str">
        <f>HYPERLINK("http://141.218.60.56/~jnz1568/getInfo.php?workbook=18_08.xlsx&amp;sheet=A0&amp;row=2927&amp;col=7&amp;number=0&amp;sourceID=14","0")</f>
        <v>0</v>
      </c>
    </row>
    <row r="2928" spans="1:7">
      <c r="A2928" s="3">
        <v>18</v>
      </c>
      <c r="B2928" s="3">
        <v>8</v>
      </c>
      <c r="C2928" s="3">
        <v>83</v>
      </c>
      <c r="D2928" s="3">
        <v>70</v>
      </c>
      <c r="E2928" s="3">
        <v>-2344.988</v>
      </c>
      <c r="F2928" s="4" t="str">
        <f>HYPERLINK("http://141.218.60.56/~jnz1568/getInfo.php?workbook=18_08.xlsx&amp;sheet=A0&amp;row=2928&amp;col=6&amp;number=5.06&amp;sourceID=14","5.06")</f>
        <v>5.06</v>
      </c>
      <c r="G2928" s="4" t="str">
        <f>HYPERLINK("http://141.218.60.56/~jnz1568/getInfo.php?workbook=18_08.xlsx&amp;sheet=A0&amp;row=2928&amp;col=7&amp;number=0&amp;sourceID=14","0")</f>
        <v>0</v>
      </c>
    </row>
    <row r="2929" spans="1:7">
      <c r="A2929" s="3">
        <v>18</v>
      </c>
      <c r="B2929" s="3">
        <v>8</v>
      </c>
      <c r="C2929" s="3">
        <v>84</v>
      </c>
      <c r="D2929" s="3">
        <v>70</v>
      </c>
      <c r="E2929" s="3">
        <v>-1805.311</v>
      </c>
      <c r="F2929" s="4" t="str">
        <f>HYPERLINK("http://141.218.60.56/~jnz1568/getInfo.php?workbook=18_08.xlsx&amp;sheet=A0&amp;row=2929&amp;col=6&amp;number=0.04704&amp;sourceID=14","0.04704")</f>
        <v>0.04704</v>
      </c>
      <c r="G2929" s="4" t="str">
        <f>HYPERLINK("http://141.218.60.56/~jnz1568/getInfo.php?workbook=18_08.xlsx&amp;sheet=A0&amp;row=2929&amp;col=7&amp;number=0&amp;sourceID=14","0")</f>
        <v>0</v>
      </c>
    </row>
    <row r="2930" spans="1:7">
      <c r="A2930" s="3">
        <v>18</v>
      </c>
      <c r="B2930" s="3">
        <v>8</v>
      </c>
      <c r="C2930" s="3">
        <v>86</v>
      </c>
      <c r="D2930" s="3">
        <v>70</v>
      </c>
      <c r="E2930" s="3">
        <v>-1110.767</v>
      </c>
      <c r="F2930" s="4" t="str">
        <f>HYPERLINK("http://141.218.60.56/~jnz1568/getInfo.php?workbook=18_08.xlsx&amp;sheet=A0&amp;row=2930&amp;col=6&amp;number=115.8&amp;sourceID=14","115.8")</f>
        <v>115.8</v>
      </c>
      <c r="G2930" s="4" t="str">
        <f>HYPERLINK("http://141.218.60.56/~jnz1568/getInfo.php?workbook=18_08.xlsx&amp;sheet=A0&amp;row=2930&amp;col=7&amp;number=0&amp;sourceID=14","0")</f>
        <v>0</v>
      </c>
    </row>
    <row r="2931" spans="1:7">
      <c r="A2931" s="3">
        <v>18</v>
      </c>
      <c r="B2931" s="3">
        <v>8</v>
      </c>
      <c r="C2931" s="3">
        <v>74</v>
      </c>
      <c r="D2931" s="3">
        <v>71</v>
      </c>
      <c r="E2931" s="3">
        <v>8284.317</v>
      </c>
      <c r="F2931" s="4" t="str">
        <f>HYPERLINK("http://141.218.60.56/~jnz1568/getInfo.php?workbook=18_08.xlsx&amp;sheet=A0&amp;row=2931&amp;col=6&amp;number=0.0006398&amp;sourceID=14","0.0006398")</f>
        <v>0.0006398</v>
      </c>
      <c r="G2931" s="4" t="str">
        <f>HYPERLINK("http://141.218.60.56/~jnz1568/getInfo.php?workbook=18_08.xlsx&amp;sheet=A0&amp;row=2931&amp;col=7&amp;number=0&amp;sourceID=14","0")</f>
        <v>0</v>
      </c>
    </row>
    <row r="2932" spans="1:7">
      <c r="A2932" s="3">
        <v>18</v>
      </c>
      <c r="B2932" s="3">
        <v>8</v>
      </c>
      <c r="C2932" s="3">
        <v>75</v>
      </c>
      <c r="D2932" s="3">
        <v>71</v>
      </c>
      <c r="E2932" s="3">
        <v>-4459.062</v>
      </c>
      <c r="F2932" s="4" t="str">
        <f>HYPERLINK("http://141.218.60.56/~jnz1568/getInfo.php?workbook=18_08.xlsx&amp;sheet=A0&amp;row=2932&amp;col=6&amp;number=0.8603&amp;sourceID=14","0.8603")</f>
        <v>0.8603</v>
      </c>
      <c r="G2932" s="4" t="str">
        <f>HYPERLINK("http://141.218.60.56/~jnz1568/getInfo.php?workbook=18_08.xlsx&amp;sheet=A0&amp;row=2932&amp;col=7&amp;number=0&amp;sourceID=14","0")</f>
        <v>0</v>
      </c>
    </row>
    <row r="2933" spans="1:7">
      <c r="A2933" s="3">
        <v>18</v>
      </c>
      <c r="B2933" s="3">
        <v>8</v>
      </c>
      <c r="C2933" s="3">
        <v>77</v>
      </c>
      <c r="D2933" s="3">
        <v>71</v>
      </c>
      <c r="E2933" s="3">
        <v>8261.731</v>
      </c>
      <c r="F2933" s="4" t="str">
        <f>HYPERLINK("http://141.218.60.56/~jnz1568/getInfo.php?workbook=18_08.xlsx&amp;sheet=A0&amp;row=2933&amp;col=6&amp;number=0.01285&amp;sourceID=14","0.01285")</f>
        <v>0.01285</v>
      </c>
      <c r="G2933" s="4" t="str">
        <f>HYPERLINK("http://141.218.60.56/~jnz1568/getInfo.php?workbook=18_08.xlsx&amp;sheet=A0&amp;row=2933&amp;col=7&amp;number=0&amp;sourceID=14","0")</f>
        <v>0</v>
      </c>
    </row>
    <row r="2934" spans="1:7">
      <c r="A2934" s="3">
        <v>18</v>
      </c>
      <c r="B2934" s="3">
        <v>8</v>
      </c>
      <c r="C2934" s="3">
        <v>78</v>
      </c>
      <c r="D2934" s="3">
        <v>71</v>
      </c>
      <c r="E2934" s="3">
        <v>-4301.332</v>
      </c>
      <c r="F2934" s="4" t="str">
        <f>HYPERLINK("http://141.218.60.56/~jnz1568/getInfo.php?workbook=18_08.xlsx&amp;sheet=A0&amp;row=2934&amp;col=6&amp;number=20.22&amp;sourceID=14","20.22")</f>
        <v>20.22</v>
      </c>
      <c r="G2934" s="4" t="str">
        <f>HYPERLINK("http://141.218.60.56/~jnz1568/getInfo.php?workbook=18_08.xlsx&amp;sheet=A0&amp;row=2934&amp;col=7&amp;number=0&amp;sourceID=14","0")</f>
        <v>0</v>
      </c>
    </row>
    <row r="2935" spans="1:7">
      <c r="A2935" s="3">
        <v>18</v>
      </c>
      <c r="B2935" s="3">
        <v>8</v>
      </c>
      <c r="C2935" s="3">
        <v>79</v>
      </c>
      <c r="D2935" s="3">
        <v>71</v>
      </c>
      <c r="E2935" s="3">
        <v>-3811.639</v>
      </c>
      <c r="F2935" s="4" t="str">
        <f>HYPERLINK("http://141.218.60.56/~jnz1568/getInfo.php?workbook=18_08.xlsx&amp;sheet=A0&amp;row=2935&amp;col=6&amp;number=0.01629&amp;sourceID=14","0.01629")</f>
        <v>0.01629</v>
      </c>
      <c r="G2935" s="4" t="str">
        <f>HYPERLINK("http://141.218.60.56/~jnz1568/getInfo.php?workbook=18_08.xlsx&amp;sheet=A0&amp;row=2935&amp;col=7&amp;number=0&amp;sourceID=14","0")</f>
        <v>0</v>
      </c>
    </row>
    <row r="2936" spans="1:7">
      <c r="A2936" s="3">
        <v>18</v>
      </c>
      <c r="B2936" s="3">
        <v>8</v>
      </c>
      <c r="C2936" s="3">
        <v>80</v>
      </c>
      <c r="D2936" s="3">
        <v>71</v>
      </c>
      <c r="E2936" s="3">
        <v>-3549.526</v>
      </c>
      <c r="F2936" s="4" t="str">
        <f>HYPERLINK("http://141.218.60.56/~jnz1568/getInfo.php?workbook=18_08.xlsx&amp;sheet=A0&amp;row=2936&amp;col=6&amp;number=51.84&amp;sourceID=14","51.84")</f>
        <v>51.84</v>
      </c>
      <c r="G2936" s="4" t="str">
        <f>HYPERLINK("http://141.218.60.56/~jnz1568/getInfo.php?workbook=18_08.xlsx&amp;sheet=A0&amp;row=2936&amp;col=7&amp;number=0&amp;sourceID=14","0")</f>
        <v>0</v>
      </c>
    </row>
    <row r="2937" spans="1:7">
      <c r="A2937" s="3">
        <v>18</v>
      </c>
      <c r="B2937" s="3">
        <v>8</v>
      </c>
      <c r="C2937" s="3">
        <v>81</v>
      </c>
      <c r="D2937" s="3">
        <v>71</v>
      </c>
      <c r="E2937" s="3">
        <v>3124.609</v>
      </c>
      <c r="F2937" s="4" t="str">
        <f>HYPERLINK("http://141.218.60.56/~jnz1568/getInfo.php?workbook=18_08.xlsx&amp;sheet=A0&amp;row=2937&amp;col=6&amp;number=8.04&amp;sourceID=14","8.04")</f>
        <v>8.04</v>
      </c>
      <c r="G2937" s="4" t="str">
        <f>HYPERLINK("http://141.218.60.56/~jnz1568/getInfo.php?workbook=18_08.xlsx&amp;sheet=A0&amp;row=2937&amp;col=7&amp;number=0&amp;sourceID=14","0")</f>
        <v>0</v>
      </c>
    </row>
    <row r="2938" spans="1:7">
      <c r="A2938" s="3">
        <v>18</v>
      </c>
      <c r="B2938" s="3">
        <v>8</v>
      </c>
      <c r="C2938" s="3">
        <v>82</v>
      </c>
      <c r="D2938" s="3">
        <v>71</v>
      </c>
      <c r="E2938" s="3">
        <v>2786.835</v>
      </c>
      <c r="F2938" s="4" t="str">
        <f>HYPERLINK("http://141.218.60.56/~jnz1568/getInfo.php?workbook=18_08.xlsx&amp;sheet=A0&amp;row=2938&amp;col=6&amp;number=0.006074&amp;sourceID=14","0.006074")</f>
        <v>0.006074</v>
      </c>
      <c r="G2938" s="4" t="str">
        <f>HYPERLINK("http://141.218.60.56/~jnz1568/getInfo.php?workbook=18_08.xlsx&amp;sheet=A0&amp;row=2938&amp;col=7&amp;number=0&amp;sourceID=14","0")</f>
        <v>0</v>
      </c>
    </row>
    <row r="2939" spans="1:7">
      <c r="A2939" s="3">
        <v>18</v>
      </c>
      <c r="B2939" s="3">
        <v>8</v>
      </c>
      <c r="C2939" s="3">
        <v>83</v>
      </c>
      <c r="D2939" s="3">
        <v>71</v>
      </c>
      <c r="E2939" s="3">
        <v>2189.429</v>
      </c>
      <c r="F2939" s="4" t="str">
        <f>HYPERLINK("http://141.218.60.56/~jnz1568/getInfo.php?workbook=18_08.xlsx&amp;sheet=A0&amp;row=2939&amp;col=6&amp;number=11.55&amp;sourceID=14","11.55")</f>
        <v>11.55</v>
      </c>
      <c r="G2939" s="4" t="str">
        <f>HYPERLINK("http://141.218.60.56/~jnz1568/getInfo.php?workbook=18_08.xlsx&amp;sheet=A0&amp;row=2939&amp;col=7&amp;number=0&amp;sourceID=14","0")</f>
        <v>0</v>
      </c>
    </row>
    <row r="2940" spans="1:7">
      <c r="A2940" s="3">
        <v>18</v>
      </c>
      <c r="B2940" s="3">
        <v>8</v>
      </c>
      <c r="C2940" s="3">
        <v>84</v>
      </c>
      <c r="D2940" s="3">
        <v>71</v>
      </c>
      <c r="E2940" s="3">
        <v>2764.417</v>
      </c>
      <c r="F2940" s="4" t="str">
        <f>HYPERLINK("http://141.218.60.56/~jnz1568/getInfo.php?workbook=18_08.xlsx&amp;sheet=A0&amp;row=2940&amp;col=6&amp;number=0.7762&amp;sourceID=14","0.7762")</f>
        <v>0.7762</v>
      </c>
      <c r="G2940" s="4" t="str">
        <f>HYPERLINK("http://141.218.60.56/~jnz1568/getInfo.php?workbook=18_08.xlsx&amp;sheet=A0&amp;row=2940&amp;col=7&amp;number=0&amp;sourceID=14","0")</f>
        <v>0</v>
      </c>
    </row>
    <row r="2941" spans="1:7">
      <c r="A2941" s="3">
        <v>18</v>
      </c>
      <c r="B2941" s="3">
        <v>8</v>
      </c>
      <c r="C2941" s="3">
        <v>85</v>
      </c>
      <c r="D2941" s="3">
        <v>71</v>
      </c>
      <c r="E2941" s="3">
        <v>1945.374</v>
      </c>
      <c r="F2941" s="4" t="str">
        <f>HYPERLINK("http://141.218.60.56/~jnz1568/getInfo.php?workbook=18_08.xlsx&amp;sheet=A0&amp;row=2941&amp;col=6&amp;number=5.26e-05&amp;sourceID=14","5.26e-05")</f>
        <v>5.26e-05</v>
      </c>
      <c r="G2941" s="4" t="str">
        <f>HYPERLINK("http://141.218.60.56/~jnz1568/getInfo.php?workbook=18_08.xlsx&amp;sheet=A0&amp;row=2941&amp;col=7&amp;number=0&amp;sourceID=14","0")</f>
        <v>0</v>
      </c>
    </row>
    <row r="2942" spans="1:7">
      <c r="A2942" s="3">
        <v>18</v>
      </c>
      <c r="B2942" s="3">
        <v>8</v>
      </c>
      <c r="C2942" s="3">
        <v>86</v>
      </c>
      <c r="D2942" s="3">
        <v>71</v>
      </c>
      <c r="E2942" s="3">
        <v>1217.967</v>
      </c>
      <c r="F2942" s="4" t="str">
        <f>HYPERLINK("http://141.218.60.56/~jnz1568/getInfo.php?workbook=18_08.xlsx&amp;sheet=A0&amp;row=2942&amp;col=6&amp;number=108.7&amp;sourceID=14","108.7")</f>
        <v>108.7</v>
      </c>
      <c r="G2942" s="4" t="str">
        <f>HYPERLINK("http://141.218.60.56/~jnz1568/getInfo.php?workbook=18_08.xlsx&amp;sheet=A0&amp;row=2942&amp;col=7&amp;number=0&amp;sourceID=14","0")</f>
        <v>0</v>
      </c>
    </row>
    <row r="2943" spans="1:7">
      <c r="A2943" s="3">
        <v>18</v>
      </c>
      <c r="B2943" s="3">
        <v>8</v>
      </c>
      <c r="C2943" s="3">
        <v>73</v>
      </c>
      <c r="D2943" s="3">
        <v>72</v>
      </c>
      <c r="E2943" s="3">
        <v>8765.01</v>
      </c>
      <c r="F2943" s="4" t="str">
        <f>HYPERLINK("http://141.218.60.56/~jnz1568/getInfo.php?workbook=18_08.xlsx&amp;sheet=A0&amp;row=2943&amp;col=6&amp;number=0.2442&amp;sourceID=14","0.2442")</f>
        <v>0.2442</v>
      </c>
      <c r="G2943" s="4" t="str">
        <f>HYPERLINK("http://141.218.60.56/~jnz1568/getInfo.php?workbook=18_08.xlsx&amp;sheet=A0&amp;row=2943&amp;col=7&amp;number=0&amp;sourceID=14","0")</f>
        <v>0</v>
      </c>
    </row>
    <row r="2944" spans="1:7">
      <c r="A2944" s="3">
        <v>18</v>
      </c>
      <c r="B2944" s="3">
        <v>8</v>
      </c>
      <c r="C2944" s="3">
        <v>74</v>
      </c>
      <c r="D2944" s="3">
        <v>72</v>
      </c>
      <c r="E2944" s="3">
        <v>4258.944</v>
      </c>
      <c r="F2944" s="4" t="str">
        <f>HYPERLINK("http://141.218.60.56/~jnz1568/getInfo.php?workbook=18_08.xlsx&amp;sheet=A0&amp;row=2944&amp;col=6&amp;number=0.2575&amp;sourceID=14","0.2575")</f>
        <v>0.2575</v>
      </c>
      <c r="G2944" s="4" t="str">
        <f>HYPERLINK("http://141.218.60.56/~jnz1568/getInfo.php?workbook=18_08.xlsx&amp;sheet=A0&amp;row=2944&amp;col=7&amp;number=0&amp;sourceID=14","0")</f>
        <v>0</v>
      </c>
    </row>
    <row r="2945" spans="1:7">
      <c r="A2945" s="3">
        <v>18</v>
      </c>
      <c r="B2945" s="3">
        <v>8</v>
      </c>
      <c r="C2945" s="3">
        <v>75</v>
      </c>
      <c r="D2945" s="3">
        <v>72</v>
      </c>
      <c r="E2945" s="3">
        <v>-3427.36</v>
      </c>
      <c r="F2945" s="4" t="str">
        <f>HYPERLINK("http://141.218.60.56/~jnz1568/getInfo.php?workbook=18_08.xlsx&amp;sheet=A0&amp;row=2945&amp;col=6&amp;number=2.088&amp;sourceID=14","2.088")</f>
        <v>2.088</v>
      </c>
      <c r="G2945" s="4" t="str">
        <f>HYPERLINK("http://141.218.60.56/~jnz1568/getInfo.php?workbook=18_08.xlsx&amp;sheet=A0&amp;row=2945&amp;col=7&amp;number=0&amp;sourceID=14","0")</f>
        <v>0</v>
      </c>
    </row>
    <row r="2946" spans="1:7">
      <c r="A2946" s="3">
        <v>18</v>
      </c>
      <c r="B2946" s="3">
        <v>8</v>
      </c>
      <c r="C2946" s="3">
        <v>76</v>
      </c>
      <c r="D2946" s="3">
        <v>72</v>
      </c>
      <c r="E2946" s="3">
        <v>-3398.144</v>
      </c>
      <c r="F2946" s="4" t="str">
        <f>HYPERLINK("http://141.218.60.56/~jnz1568/getInfo.php?workbook=18_08.xlsx&amp;sheet=A0&amp;row=2946&amp;col=6&amp;number=0.004307&amp;sourceID=14","0.004307")</f>
        <v>0.004307</v>
      </c>
      <c r="G2946" s="4" t="str">
        <f>HYPERLINK("http://141.218.60.56/~jnz1568/getInfo.php?workbook=18_08.xlsx&amp;sheet=A0&amp;row=2946&amp;col=7&amp;number=0&amp;sourceID=14","0")</f>
        <v>0</v>
      </c>
    </row>
    <row r="2947" spans="1:7">
      <c r="A2947" s="3">
        <v>18</v>
      </c>
      <c r="B2947" s="3">
        <v>8</v>
      </c>
      <c r="C2947" s="3">
        <v>77</v>
      </c>
      <c r="D2947" s="3">
        <v>72</v>
      </c>
      <c r="E2947" s="3">
        <v>4252.966</v>
      </c>
      <c r="F2947" s="4" t="str">
        <f>HYPERLINK("http://141.218.60.56/~jnz1568/getInfo.php?workbook=18_08.xlsx&amp;sheet=A0&amp;row=2947&amp;col=6&amp;number=1.77&amp;sourceID=14","1.77")</f>
        <v>1.77</v>
      </c>
      <c r="G2947" s="4" t="str">
        <f>HYPERLINK("http://141.218.60.56/~jnz1568/getInfo.php?workbook=18_08.xlsx&amp;sheet=A0&amp;row=2947&amp;col=7&amp;number=0&amp;sourceID=14","0")</f>
        <v>0</v>
      </c>
    </row>
    <row r="2948" spans="1:7">
      <c r="A2948" s="3">
        <v>18</v>
      </c>
      <c r="B2948" s="3">
        <v>8</v>
      </c>
      <c r="C2948" s="3">
        <v>78</v>
      </c>
      <c r="D2948" s="3">
        <v>72</v>
      </c>
      <c r="E2948" s="3">
        <v>-3333.406</v>
      </c>
      <c r="F2948" s="4" t="str">
        <f>HYPERLINK("http://141.218.60.56/~jnz1568/getInfo.php?workbook=18_08.xlsx&amp;sheet=A0&amp;row=2948&amp;col=6&amp;number=0.0002042&amp;sourceID=14","0.0002042")</f>
        <v>0.0002042</v>
      </c>
      <c r="G2948" s="4" t="str">
        <f>HYPERLINK("http://141.218.60.56/~jnz1568/getInfo.php?workbook=18_08.xlsx&amp;sheet=A0&amp;row=2948&amp;col=7&amp;number=0&amp;sourceID=14","0")</f>
        <v>0</v>
      </c>
    </row>
    <row r="2949" spans="1:7">
      <c r="A2949" s="3">
        <v>18</v>
      </c>
      <c r="B2949" s="3">
        <v>8</v>
      </c>
      <c r="C2949" s="3">
        <v>79</v>
      </c>
      <c r="D2949" s="3">
        <v>72</v>
      </c>
      <c r="E2949" s="3">
        <v>-3031.573</v>
      </c>
      <c r="F2949" s="4" t="str">
        <f>HYPERLINK("http://141.218.60.56/~jnz1568/getInfo.php?workbook=18_08.xlsx&amp;sheet=A0&amp;row=2949&amp;col=6&amp;number=46.89&amp;sourceID=14","46.89")</f>
        <v>46.89</v>
      </c>
      <c r="G2949" s="4" t="str">
        <f>HYPERLINK("http://141.218.60.56/~jnz1568/getInfo.php?workbook=18_08.xlsx&amp;sheet=A0&amp;row=2949&amp;col=7&amp;number=0&amp;sourceID=14","0")</f>
        <v>0</v>
      </c>
    </row>
    <row r="2950" spans="1:7">
      <c r="A2950" s="3">
        <v>18</v>
      </c>
      <c r="B2950" s="3">
        <v>8</v>
      </c>
      <c r="C2950" s="3">
        <v>80</v>
      </c>
      <c r="D2950" s="3">
        <v>72</v>
      </c>
      <c r="E2950" s="3">
        <v>-2863.4</v>
      </c>
      <c r="F2950" s="4" t="str">
        <f>HYPERLINK("http://141.218.60.56/~jnz1568/getInfo.php?workbook=18_08.xlsx&amp;sheet=A0&amp;row=2950&amp;col=6&amp;number=32.45&amp;sourceID=14","32.45")</f>
        <v>32.45</v>
      </c>
      <c r="G2950" s="4" t="str">
        <f>HYPERLINK("http://141.218.60.56/~jnz1568/getInfo.php?workbook=18_08.xlsx&amp;sheet=A0&amp;row=2950&amp;col=7&amp;number=0&amp;sourceID=14","0")</f>
        <v>0</v>
      </c>
    </row>
    <row r="2951" spans="1:7">
      <c r="A2951" s="3">
        <v>18</v>
      </c>
      <c r="B2951" s="3">
        <v>8</v>
      </c>
      <c r="C2951" s="3">
        <v>81</v>
      </c>
      <c r="D2951" s="3">
        <v>72</v>
      </c>
      <c r="E2951" s="3">
        <v>2303.458</v>
      </c>
      <c r="F2951" s="4" t="str">
        <f>HYPERLINK("http://141.218.60.56/~jnz1568/getInfo.php?workbook=18_08.xlsx&amp;sheet=A0&amp;row=2951&amp;col=6&amp;number=0.1214&amp;sourceID=14","0.1214")</f>
        <v>0.1214</v>
      </c>
      <c r="G2951" s="4" t="str">
        <f>HYPERLINK("http://141.218.60.56/~jnz1568/getInfo.php?workbook=18_08.xlsx&amp;sheet=A0&amp;row=2951&amp;col=7&amp;number=0&amp;sourceID=14","0")</f>
        <v>0</v>
      </c>
    </row>
    <row r="2952" spans="1:7">
      <c r="A2952" s="3">
        <v>18</v>
      </c>
      <c r="B2952" s="3">
        <v>8</v>
      </c>
      <c r="C2952" s="3">
        <v>82</v>
      </c>
      <c r="D2952" s="3">
        <v>72</v>
      </c>
      <c r="E2952" s="3">
        <v>2114.522</v>
      </c>
      <c r="F2952" s="4" t="str">
        <f>HYPERLINK("http://141.218.60.56/~jnz1568/getInfo.php?workbook=18_08.xlsx&amp;sheet=A0&amp;row=2952&amp;col=6&amp;number=17.49&amp;sourceID=14","17.49")</f>
        <v>17.49</v>
      </c>
      <c r="G2952" s="4" t="str">
        <f>HYPERLINK("http://141.218.60.56/~jnz1568/getInfo.php?workbook=18_08.xlsx&amp;sheet=A0&amp;row=2952&amp;col=7&amp;number=0&amp;sourceID=14","0")</f>
        <v>0</v>
      </c>
    </row>
    <row r="2953" spans="1:7">
      <c r="A2953" s="3">
        <v>18</v>
      </c>
      <c r="B2953" s="3">
        <v>8</v>
      </c>
      <c r="C2953" s="3">
        <v>83</v>
      </c>
      <c r="D2953" s="3">
        <v>72</v>
      </c>
      <c r="E2953" s="3">
        <v>1751.835</v>
      </c>
      <c r="F2953" s="4" t="str">
        <f>HYPERLINK("http://141.218.60.56/~jnz1568/getInfo.php?workbook=18_08.xlsx&amp;sheet=A0&amp;row=2953&amp;col=6&amp;number=69.73&amp;sourceID=14","69.73")</f>
        <v>69.73</v>
      </c>
      <c r="G2953" s="4" t="str">
        <f>HYPERLINK("http://141.218.60.56/~jnz1568/getInfo.php?workbook=18_08.xlsx&amp;sheet=A0&amp;row=2953&amp;col=7&amp;number=0&amp;sourceID=14","0")</f>
        <v>0</v>
      </c>
    </row>
    <row r="2954" spans="1:7">
      <c r="A2954" s="3">
        <v>18</v>
      </c>
      <c r="B2954" s="3">
        <v>8</v>
      </c>
      <c r="C2954" s="3">
        <v>84</v>
      </c>
      <c r="D2954" s="3">
        <v>72</v>
      </c>
      <c r="E2954" s="3">
        <v>2101.591</v>
      </c>
      <c r="F2954" s="4" t="str">
        <f>HYPERLINK("http://141.218.60.56/~jnz1568/getInfo.php?workbook=18_08.xlsx&amp;sheet=A0&amp;row=2954&amp;col=6&amp;number=5.108&amp;sourceID=14","5.108")</f>
        <v>5.108</v>
      </c>
      <c r="G2954" s="4" t="str">
        <f>HYPERLINK("http://141.218.60.56/~jnz1568/getInfo.php?workbook=18_08.xlsx&amp;sheet=A0&amp;row=2954&amp;col=7&amp;number=0&amp;sourceID=14","0")</f>
        <v>0</v>
      </c>
    </row>
    <row r="2955" spans="1:7">
      <c r="A2955" s="3">
        <v>18</v>
      </c>
      <c r="B2955" s="3">
        <v>8</v>
      </c>
      <c r="C2955" s="3">
        <v>85</v>
      </c>
      <c r="D2955" s="3">
        <v>72</v>
      </c>
      <c r="E2955" s="3">
        <v>1592.027</v>
      </c>
      <c r="F2955" s="4" t="str">
        <f>HYPERLINK("http://141.218.60.56/~jnz1568/getInfo.php?workbook=18_08.xlsx&amp;sheet=A0&amp;row=2955&amp;col=6&amp;number=0.7681&amp;sourceID=14","0.7681")</f>
        <v>0.7681</v>
      </c>
      <c r="G2955" s="4" t="str">
        <f>HYPERLINK("http://141.218.60.56/~jnz1568/getInfo.php?workbook=18_08.xlsx&amp;sheet=A0&amp;row=2955&amp;col=7&amp;number=0&amp;sourceID=14","0")</f>
        <v>0</v>
      </c>
    </row>
    <row r="2956" spans="1:7">
      <c r="A2956" s="3">
        <v>18</v>
      </c>
      <c r="B2956" s="3">
        <v>8</v>
      </c>
      <c r="C2956" s="3">
        <v>86</v>
      </c>
      <c r="D2956" s="3">
        <v>72</v>
      </c>
      <c r="E2956" s="3">
        <v>1069.37</v>
      </c>
      <c r="F2956" s="4" t="str">
        <f>HYPERLINK("http://141.218.60.56/~jnz1568/getInfo.php?workbook=18_08.xlsx&amp;sheet=A0&amp;row=2956&amp;col=6&amp;number=14.44&amp;sourceID=14","14.44")</f>
        <v>14.44</v>
      </c>
      <c r="G2956" s="4" t="str">
        <f>HYPERLINK("http://141.218.60.56/~jnz1568/getInfo.php?workbook=18_08.xlsx&amp;sheet=A0&amp;row=2956&amp;col=7&amp;number=0&amp;sourceID=14","0")</f>
        <v>0</v>
      </c>
    </row>
    <row r="2957" spans="1:7">
      <c r="A2957" s="3">
        <v>18</v>
      </c>
      <c r="B2957" s="3">
        <v>8</v>
      </c>
      <c r="C2957" s="3">
        <v>74</v>
      </c>
      <c r="D2957" s="3">
        <v>73</v>
      </c>
      <c r="E2957" s="3">
        <v>8284.317</v>
      </c>
      <c r="F2957" s="4" t="str">
        <f>HYPERLINK("http://141.218.60.56/~jnz1568/getInfo.php?workbook=18_08.xlsx&amp;sheet=A0&amp;row=2957&amp;col=6&amp;number=1.357e-05&amp;sourceID=14","1.357e-05")</f>
        <v>1.357e-05</v>
      </c>
      <c r="G2957" s="4" t="str">
        <f>HYPERLINK("http://141.218.60.56/~jnz1568/getInfo.php?workbook=18_08.xlsx&amp;sheet=A0&amp;row=2957&amp;col=7&amp;number=0&amp;sourceID=14","0")</f>
        <v>0</v>
      </c>
    </row>
    <row r="2958" spans="1:7">
      <c r="A2958" s="3">
        <v>18</v>
      </c>
      <c r="B2958" s="3">
        <v>8</v>
      </c>
      <c r="C2958" s="3">
        <v>75</v>
      </c>
      <c r="D2958" s="3">
        <v>73</v>
      </c>
      <c r="E2958" s="3">
        <v>-5597.136</v>
      </c>
      <c r="F2958" s="4" t="str">
        <f>HYPERLINK("http://141.218.60.56/~jnz1568/getInfo.php?workbook=18_08.xlsx&amp;sheet=A0&amp;row=2958&amp;col=6&amp;number=0.2086&amp;sourceID=14","0.2086")</f>
        <v>0.2086</v>
      </c>
      <c r="G2958" s="4" t="str">
        <f>HYPERLINK("http://141.218.60.56/~jnz1568/getInfo.php?workbook=18_08.xlsx&amp;sheet=A0&amp;row=2958&amp;col=7&amp;number=0&amp;sourceID=14","0")</f>
        <v>0</v>
      </c>
    </row>
    <row r="2959" spans="1:7">
      <c r="A2959" s="3">
        <v>18</v>
      </c>
      <c r="B2959" s="3">
        <v>8</v>
      </c>
      <c r="C2959" s="3">
        <v>77</v>
      </c>
      <c r="D2959" s="3">
        <v>73</v>
      </c>
      <c r="E2959" s="3">
        <v>8261.731</v>
      </c>
      <c r="F2959" s="4" t="str">
        <f>HYPERLINK("http://141.218.60.56/~jnz1568/getInfo.php?workbook=18_08.xlsx&amp;sheet=A0&amp;row=2959&amp;col=6&amp;number=1.997e-05&amp;sourceID=14","1.997e-05")</f>
        <v>1.997e-05</v>
      </c>
      <c r="G2959" s="4" t="str">
        <f>HYPERLINK("http://141.218.60.56/~jnz1568/getInfo.php?workbook=18_08.xlsx&amp;sheet=A0&amp;row=2959&amp;col=7&amp;number=0&amp;sourceID=14","0")</f>
        <v>0</v>
      </c>
    </row>
    <row r="2960" spans="1:7">
      <c r="A2960" s="3">
        <v>18</v>
      </c>
      <c r="B2960" s="3">
        <v>8</v>
      </c>
      <c r="C2960" s="3">
        <v>78</v>
      </c>
      <c r="D2960" s="3">
        <v>73</v>
      </c>
      <c r="E2960" s="3">
        <v>-5350.84</v>
      </c>
      <c r="F2960" s="4" t="str">
        <f>HYPERLINK("http://141.218.60.56/~jnz1568/getInfo.php?workbook=18_08.xlsx&amp;sheet=A0&amp;row=2960&amp;col=6&amp;number=50.62&amp;sourceID=14","50.62")</f>
        <v>50.62</v>
      </c>
      <c r="G2960" s="4" t="str">
        <f>HYPERLINK("http://141.218.60.56/~jnz1568/getInfo.php?workbook=18_08.xlsx&amp;sheet=A0&amp;row=2960&amp;col=7&amp;number=0&amp;sourceID=14","0")</f>
        <v>0</v>
      </c>
    </row>
    <row r="2961" spans="1:7">
      <c r="A2961" s="3">
        <v>18</v>
      </c>
      <c r="B2961" s="3">
        <v>8</v>
      </c>
      <c r="C2961" s="3">
        <v>79</v>
      </c>
      <c r="D2961" s="3">
        <v>73</v>
      </c>
      <c r="E2961" s="3">
        <v>-4613.509</v>
      </c>
      <c r="F2961" s="4" t="str">
        <f>HYPERLINK("http://141.218.60.56/~jnz1568/getInfo.php?workbook=18_08.xlsx&amp;sheet=A0&amp;row=2961&amp;col=6&amp;number=20.47&amp;sourceID=14","20.47")</f>
        <v>20.47</v>
      </c>
      <c r="G2961" s="4" t="str">
        <f>HYPERLINK("http://141.218.60.56/~jnz1568/getInfo.php?workbook=18_08.xlsx&amp;sheet=A0&amp;row=2961&amp;col=7&amp;number=0&amp;sourceID=14","0")</f>
        <v>0</v>
      </c>
    </row>
    <row r="2962" spans="1:7">
      <c r="A2962" s="3">
        <v>18</v>
      </c>
      <c r="B2962" s="3">
        <v>8</v>
      </c>
      <c r="C2962" s="3">
        <v>80</v>
      </c>
      <c r="D2962" s="3">
        <v>73</v>
      </c>
      <c r="E2962" s="3">
        <v>-4234.988</v>
      </c>
      <c r="F2962" s="4" t="str">
        <f>HYPERLINK("http://141.218.60.56/~jnz1568/getInfo.php?workbook=18_08.xlsx&amp;sheet=A0&amp;row=2962&amp;col=6&amp;number=19.18&amp;sourceID=14","19.18")</f>
        <v>19.18</v>
      </c>
      <c r="G2962" s="4" t="str">
        <f>HYPERLINK("http://141.218.60.56/~jnz1568/getInfo.php?workbook=18_08.xlsx&amp;sheet=A0&amp;row=2962&amp;col=7&amp;number=0&amp;sourceID=14","0")</f>
        <v>0</v>
      </c>
    </row>
    <row r="2963" spans="1:7">
      <c r="A2963" s="3">
        <v>18</v>
      </c>
      <c r="B2963" s="3">
        <v>8</v>
      </c>
      <c r="C2963" s="3">
        <v>81</v>
      </c>
      <c r="D2963" s="3">
        <v>73</v>
      </c>
      <c r="E2963" s="3">
        <v>3124.609</v>
      </c>
      <c r="F2963" s="4" t="str">
        <f>HYPERLINK("http://141.218.60.56/~jnz1568/getInfo.php?workbook=18_08.xlsx&amp;sheet=A0&amp;row=2963&amp;col=6&amp;number=0.2213&amp;sourceID=14","0.2213")</f>
        <v>0.2213</v>
      </c>
      <c r="G2963" s="4" t="str">
        <f>HYPERLINK("http://141.218.60.56/~jnz1568/getInfo.php?workbook=18_08.xlsx&amp;sheet=A0&amp;row=2963&amp;col=7&amp;number=0&amp;sourceID=14","0")</f>
        <v>0</v>
      </c>
    </row>
    <row r="2964" spans="1:7">
      <c r="A2964" s="3">
        <v>18</v>
      </c>
      <c r="B2964" s="3">
        <v>8</v>
      </c>
      <c r="C2964" s="3">
        <v>82</v>
      </c>
      <c r="D2964" s="3">
        <v>73</v>
      </c>
      <c r="E2964" s="3">
        <v>2786.835</v>
      </c>
      <c r="F2964" s="4" t="str">
        <f>HYPERLINK("http://141.218.60.56/~jnz1568/getInfo.php?workbook=18_08.xlsx&amp;sheet=A0&amp;row=2964&amp;col=6&amp;number=0.06121&amp;sourceID=14","0.06121")</f>
        <v>0.06121</v>
      </c>
      <c r="G2964" s="4" t="str">
        <f>HYPERLINK("http://141.218.60.56/~jnz1568/getInfo.php?workbook=18_08.xlsx&amp;sheet=A0&amp;row=2964&amp;col=7&amp;number=0&amp;sourceID=14","0")</f>
        <v>0</v>
      </c>
    </row>
    <row r="2965" spans="1:7">
      <c r="A2965" s="3">
        <v>18</v>
      </c>
      <c r="B2965" s="3">
        <v>8</v>
      </c>
      <c r="C2965" s="3">
        <v>83</v>
      </c>
      <c r="D2965" s="3">
        <v>73</v>
      </c>
      <c r="E2965" s="3">
        <v>2189.429</v>
      </c>
      <c r="F2965" s="4" t="str">
        <f>HYPERLINK("http://141.218.60.56/~jnz1568/getInfo.php?workbook=18_08.xlsx&amp;sheet=A0&amp;row=2965&amp;col=6&amp;number=2.042&amp;sourceID=14","2.042")</f>
        <v>2.042</v>
      </c>
      <c r="G2965" s="4" t="str">
        <f>HYPERLINK("http://141.218.60.56/~jnz1568/getInfo.php?workbook=18_08.xlsx&amp;sheet=A0&amp;row=2965&amp;col=7&amp;number=0&amp;sourceID=14","0")</f>
        <v>0</v>
      </c>
    </row>
    <row r="2966" spans="1:7">
      <c r="A2966" s="3">
        <v>18</v>
      </c>
      <c r="B2966" s="3">
        <v>8</v>
      </c>
      <c r="C2966" s="3">
        <v>84</v>
      </c>
      <c r="D2966" s="3">
        <v>73</v>
      </c>
      <c r="E2966" s="3">
        <v>2764.417</v>
      </c>
      <c r="F2966" s="4" t="str">
        <f>HYPERLINK("http://141.218.60.56/~jnz1568/getInfo.php?workbook=18_08.xlsx&amp;sheet=A0&amp;row=2966&amp;col=6&amp;number=0.6058&amp;sourceID=14","0.6058")</f>
        <v>0.6058</v>
      </c>
      <c r="G2966" s="4" t="str">
        <f>HYPERLINK("http://141.218.60.56/~jnz1568/getInfo.php?workbook=18_08.xlsx&amp;sheet=A0&amp;row=2966&amp;col=7&amp;number=0&amp;sourceID=14","0")</f>
        <v>0</v>
      </c>
    </row>
    <row r="2967" spans="1:7">
      <c r="A2967" s="3">
        <v>18</v>
      </c>
      <c r="B2967" s="3">
        <v>8</v>
      </c>
      <c r="C2967" s="3">
        <v>85</v>
      </c>
      <c r="D2967" s="3">
        <v>73</v>
      </c>
      <c r="E2967" s="3">
        <v>1945.374</v>
      </c>
      <c r="F2967" s="4" t="str">
        <f>HYPERLINK("http://141.218.60.56/~jnz1568/getInfo.php?workbook=18_08.xlsx&amp;sheet=A0&amp;row=2967&amp;col=6&amp;number=0.02081&amp;sourceID=14","0.02081")</f>
        <v>0.02081</v>
      </c>
      <c r="G2967" s="4" t="str">
        <f>HYPERLINK("http://141.218.60.56/~jnz1568/getInfo.php?workbook=18_08.xlsx&amp;sheet=A0&amp;row=2967&amp;col=7&amp;number=0&amp;sourceID=14","0")</f>
        <v>0</v>
      </c>
    </row>
    <row r="2968" spans="1:7">
      <c r="A2968" s="3">
        <v>18</v>
      </c>
      <c r="B2968" s="3">
        <v>8</v>
      </c>
      <c r="C2968" s="3">
        <v>86</v>
      </c>
      <c r="D2968" s="3">
        <v>73</v>
      </c>
      <c r="E2968" s="3">
        <v>1217.967</v>
      </c>
      <c r="F2968" s="4" t="str">
        <f>HYPERLINK("http://141.218.60.56/~jnz1568/getInfo.php?workbook=18_08.xlsx&amp;sheet=A0&amp;row=2968&amp;col=6&amp;number=112&amp;sourceID=14","112")</f>
        <v>112</v>
      </c>
      <c r="G2968" s="4" t="str">
        <f>HYPERLINK("http://141.218.60.56/~jnz1568/getInfo.php?workbook=18_08.xlsx&amp;sheet=A0&amp;row=2968&amp;col=7&amp;number=0&amp;sourceID=14","0")</f>
        <v>0</v>
      </c>
    </row>
    <row r="2969" spans="1:7">
      <c r="A2969" s="3">
        <v>18</v>
      </c>
      <c r="B2969" s="3">
        <v>8</v>
      </c>
      <c r="C2969" s="3">
        <v>75</v>
      </c>
      <c r="D2969" s="3">
        <v>74</v>
      </c>
      <c r="E2969" s="3">
        <v>-28982.744</v>
      </c>
      <c r="F2969" s="4" t="str">
        <f>HYPERLINK("http://141.218.60.56/~jnz1568/getInfo.php?workbook=18_08.xlsx&amp;sheet=A0&amp;row=2969&amp;col=6&amp;number=0.7269&amp;sourceID=14","0.7269")</f>
        <v>0.7269</v>
      </c>
      <c r="G2969" s="4" t="str">
        <f>HYPERLINK("http://141.218.60.56/~jnz1568/getInfo.php?workbook=18_08.xlsx&amp;sheet=A0&amp;row=2969&amp;col=7&amp;number=0&amp;sourceID=14","0")</f>
        <v>0</v>
      </c>
    </row>
    <row r="2970" spans="1:7">
      <c r="A2970" s="3">
        <v>18</v>
      </c>
      <c r="B2970" s="3">
        <v>8</v>
      </c>
      <c r="C2970" s="3">
        <v>76</v>
      </c>
      <c r="D2970" s="3">
        <v>74</v>
      </c>
      <c r="E2970" s="3">
        <v>-27018.418</v>
      </c>
      <c r="F2970" s="4" t="str">
        <f>HYPERLINK("http://141.218.60.56/~jnz1568/getInfo.php?workbook=18_08.xlsx&amp;sheet=A0&amp;row=2970&amp;col=6&amp;number=0.5709&amp;sourceID=14","0.5709")</f>
        <v>0.5709</v>
      </c>
      <c r="G2970" s="4" t="str">
        <f>HYPERLINK("http://141.218.60.56/~jnz1568/getInfo.php?workbook=18_08.xlsx&amp;sheet=A0&amp;row=2970&amp;col=7&amp;number=0&amp;sourceID=14","0")</f>
        <v>0</v>
      </c>
    </row>
    <row r="2971" spans="1:7">
      <c r="A2971" s="3">
        <v>18</v>
      </c>
      <c r="B2971" s="3">
        <v>8</v>
      </c>
      <c r="C2971" s="3">
        <v>77</v>
      </c>
      <c r="D2971" s="3">
        <v>74</v>
      </c>
      <c r="E2971" s="3">
        <v>3030303</v>
      </c>
      <c r="F2971" s="4" t="str">
        <f>HYPERLINK("http://141.218.60.56/~jnz1568/getInfo.php?workbook=18_08.xlsx&amp;sheet=A0&amp;row=2971&amp;col=6&amp;number=0.02285&amp;sourceID=14","0.02285")</f>
        <v>0.02285</v>
      </c>
      <c r="G2971" s="4" t="str">
        <f>HYPERLINK("http://141.218.60.56/~jnz1568/getInfo.php?workbook=18_08.xlsx&amp;sheet=A0&amp;row=2971&amp;col=7&amp;number=0&amp;sourceID=14","0")</f>
        <v>0</v>
      </c>
    </row>
    <row r="2972" spans="1:7">
      <c r="A2972" s="3">
        <v>18</v>
      </c>
      <c r="B2972" s="3">
        <v>8</v>
      </c>
      <c r="C2972" s="3">
        <v>79</v>
      </c>
      <c r="D2972" s="3">
        <v>74</v>
      </c>
      <c r="E2972" s="3">
        <v>-13775.006</v>
      </c>
      <c r="F2972" s="4" t="str">
        <f>HYPERLINK("http://141.218.60.56/~jnz1568/getInfo.php?workbook=18_08.xlsx&amp;sheet=A0&amp;row=2972&amp;col=6&amp;number=1.749e-06&amp;sourceID=14","1.749e-06")</f>
        <v>1.749e-06</v>
      </c>
      <c r="G2972" s="4" t="str">
        <f>HYPERLINK("http://141.218.60.56/~jnz1568/getInfo.php?workbook=18_08.xlsx&amp;sheet=A0&amp;row=2972&amp;col=7&amp;number=0&amp;sourceID=14","0")</f>
        <v>0</v>
      </c>
    </row>
    <row r="2973" spans="1:7">
      <c r="A2973" s="3">
        <v>18</v>
      </c>
      <c r="B2973" s="3">
        <v>8</v>
      </c>
      <c r="C2973" s="3">
        <v>80</v>
      </c>
      <c r="D2973" s="3">
        <v>74</v>
      </c>
      <c r="E2973" s="3">
        <v>-10873.27</v>
      </c>
      <c r="F2973" s="4" t="str">
        <f>HYPERLINK("http://141.218.60.56/~jnz1568/getInfo.php?workbook=18_08.xlsx&amp;sheet=A0&amp;row=2973&amp;col=6&amp;number=0.5049&amp;sourceID=14","0.5049")</f>
        <v>0.5049</v>
      </c>
      <c r="G2973" s="4" t="str">
        <f>HYPERLINK("http://141.218.60.56/~jnz1568/getInfo.php?workbook=18_08.xlsx&amp;sheet=A0&amp;row=2973&amp;col=7&amp;number=0&amp;sourceID=14","0")</f>
        <v>0</v>
      </c>
    </row>
    <row r="2974" spans="1:7">
      <c r="A2974" s="3">
        <v>18</v>
      </c>
      <c r="B2974" s="3">
        <v>8</v>
      </c>
      <c r="C2974" s="3">
        <v>81</v>
      </c>
      <c r="D2974" s="3">
        <v>74</v>
      </c>
      <c r="E2974" s="3">
        <v>5016.806</v>
      </c>
      <c r="F2974" s="4" t="str">
        <f>HYPERLINK("http://141.218.60.56/~jnz1568/getInfo.php?workbook=18_08.xlsx&amp;sheet=A0&amp;row=2974&amp;col=6&amp;number=4.188&amp;sourceID=14","4.188")</f>
        <v>4.188</v>
      </c>
      <c r="G2974" s="4" t="str">
        <f>HYPERLINK("http://141.218.60.56/~jnz1568/getInfo.php?workbook=18_08.xlsx&amp;sheet=A0&amp;row=2974&amp;col=7&amp;number=0&amp;sourceID=14","0")</f>
        <v>0</v>
      </c>
    </row>
    <row r="2975" spans="1:7">
      <c r="A2975" s="3">
        <v>18</v>
      </c>
      <c r="B2975" s="3">
        <v>8</v>
      </c>
      <c r="C2975" s="3">
        <v>82</v>
      </c>
      <c r="D2975" s="3">
        <v>74</v>
      </c>
      <c r="E2975" s="3">
        <v>4199.563</v>
      </c>
      <c r="F2975" s="4" t="str">
        <f>HYPERLINK("http://141.218.60.56/~jnz1568/getInfo.php?workbook=18_08.xlsx&amp;sheet=A0&amp;row=2975&amp;col=6&amp;number=7.021&amp;sourceID=14","7.021")</f>
        <v>7.021</v>
      </c>
      <c r="G2975" s="4" t="str">
        <f>HYPERLINK("http://141.218.60.56/~jnz1568/getInfo.php?workbook=18_08.xlsx&amp;sheet=A0&amp;row=2975&amp;col=7&amp;number=0&amp;sourceID=14","0")</f>
        <v>0</v>
      </c>
    </row>
    <row r="2976" spans="1:7">
      <c r="A2976" s="3">
        <v>18</v>
      </c>
      <c r="B2976" s="3">
        <v>8</v>
      </c>
      <c r="C2976" s="3">
        <v>83</v>
      </c>
      <c r="D2976" s="3">
        <v>74</v>
      </c>
      <c r="E2976" s="3">
        <v>2975.925</v>
      </c>
      <c r="F2976" s="4" t="str">
        <f>HYPERLINK("http://141.218.60.56/~jnz1568/getInfo.php?workbook=18_08.xlsx&amp;sheet=A0&amp;row=2976&amp;col=6&amp;number=0.009362&amp;sourceID=14","0.009362")</f>
        <v>0.009362</v>
      </c>
      <c r="G2976" s="4" t="str">
        <f>HYPERLINK("http://141.218.60.56/~jnz1568/getInfo.php?workbook=18_08.xlsx&amp;sheet=A0&amp;row=2976&amp;col=7&amp;number=0&amp;sourceID=14","0")</f>
        <v>0</v>
      </c>
    </row>
    <row r="2977" spans="1:7">
      <c r="A2977" s="3">
        <v>18</v>
      </c>
      <c r="B2977" s="3">
        <v>8</v>
      </c>
      <c r="C2977" s="3">
        <v>84</v>
      </c>
      <c r="D2977" s="3">
        <v>74</v>
      </c>
      <c r="E2977" s="3">
        <v>4148.861</v>
      </c>
      <c r="F2977" s="4" t="str">
        <f>HYPERLINK("http://141.218.60.56/~jnz1568/getInfo.php?workbook=18_08.xlsx&amp;sheet=A0&amp;row=2977&amp;col=6&amp;number=38.01&amp;sourceID=14","38.01")</f>
        <v>38.01</v>
      </c>
      <c r="G2977" s="4" t="str">
        <f>HYPERLINK("http://141.218.60.56/~jnz1568/getInfo.php?workbook=18_08.xlsx&amp;sheet=A0&amp;row=2977&amp;col=7&amp;number=0&amp;sourceID=14","0")</f>
        <v>0</v>
      </c>
    </row>
    <row r="2978" spans="1:7">
      <c r="A2978" s="3">
        <v>18</v>
      </c>
      <c r="B2978" s="3">
        <v>8</v>
      </c>
      <c r="C2978" s="3">
        <v>85</v>
      </c>
      <c r="D2978" s="3">
        <v>74</v>
      </c>
      <c r="E2978" s="3">
        <v>2542.395</v>
      </c>
      <c r="F2978" s="4" t="str">
        <f>HYPERLINK("http://141.218.60.56/~jnz1568/getInfo.php?workbook=18_08.xlsx&amp;sheet=A0&amp;row=2978&amp;col=6&amp;number=0.8721&amp;sourceID=14","0.8721")</f>
        <v>0.8721</v>
      </c>
      <c r="G2978" s="4" t="str">
        <f>HYPERLINK("http://141.218.60.56/~jnz1568/getInfo.php?workbook=18_08.xlsx&amp;sheet=A0&amp;row=2978&amp;col=7&amp;number=0&amp;sourceID=14","0")</f>
        <v>0</v>
      </c>
    </row>
    <row r="2979" spans="1:7">
      <c r="A2979" s="3">
        <v>18</v>
      </c>
      <c r="B2979" s="3">
        <v>8</v>
      </c>
      <c r="C2979" s="3">
        <v>86</v>
      </c>
      <c r="D2979" s="3">
        <v>74</v>
      </c>
      <c r="E2979" s="3">
        <v>1427.898</v>
      </c>
      <c r="F2979" s="4" t="str">
        <f>HYPERLINK("http://141.218.60.56/~jnz1568/getInfo.php?workbook=18_08.xlsx&amp;sheet=A0&amp;row=2979&amp;col=6&amp;number=1.722&amp;sourceID=14","1.722")</f>
        <v>1.722</v>
      </c>
      <c r="G2979" s="4" t="str">
        <f>HYPERLINK("http://141.218.60.56/~jnz1568/getInfo.php?workbook=18_08.xlsx&amp;sheet=A0&amp;row=2979&amp;col=7&amp;number=0&amp;sourceID=14","0")</f>
        <v>0</v>
      </c>
    </row>
    <row r="2980" spans="1:7">
      <c r="A2980" s="3">
        <v>18</v>
      </c>
      <c r="B2980" s="3">
        <v>8</v>
      </c>
      <c r="C2980" s="3">
        <v>76</v>
      </c>
      <c r="D2980" s="3">
        <v>75</v>
      </c>
      <c r="E2980" s="3">
        <v>-398644.594</v>
      </c>
      <c r="F2980" s="4" t="str">
        <f>HYPERLINK("http://141.218.60.56/~jnz1568/getInfo.php?workbook=18_08.xlsx&amp;sheet=A0&amp;row=2980&amp;col=6&amp;number=1.171e-13&amp;sourceID=14","1.171e-13")</f>
        <v>1.171e-13</v>
      </c>
      <c r="G2980" s="4" t="str">
        <f>HYPERLINK("http://141.218.60.56/~jnz1568/getInfo.php?workbook=18_08.xlsx&amp;sheet=A0&amp;row=2980&amp;col=7&amp;number=0&amp;sourceID=14","0")</f>
        <v>0</v>
      </c>
    </row>
    <row r="2981" spans="1:7">
      <c r="A2981" s="3">
        <v>18</v>
      </c>
      <c r="B2981" s="3">
        <v>8</v>
      </c>
      <c r="C2981" s="3">
        <v>77</v>
      </c>
      <c r="D2981" s="3">
        <v>75</v>
      </c>
      <c r="E2981" s="3">
        <v>-43737.148</v>
      </c>
      <c r="F2981" s="4" t="str">
        <f>HYPERLINK("http://141.218.60.56/~jnz1568/getInfo.php?workbook=18_08.xlsx&amp;sheet=A0&amp;row=2981&amp;col=6&amp;number=0.1251&amp;sourceID=14","0.1251")</f>
        <v>0.1251</v>
      </c>
      <c r="G2981" s="4" t="str">
        <f>HYPERLINK("http://141.218.60.56/~jnz1568/getInfo.php?workbook=18_08.xlsx&amp;sheet=A0&amp;row=2981&amp;col=7&amp;number=0&amp;sourceID=14","0")</f>
        <v>0</v>
      </c>
    </row>
    <row r="2982" spans="1:7">
      <c r="A2982" s="3">
        <v>18</v>
      </c>
      <c r="B2982" s="3">
        <v>8</v>
      </c>
      <c r="C2982" s="3">
        <v>78</v>
      </c>
      <c r="D2982" s="3">
        <v>75</v>
      </c>
      <c r="E2982" s="3">
        <v>-121599.32</v>
      </c>
      <c r="F2982" s="4" t="str">
        <f>HYPERLINK("http://141.218.60.56/~jnz1568/getInfo.php?workbook=18_08.xlsx&amp;sheet=A0&amp;row=2982&amp;col=6&amp;number=4.756e-10&amp;sourceID=14","4.756e-10")</f>
        <v>4.756e-10</v>
      </c>
      <c r="G2982" s="4" t="str">
        <f>HYPERLINK("http://141.218.60.56/~jnz1568/getInfo.php?workbook=18_08.xlsx&amp;sheet=A0&amp;row=2982&amp;col=7&amp;number=0&amp;sourceID=14","0")</f>
        <v>0</v>
      </c>
    </row>
    <row r="2983" spans="1:7">
      <c r="A2983" s="3">
        <v>18</v>
      </c>
      <c r="B2983" s="3">
        <v>8</v>
      </c>
      <c r="C2983" s="3">
        <v>79</v>
      </c>
      <c r="D2983" s="3">
        <v>75</v>
      </c>
      <c r="E2983" s="3">
        <v>-26252.26</v>
      </c>
      <c r="F2983" s="4" t="str">
        <f>HYPERLINK("http://141.218.60.56/~jnz1568/getInfo.php?workbook=18_08.xlsx&amp;sheet=A0&amp;row=2983&amp;col=6&amp;number=0.02389&amp;sourceID=14","0.02389")</f>
        <v>0.02389</v>
      </c>
      <c r="G2983" s="4" t="str">
        <f>HYPERLINK("http://141.218.60.56/~jnz1568/getInfo.php?workbook=18_08.xlsx&amp;sheet=A0&amp;row=2983&amp;col=7&amp;number=0&amp;sourceID=14","0")</f>
        <v>0</v>
      </c>
    </row>
    <row r="2984" spans="1:7">
      <c r="A2984" s="3">
        <v>18</v>
      </c>
      <c r="B2984" s="3">
        <v>8</v>
      </c>
      <c r="C2984" s="3">
        <v>80</v>
      </c>
      <c r="D2984" s="3">
        <v>75</v>
      </c>
      <c r="E2984" s="3">
        <v>-17401.785</v>
      </c>
      <c r="F2984" s="4" t="str">
        <f>HYPERLINK("http://141.218.60.56/~jnz1568/getInfo.php?workbook=18_08.xlsx&amp;sheet=A0&amp;row=2984&amp;col=6&amp;number=0.5215&amp;sourceID=14","0.5215")</f>
        <v>0.5215</v>
      </c>
      <c r="G2984" s="4" t="str">
        <f>HYPERLINK("http://141.218.60.56/~jnz1568/getInfo.php?workbook=18_08.xlsx&amp;sheet=A0&amp;row=2984&amp;col=7&amp;number=0&amp;sourceID=14","0")</f>
        <v>0</v>
      </c>
    </row>
    <row r="2985" spans="1:7">
      <c r="A2985" s="3">
        <v>18</v>
      </c>
      <c r="B2985" s="3">
        <v>8</v>
      </c>
      <c r="C2985" s="3">
        <v>81</v>
      </c>
      <c r="D2985" s="3">
        <v>75</v>
      </c>
      <c r="E2985" s="3">
        <v>-6220.416</v>
      </c>
      <c r="F2985" s="4" t="str">
        <f>HYPERLINK("http://141.218.60.56/~jnz1568/getInfo.php?workbook=18_08.xlsx&amp;sheet=A0&amp;row=2985&amp;col=6&amp;number=0.9045&amp;sourceID=14","0.9045")</f>
        <v>0.9045</v>
      </c>
      <c r="G2985" s="4" t="str">
        <f>HYPERLINK("http://141.218.60.56/~jnz1568/getInfo.php?workbook=18_08.xlsx&amp;sheet=A0&amp;row=2985&amp;col=7&amp;number=0&amp;sourceID=14","0")</f>
        <v>0</v>
      </c>
    </row>
    <row r="2986" spans="1:7">
      <c r="A2986" s="3">
        <v>18</v>
      </c>
      <c r="B2986" s="3">
        <v>8</v>
      </c>
      <c r="C2986" s="3">
        <v>82</v>
      </c>
      <c r="D2986" s="3">
        <v>75</v>
      </c>
      <c r="E2986" s="3">
        <v>-5168.96</v>
      </c>
      <c r="F2986" s="4" t="str">
        <f>HYPERLINK("http://141.218.60.56/~jnz1568/getInfo.php?workbook=18_08.xlsx&amp;sheet=A0&amp;row=2986&amp;col=6&amp;number=3.659&amp;sourceID=14","3.659")</f>
        <v>3.659</v>
      </c>
      <c r="G2986" s="4" t="str">
        <f>HYPERLINK("http://141.218.60.56/~jnz1568/getInfo.php?workbook=18_08.xlsx&amp;sheet=A0&amp;row=2986&amp;col=7&amp;number=0&amp;sourceID=14","0")</f>
        <v>0</v>
      </c>
    </row>
    <row r="2987" spans="1:7">
      <c r="A2987" s="3">
        <v>18</v>
      </c>
      <c r="B2987" s="3">
        <v>8</v>
      </c>
      <c r="C2987" s="3">
        <v>83</v>
      </c>
      <c r="D2987" s="3">
        <v>75</v>
      </c>
      <c r="E2987" s="3">
        <v>-5112.5</v>
      </c>
      <c r="F2987" s="4" t="str">
        <f>HYPERLINK("http://141.218.60.56/~jnz1568/getInfo.php?workbook=18_08.xlsx&amp;sheet=A0&amp;row=2987&amp;col=6&amp;number=6.353&amp;sourceID=14","6.353")</f>
        <v>6.353</v>
      </c>
      <c r="G2987" s="4" t="str">
        <f>HYPERLINK("http://141.218.60.56/~jnz1568/getInfo.php?workbook=18_08.xlsx&amp;sheet=A0&amp;row=2987&amp;col=7&amp;number=0&amp;sourceID=14","0")</f>
        <v>0</v>
      </c>
    </row>
    <row r="2988" spans="1:7">
      <c r="A2988" s="3">
        <v>18</v>
      </c>
      <c r="B2988" s="3">
        <v>8</v>
      </c>
      <c r="C2988" s="3">
        <v>84</v>
      </c>
      <c r="D2988" s="3">
        <v>75</v>
      </c>
      <c r="E2988" s="3">
        <v>-3095.22</v>
      </c>
      <c r="F2988" s="4" t="str">
        <f>HYPERLINK("http://141.218.60.56/~jnz1568/getInfo.php?workbook=18_08.xlsx&amp;sheet=A0&amp;row=2988&amp;col=6&amp;number=17.16&amp;sourceID=14","17.16")</f>
        <v>17.16</v>
      </c>
      <c r="G2988" s="4" t="str">
        <f>HYPERLINK("http://141.218.60.56/~jnz1568/getInfo.php?workbook=18_08.xlsx&amp;sheet=A0&amp;row=2988&amp;col=7&amp;number=0&amp;sourceID=14","0")</f>
        <v>0</v>
      </c>
    </row>
    <row r="2989" spans="1:7">
      <c r="A2989" s="3">
        <v>18</v>
      </c>
      <c r="B2989" s="3">
        <v>8</v>
      </c>
      <c r="C2989" s="3">
        <v>85</v>
      </c>
      <c r="D2989" s="3">
        <v>75</v>
      </c>
      <c r="E2989" s="3">
        <v>-2780.816</v>
      </c>
      <c r="F2989" s="4" t="str">
        <f>HYPERLINK("http://141.218.60.56/~jnz1568/getInfo.php?workbook=18_08.xlsx&amp;sheet=A0&amp;row=2989&amp;col=6&amp;number=1.378&amp;sourceID=14","1.378")</f>
        <v>1.378</v>
      </c>
      <c r="G2989" s="4" t="str">
        <f>HYPERLINK("http://141.218.60.56/~jnz1568/getInfo.php?workbook=18_08.xlsx&amp;sheet=A0&amp;row=2989&amp;col=7&amp;number=0&amp;sourceID=14","0")</f>
        <v>0</v>
      </c>
    </row>
    <row r="2990" spans="1:7">
      <c r="A2990" s="3">
        <v>18</v>
      </c>
      <c r="B2990" s="3">
        <v>8</v>
      </c>
      <c r="C2990" s="3">
        <v>86</v>
      </c>
      <c r="D2990" s="3">
        <v>75</v>
      </c>
      <c r="E2990" s="3">
        <v>-1493.795</v>
      </c>
      <c r="F2990" s="4" t="str">
        <f>HYPERLINK("http://141.218.60.56/~jnz1568/getInfo.php?workbook=18_08.xlsx&amp;sheet=A0&amp;row=2990&amp;col=6&amp;number=0.9877&amp;sourceID=14","0.9877")</f>
        <v>0.9877</v>
      </c>
      <c r="G2990" s="4" t="str">
        <f>HYPERLINK("http://141.218.60.56/~jnz1568/getInfo.php?workbook=18_08.xlsx&amp;sheet=A0&amp;row=2990&amp;col=7&amp;number=0&amp;sourceID=14","0")</f>
        <v>0</v>
      </c>
    </row>
    <row r="2991" spans="1:7">
      <c r="A2991" s="3">
        <v>18</v>
      </c>
      <c r="B2991" s="3">
        <v>8</v>
      </c>
      <c r="C2991" s="3">
        <v>77</v>
      </c>
      <c r="D2991" s="3">
        <v>76</v>
      </c>
      <c r="E2991" s="3">
        <v>-49127.109</v>
      </c>
      <c r="F2991" s="4" t="str">
        <f>HYPERLINK("http://141.218.60.56/~jnz1568/getInfo.php?workbook=18_08.xlsx&amp;sheet=A0&amp;row=2991&amp;col=6&amp;number=0.07498&amp;sourceID=14","0.07498")</f>
        <v>0.07498</v>
      </c>
      <c r="G2991" s="4" t="str">
        <f>HYPERLINK("http://141.218.60.56/~jnz1568/getInfo.php?workbook=18_08.xlsx&amp;sheet=A0&amp;row=2991&amp;col=7&amp;number=0&amp;sourceID=14","0")</f>
        <v>0</v>
      </c>
    </row>
    <row r="2992" spans="1:7">
      <c r="A2992" s="3">
        <v>18</v>
      </c>
      <c r="B2992" s="3">
        <v>8</v>
      </c>
      <c r="C2992" s="3">
        <v>80</v>
      </c>
      <c r="D2992" s="3">
        <v>76</v>
      </c>
      <c r="E2992" s="3">
        <v>-18196.088</v>
      </c>
      <c r="F2992" s="4" t="str">
        <f>HYPERLINK("http://141.218.60.56/~jnz1568/getInfo.php?workbook=18_08.xlsx&amp;sheet=A0&amp;row=2992&amp;col=6&amp;number=1.58e-08&amp;sourceID=14","1.58e-08")</f>
        <v>1.58e-08</v>
      </c>
      <c r="G2992" s="4" t="str">
        <f>HYPERLINK("http://141.218.60.56/~jnz1568/getInfo.php?workbook=18_08.xlsx&amp;sheet=A0&amp;row=2992&amp;col=7&amp;number=0&amp;sourceID=14","0")</f>
        <v>0</v>
      </c>
    </row>
    <row r="2993" spans="1:7">
      <c r="A2993" s="3">
        <v>18</v>
      </c>
      <c r="B2993" s="3">
        <v>8</v>
      </c>
      <c r="C2993" s="3">
        <v>81</v>
      </c>
      <c r="D2993" s="3">
        <v>76</v>
      </c>
      <c r="E2993" s="3">
        <v>-6319.018</v>
      </c>
      <c r="F2993" s="4" t="str">
        <f>HYPERLINK("http://141.218.60.56/~jnz1568/getInfo.php?workbook=18_08.xlsx&amp;sheet=A0&amp;row=2993&amp;col=6&amp;number=0.000604&amp;sourceID=14","0.000604")</f>
        <v>0.000604</v>
      </c>
      <c r="G2993" s="4" t="str">
        <f>HYPERLINK("http://141.218.60.56/~jnz1568/getInfo.php?workbook=18_08.xlsx&amp;sheet=A0&amp;row=2993&amp;col=7&amp;number=0&amp;sourceID=14","0")</f>
        <v>0</v>
      </c>
    </row>
    <row r="2994" spans="1:7">
      <c r="A2994" s="3">
        <v>18</v>
      </c>
      <c r="B2994" s="3">
        <v>8</v>
      </c>
      <c r="C2994" s="3">
        <v>82</v>
      </c>
      <c r="D2994" s="3">
        <v>76</v>
      </c>
      <c r="E2994" s="3">
        <v>-5236.863</v>
      </c>
      <c r="F2994" s="4" t="str">
        <f>HYPERLINK("http://141.218.60.56/~jnz1568/getInfo.php?workbook=18_08.xlsx&amp;sheet=A0&amp;row=2994&amp;col=6&amp;number=9.379&amp;sourceID=14","9.379")</f>
        <v>9.379</v>
      </c>
      <c r="G2994" s="4" t="str">
        <f>HYPERLINK("http://141.218.60.56/~jnz1568/getInfo.php?workbook=18_08.xlsx&amp;sheet=A0&amp;row=2994&amp;col=7&amp;number=0&amp;sourceID=14","0")</f>
        <v>0</v>
      </c>
    </row>
    <row r="2995" spans="1:7">
      <c r="A2995" s="3">
        <v>18</v>
      </c>
      <c r="B2995" s="3">
        <v>8</v>
      </c>
      <c r="C2995" s="3">
        <v>84</v>
      </c>
      <c r="D2995" s="3">
        <v>76</v>
      </c>
      <c r="E2995" s="3">
        <v>-3119.44</v>
      </c>
      <c r="F2995" s="4" t="str">
        <f>HYPERLINK("http://141.218.60.56/~jnz1568/getInfo.php?workbook=18_08.xlsx&amp;sheet=A0&amp;row=2995&amp;col=6&amp;number=0.04266&amp;sourceID=14","0.04266")</f>
        <v>0.04266</v>
      </c>
      <c r="G2995" s="4" t="str">
        <f>HYPERLINK("http://141.218.60.56/~jnz1568/getInfo.php?workbook=18_08.xlsx&amp;sheet=A0&amp;row=2995&amp;col=7&amp;number=0&amp;sourceID=14","0")</f>
        <v>0</v>
      </c>
    </row>
    <row r="2996" spans="1:7">
      <c r="A2996" s="3">
        <v>18</v>
      </c>
      <c r="B2996" s="3">
        <v>8</v>
      </c>
      <c r="C2996" s="3">
        <v>85</v>
      </c>
      <c r="D2996" s="3">
        <v>76</v>
      </c>
      <c r="E2996" s="3">
        <v>-2800.351</v>
      </c>
      <c r="F2996" s="4" t="str">
        <f>HYPERLINK("http://141.218.60.56/~jnz1568/getInfo.php?workbook=18_08.xlsx&amp;sheet=A0&amp;row=2996&amp;col=6&amp;number=9.773&amp;sourceID=14","9.773")</f>
        <v>9.773</v>
      </c>
      <c r="G2996" s="4" t="str">
        <f>HYPERLINK("http://141.218.60.56/~jnz1568/getInfo.php?workbook=18_08.xlsx&amp;sheet=A0&amp;row=2996&amp;col=7&amp;number=0&amp;sourceID=14","0")</f>
        <v>0</v>
      </c>
    </row>
    <row r="2997" spans="1:7">
      <c r="A2997" s="3">
        <v>18</v>
      </c>
      <c r="B2997" s="3">
        <v>8</v>
      </c>
      <c r="C2997" s="3">
        <v>79</v>
      </c>
      <c r="D2997" s="3">
        <v>77</v>
      </c>
      <c r="E2997" s="3">
        <v>-65668.07</v>
      </c>
      <c r="F2997" s="4" t="str">
        <f>HYPERLINK("http://141.218.60.56/~jnz1568/getInfo.php?workbook=18_08.xlsx&amp;sheet=A0&amp;row=2997&amp;col=6&amp;number=4.551e-10&amp;sourceID=14","4.551e-10")</f>
        <v>4.551e-10</v>
      </c>
      <c r="G2997" s="4" t="str">
        <f>HYPERLINK("http://141.218.60.56/~jnz1568/getInfo.php?workbook=18_08.xlsx&amp;sheet=A0&amp;row=2997&amp;col=7&amp;number=0&amp;sourceID=14","0")</f>
        <v>0</v>
      </c>
    </row>
    <row r="2998" spans="1:7">
      <c r="A2998" s="3">
        <v>18</v>
      </c>
      <c r="B2998" s="3">
        <v>8</v>
      </c>
      <c r="C2998" s="3">
        <v>80</v>
      </c>
      <c r="D2998" s="3">
        <v>77</v>
      </c>
      <c r="E2998" s="3">
        <v>-28900.473</v>
      </c>
      <c r="F2998" s="4" t="str">
        <f>HYPERLINK("http://141.218.60.56/~jnz1568/getInfo.php?workbook=18_08.xlsx&amp;sheet=A0&amp;row=2998&amp;col=6&amp;number=0.001896&amp;sourceID=14","0.001896")</f>
        <v>0.001896</v>
      </c>
      <c r="G2998" s="4" t="str">
        <f>HYPERLINK("http://141.218.60.56/~jnz1568/getInfo.php?workbook=18_08.xlsx&amp;sheet=A0&amp;row=2998&amp;col=7&amp;number=0&amp;sourceID=14","0")</f>
        <v>0</v>
      </c>
    </row>
    <row r="2999" spans="1:7">
      <c r="A2999" s="3">
        <v>18</v>
      </c>
      <c r="B2999" s="3">
        <v>8</v>
      </c>
      <c r="C2999" s="3">
        <v>81</v>
      </c>
      <c r="D2999" s="3">
        <v>77</v>
      </c>
      <c r="E2999" s="3">
        <v>5025.125</v>
      </c>
      <c r="F2999" s="4" t="str">
        <f>HYPERLINK("http://141.218.60.56/~jnz1568/getInfo.php?workbook=18_08.xlsx&amp;sheet=A0&amp;row=2999&amp;col=6&amp;number=27.92&amp;sourceID=14","27.92")</f>
        <v>27.92</v>
      </c>
      <c r="G2999" s="4" t="str">
        <f>HYPERLINK("http://141.218.60.56/~jnz1568/getInfo.php?workbook=18_08.xlsx&amp;sheet=A0&amp;row=2999&amp;col=7&amp;number=0&amp;sourceID=14","0")</f>
        <v>0</v>
      </c>
    </row>
    <row r="3000" spans="1:7">
      <c r="A3000" s="3">
        <v>18</v>
      </c>
      <c r="B3000" s="3">
        <v>8</v>
      </c>
      <c r="C3000" s="3">
        <v>82</v>
      </c>
      <c r="D3000" s="3">
        <v>77</v>
      </c>
      <c r="E3000" s="3">
        <v>4205.391</v>
      </c>
      <c r="F3000" s="4" t="str">
        <f>HYPERLINK("http://141.218.60.56/~jnz1568/getInfo.php?workbook=18_08.xlsx&amp;sheet=A0&amp;row=3000&amp;col=6&amp;number=89.82&amp;sourceID=14","89.82")</f>
        <v>89.82</v>
      </c>
      <c r="G3000" s="4" t="str">
        <f>HYPERLINK("http://141.218.60.56/~jnz1568/getInfo.php?workbook=18_08.xlsx&amp;sheet=A0&amp;row=3000&amp;col=7&amp;number=0&amp;sourceID=14","0")</f>
        <v>0</v>
      </c>
    </row>
    <row r="3001" spans="1:7">
      <c r="A3001" s="3">
        <v>18</v>
      </c>
      <c r="B3001" s="3">
        <v>8</v>
      </c>
      <c r="C3001" s="3">
        <v>83</v>
      </c>
      <c r="D3001" s="3">
        <v>77</v>
      </c>
      <c r="E3001" s="3">
        <v>2978.85</v>
      </c>
      <c r="F3001" s="4" t="str">
        <f>HYPERLINK("http://141.218.60.56/~jnz1568/getInfo.php?workbook=18_08.xlsx&amp;sheet=A0&amp;row=3001&amp;col=6&amp;number=0.0147&amp;sourceID=14","0.0147")</f>
        <v>0.0147</v>
      </c>
      <c r="G3001" s="4" t="str">
        <f>HYPERLINK("http://141.218.60.56/~jnz1568/getInfo.php?workbook=18_08.xlsx&amp;sheet=A0&amp;row=3001&amp;col=7&amp;number=0&amp;sourceID=14","0")</f>
        <v>0</v>
      </c>
    </row>
    <row r="3002" spans="1:7">
      <c r="A3002" s="3">
        <v>18</v>
      </c>
      <c r="B3002" s="3">
        <v>8</v>
      </c>
      <c r="C3002" s="3">
        <v>84</v>
      </c>
      <c r="D3002" s="3">
        <v>77</v>
      </c>
      <c r="E3002" s="3">
        <v>4154.549</v>
      </c>
      <c r="F3002" s="4" t="str">
        <f>HYPERLINK("http://141.218.60.56/~jnz1568/getInfo.php?workbook=18_08.xlsx&amp;sheet=A0&amp;row=3002&amp;col=6&amp;number=2.162&amp;sourceID=14","2.162")</f>
        <v>2.162</v>
      </c>
      <c r="G3002" s="4" t="str">
        <f>HYPERLINK("http://141.218.60.56/~jnz1568/getInfo.php?workbook=18_08.xlsx&amp;sheet=A0&amp;row=3002&amp;col=7&amp;number=0&amp;sourceID=14","0")</f>
        <v>0</v>
      </c>
    </row>
    <row r="3003" spans="1:7">
      <c r="A3003" s="3">
        <v>18</v>
      </c>
      <c r="B3003" s="3">
        <v>8</v>
      </c>
      <c r="C3003" s="3">
        <v>85</v>
      </c>
      <c r="D3003" s="3">
        <v>77</v>
      </c>
      <c r="E3003" s="3">
        <v>2544.529</v>
      </c>
      <c r="F3003" s="4" t="str">
        <f>HYPERLINK("http://141.218.60.56/~jnz1568/getInfo.php?workbook=18_08.xlsx&amp;sheet=A0&amp;row=3003&amp;col=6&amp;number=18.17&amp;sourceID=14","18.17")</f>
        <v>18.17</v>
      </c>
      <c r="G3003" s="4" t="str">
        <f>HYPERLINK("http://141.218.60.56/~jnz1568/getInfo.php?workbook=18_08.xlsx&amp;sheet=A0&amp;row=3003&amp;col=7&amp;number=0&amp;sourceID=14","0")</f>
        <v>0</v>
      </c>
    </row>
    <row r="3004" spans="1:7">
      <c r="A3004" s="3">
        <v>18</v>
      </c>
      <c r="B3004" s="3">
        <v>8</v>
      </c>
      <c r="C3004" s="3">
        <v>86</v>
      </c>
      <c r="D3004" s="3">
        <v>77</v>
      </c>
      <c r="E3004" s="3">
        <v>1428.571</v>
      </c>
      <c r="F3004" s="4" t="str">
        <f>HYPERLINK("http://141.218.60.56/~jnz1568/getInfo.php?workbook=18_08.xlsx&amp;sheet=A0&amp;row=3004&amp;col=6&amp;number=1.348&amp;sourceID=14","1.348")</f>
        <v>1.348</v>
      </c>
      <c r="G3004" s="4" t="str">
        <f>HYPERLINK("http://141.218.60.56/~jnz1568/getInfo.php?workbook=18_08.xlsx&amp;sheet=A0&amp;row=3004&amp;col=7&amp;number=0&amp;sourceID=14","0")</f>
        <v>0</v>
      </c>
    </row>
    <row r="3005" spans="1:7">
      <c r="A3005" s="3">
        <v>18</v>
      </c>
      <c r="B3005" s="3">
        <v>8</v>
      </c>
      <c r="C3005" s="3">
        <v>79</v>
      </c>
      <c r="D3005" s="3">
        <v>78</v>
      </c>
      <c r="E3005" s="3">
        <v>-33480.391</v>
      </c>
      <c r="F3005" s="4" t="str">
        <f>HYPERLINK("http://141.218.60.56/~jnz1568/getInfo.php?workbook=18_08.xlsx&amp;sheet=A0&amp;row=3005&amp;col=6&amp;number=0.3619&amp;sourceID=14","0.3619")</f>
        <v>0.3619</v>
      </c>
      <c r="G3005" s="4" t="str">
        <f>HYPERLINK("http://141.218.60.56/~jnz1568/getInfo.php?workbook=18_08.xlsx&amp;sheet=A0&amp;row=3005&amp;col=7&amp;number=0&amp;sourceID=14","0")</f>
        <v>0</v>
      </c>
    </row>
    <row r="3006" spans="1:7">
      <c r="A3006" s="3">
        <v>18</v>
      </c>
      <c r="B3006" s="3">
        <v>8</v>
      </c>
      <c r="C3006" s="3">
        <v>80</v>
      </c>
      <c r="D3006" s="3">
        <v>78</v>
      </c>
      <c r="E3006" s="3">
        <v>-20308.016</v>
      </c>
      <c r="F3006" s="4" t="str">
        <f>HYPERLINK("http://141.218.60.56/~jnz1568/getInfo.php?workbook=18_08.xlsx&amp;sheet=A0&amp;row=3006&amp;col=6&amp;number=3.17e-06&amp;sourceID=14","3.17e-06")</f>
        <v>3.17e-06</v>
      </c>
      <c r="G3006" s="4" t="str">
        <f>HYPERLINK("http://141.218.60.56/~jnz1568/getInfo.php?workbook=18_08.xlsx&amp;sheet=A0&amp;row=3006&amp;col=7&amp;number=0&amp;sourceID=14","0")</f>
        <v>0</v>
      </c>
    </row>
    <row r="3007" spans="1:7">
      <c r="A3007" s="3">
        <v>18</v>
      </c>
      <c r="B3007" s="3">
        <v>8</v>
      </c>
      <c r="C3007" s="3">
        <v>81</v>
      </c>
      <c r="D3007" s="3">
        <v>78</v>
      </c>
      <c r="E3007" s="3">
        <v>-6555.777</v>
      </c>
      <c r="F3007" s="4" t="str">
        <f>HYPERLINK("http://141.218.60.56/~jnz1568/getInfo.php?workbook=18_08.xlsx&amp;sheet=A0&amp;row=3007&amp;col=6&amp;number=0.001687&amp;sourceID=14","0.001687")</f>
        <v>0.001687</v>
      </c>
      <c r="G3007" s="4" t="str">
        <f>HYPERLINK("http://141.218.60.56/~jnz1568/getInfo.php?workbook=18_08.xlsx&amp;sheet=A0&amp;row=3007&amp;col=7&amp;number=0&amp;sourceID=14","0")</f>
        <v>0</v>
      </c>
    </row>
    <row r="3008" spans="1:7">
      <c r="A3008" s="3">
        <v>18</v>
      </c>
      <c r="B3008" s="3">
        <v>8</v>
      </c>
      <c r="C3008" s="3">
        <v>83</v>
      </c>
      <c r="D3008" s="3">
        <v>78</v>
      </c>
      <c r="E3008" s="3">
        <v>-5336.882</v>
      </c>
      <c r="F3008" s="4" t="str">
        <f>HYPERLINK("http://141.218.60.56/~jnz1568/getInfo.php?workbook=18_08.xlsx&amp;sheet=A0&amp;row=3008&amp;col=6&amp;number=0.09663&amp;sourceID=14","0.09663")</f>
        <v>0.09663</v>
      </c>
      <c r="G3008" s="4" t="str">
        <f>HYPERLINK("http://141.218.60.56/~jnz1568/getInfo.php?workbook=18_08.xlsx&amp;sheet=A0&amp;row=3008&amp;col=7&amp;number=0&amp;sourceID=14","0")</f>
        <v>0</v>
      </c>
    </row>
    <row r="3009" spans="1:7">
      <c r="A3009" s="3">
        <v>18</v>
      </c>
      <c r="B3009" s="3">
        <v>8</v>
      </c>
      <c r="C3009" s="3">
        <v>84</v>
      </c>
      <c r="D3009" s="3">
        <v>78</v>
      </c>
      <c r="E3009" s="3">
        <v>-3176.064</v>
      </c>
      <c r="F3009" s="4" t="str">
        <f>HYPERLINK("http://141.218.60.56/~jnz1568/getInfo.php?workbook=18_08.xlsx&amp;sheet=A0&amp;row=3009&amp;col=6&amp;number=0.02698&amp;sourceID=14","0.02698")</f>
        <v>0.02698</v>
      </c>
      <c r="G3009" s="4" t="str">
        <f>HYPERLINK("http://141.218.60.56/~jnz1568/getInfo.php?workbook=18_08.xlsx&amp;sheet=A0&amp;row=3009&amp;col=7&amp;number=0&amp;sourceID=14","0")</f>
        <v>0</v>
      </c>
    </row>
    <row r="3010" spans="1:7">
      <c r="A3010" s="3">
        <v>18</v>
      </c>
      <c r="B3010" s="3">
        <v>8</v>
      </c>
      <c r="C3010" s="3">
        <v>86</v>
      </c>
      <c r="D3010" s="3">
        <v>78</v>
      </c>
      <c r="E3010" s="3">
        <v>-1512.374</v>
      </c>
      <c r="F3010" s="4" t="str">
        <f>HYPERLINK("http://141.218.60.56/~jnz1568/getInfo.php?workbook=18_08.xlsx&amp;sheet=A0&amp;row=3010&amp;col=6&amp;number=0.00439&amp;sourceID=14","0.00439")</f>
        <v>0.00439</v>
      </c>
      <c r="G3010" s="4" t="str">
        <f>HYPERLINK("http://141.218.60.56/~jnz1568/getInfo.php?workbook=18_08.xlsx&amp;sheet=A0&amp;row=3010&amp;col=7&amp;number=0&amp;sourceID=14","0")</f>
        <v>0</v>
      </c>
    </row>
    <row r="3011" spans="1:7">
      <c r="A3011" s="3">
        <v>18</v>
      </c>
      <c r="B3011" s="3">
        <v>8</v>
      </c>
      <c r="C3011" s="3">
        <v>80</v>
      </c>
      <c r="D3011" s="3">
        <v>79</v>
      </c>
      <c r="E3011" s="3">
        <v>-51617.141</v>
      </c>
      <c r="F3011" s="4" t="str">
        <f>HYPERLINK("http://141.218.60.56/~jnz1568/getInfo.php?workbook=18_08.xlsx&amp;sheet=A0&amp;row=3011&amp;col=6&amp;number=0.06433&amp;sourceID=14","0.06433")</f>
        <v>0.06433</v>
      </c>
      <c r="G3011" s="4" t="str">
        <f>HYPERLINK("http://141.218.60.56/~jnz1568/getInfo.php?workbook=18_08.xlsx&amp;sheet=A0&amp;row=3011&amp;col=7&amp;number=0&amp;sourceID=14","0")</f>
        <v>0</v>
      </c>
    </row>
    <row r="3012" spans="1:7">
      <c r="A3012" s="3">
        <v>18</v>
      </c>
      <c r="B3012" s="3">
        <v>8</v>
      </c>
      <c r="C3012" s="3">
        <v>81</v>
      </c>
      <c r="D3012" s="3">
        <v>79</v>
      </c>
      <c r="E3012" s="3">
        <v>-8152.02</v>
      </c>
      <c r="F3012" s="4" t="str">
        <f>HYPERLINK("http://141.218.60.56/~jnz1568/getInfo.php?workbook=18_08.xlsx&amp;sheet=A0&amp;row=3012&amp;col=6&amp;number=0.0004898&amp;sourceID=14","0.0004898")</f>
        <v>0.0004898</v>
      </c>
      <c r="G3012" s="4" t="str">
        <f>HYPERLINK("http://141.218.60.56/~jnz1568/getInfo.php?workbook=18_08.xlsx&amp;sheet=A0&amp;row=3012&amp;col=7&amp;number=0&amp;sourceID=14","0")</f>
        <v>0</v>
      </c>
    </row>
    <row r="3013" spans="1:7">
      <c r="A3013" s="3">
        <v>18</v>
      </c>
      <c r="B3013" s="3">
        <v>8</v>
      </c>
      <c r="C3013" s="3">
        <v>82</v>
      </c>
      <c r="D3013" s="3">
        <v>79</v>
      </c>
      <c r="E3013" s="3">
        <v>-6436.227</v>
      </c>
      <c r="F3013" s="4" t="str">
        <f>HYPERLINK("http://141.218.60.56/~jnz1568/getInfo.php?workbook=18_08.xlsx&amp;sheet=A0&amp;row=3013&amp;col=6&amp;number=0.001866&amp;sourceID=14","0.001866")</f>
        <v>0.001866</v>
      </c>
      <c r="G3013" s="4" t="str">
        <f>HYPERLINK("http://141.218.60.56/~jnz1568/getInfo.php?workbook=18_08.xlsx&amp;sheet=A0&amp;row=3013&amp;col=7&amp;number=0&amp;sourceID=14","0")</f>
        <v>0</v>
      </c>
    </row>
    <row r="3014" spans="1:7">
      <c r="A3014" s="3">
        <v>18</v>
      </c>
      <c r="B3014" s="3">
        <v>8</v>
      </c>
      <c r="C3014" s="3">
        <v>83</v>
      </c>
      <c r="D3014" s="3">
        <v>79</v>
      </c>
      <c r="E3014" s="3">
        <v>-6348.921</v>
      </c>
      <c r="F3014" s="4" t="str">
        <f>HYPERLINK("http://141.218.60.56/~jnz1568/getInfo.php?workbook=18_08.xlsx&amp;sheet=A0&amp;row=3014&amp;col=6&amp;number=0.6703&amp;sourceID=14","0.6703")</f>
        <v>0.6703</v>
      </c>
      <c r="G3014" s="4" t="str">
        <f>HYPERLINK("http://141.218.60.56/~jnz1568/getInfo.php?workbook=18_08.xlsx&amp;sheet=A0&amp;row=3014&amp;col=7&amp;number=0&amp;sourceID=14","0")</f>
        <v>0</v>
      </c>
    </row>
    <row r="3015" spans="1:7">
      <c r="A3015" s="3">
        <v>18</v>
      </c>
      <c r="B3015" s="3">
        <v>8</v>
      </c>
      <c r="C3015" s="3">
        <v>84</v>
      </c>
      <c r="D3015" s="3">
        <v>79</v>
      </c>
      <c r="E3015" s="3">
        <v>-3508.934</v>
      </c>
      <c r="F3015" s="4" t="str">
        <f>HYPERLINK("http://141.218.60.56/~jnz1568/getInfo.php?workbook=18_08.xlsx&amp;sheet=A0&amp;row=3015&amp;col=6&amp;number=0.5655&amp;sourceID=14","0.5655")</f>
        <v>0.5655</v>
      </c>
      <c r="G3015" s="4" t="str">
        <f>HYPERLINK("http://141.218.60.56/~jnz1568/getInfo.php?workbook=18_08.xlsx&amp;sheet=A0&amp;row=3015&amp;col=7&amp;number=0&amp;sourceID=14","0")</f>
        <v>0</v>
      </c>
    </row>
    <row r="3016" spans="1:7">
      <c r="A3016" s="3">
        <v>18</v>
      </c>
      <c r="B3016" s="3">
        <v>8</v>
      </c>
      <c r="C3016" s="3">
        <v>85</v>
      </c>
      <c r="D3016" s="3">
        <v>79</v>
      </c>
      <c r="E3016" s="3">
        <v>-3110.278</v>
      </c>
      <c r="F3016" s="4" t="str">
        <f>HYPERLINK("http://141.218.60.56/~jnz1568/getInfo.php?workbook=18_08.xlsx&amp;sheet=A0&amp;row=3016&amp;col=6&amp;number=0.003575&amp;sourceID=14","0.003575")</f>
        <v>0.003575</v>
      </c>
      <c r="G3016" s="4" t="str">
        <f>HYPERLINK("http://141.218.60.56/~jnz1568/getInfo.php?workbook=18_08.xlsx&amp;sheet=A0&amp;row=3016&amp;col=7&amp;number=0&amp;sourceID=14","0")</f>
        <v>0</v>
      </c>
    </row>
    <row r="3017" spans="1:7">
      <c r="A3017" s="3">
        <v>18</v>
      </c>
      <c r="B3017" s="3">
        <v>8</v>
      </c>
      <c r="C3017" s="3">
        <v>86</v>
      </c>
      <c r="D3017" s="3">
        <v>79</v>
      </c>
      <c r="E3017" s="3">
        <v>-1583.922</v>
      </c>
      <c r="F3017" s="4" t="str">
        <f>HYPERLINK("http://141.218.60.56/~jnz1568/getInfo.php?workbook=18_08.xlsx&amp;sheet=A0&amp;row=3017&amp;col=6&amp;number=3.557&amp;sourceID=14","3.557")</f>
        <v>3.557</v>
      </c>
      <c r="G3017" s="4" t="str">
        <f>HYPERLINK("http://141.218.60.56/~jnz1568/getInfo.php?workbook=18_08.xlsx&amp;sheet=A0&amp;row=3017&amp;col=7&amp;number=0&amp;sourceID=14","0")</f>
        <v>0</v>
      </c>
    </row>
    <row r="3018" spans="1:7">
      <c r="A3018" s="3">
        <v>18</v>
      </c>
      <c r="B3018" s="3">
        <v>8</v>
      </c>
      <c r="C3018" s="3">
        <v>81</v>
      </c>
      <c r="D3018" s="3">
        <v>80</v>
      </c>
      <c r="E3018" s="3">
        <v>-9680.956</v>
      </c>
      <c r="F3018" s="4" t="str">
        <f>HYPERLINK("http://141.218.60.56/~jnz1568/getInfo.php?workbook=18_08.xlsx&amp;sheet=A0&amp;row=3018&amp;col=6&amp;number=0.3714&amp;sourceID=14","0.3714")</f>
        <v>0.3714</v>
      </c>
      <c r="G3018" s="4" t="str">
        <f>HYPERLINK("http://141.218.60.56/~jnz1568/getInfo.php?workbook=18_08.xlsx&amp;sheet=A0&amp;row=3018&amp;col=7&amp;number=0&amp;sourceID=14","0")</f>
        <v>0</v>
      </c>
    </row>
    <row r="3019" spans="1:7">
      <c r="A3019" s="3">
        <v>18</v>
      </c>
      <c r="B3019" s="3">
        <v>8</v>
      </c>
      <c r="C3019" s="3">
        <v>82</v>
      </c>
      <c r="D3019" s="3">
        <v>80</v>
      </c>
      <c r="E3019" s="3">
        <v>-7353.096</v>
      </c>
      <c r="F3019" s="4" t="str">
        <f>HYPERLINK("http://141.218.60.56/~jnz1568/getInfo.php?workbook=18_08.xlsx&amp;sheet=A0&amp;row=3019&amp;col=6&amp;number=1.545&amp;sourceID=14","1.545")</f>
        <v>1.545</v>
      </c>
      <c r="G3019" s="4" t="str">
        <f>HYPERLINK("http://141.218.60.56/~jnz1568/getInfo.php?workbook=18_08.xlsx&amp;sheet=A0&amp;row=3019&amp;col=7&amp;number=0&amp;sourceID=14","0")</f>
        <v>0</v>
      </c>
    </row>
    <row r="3020" spans="1:7">
      <c r="A3020" s="3">
        <v>18</v>
      </c>
      <c r="B3020" s="3">
        <v>8</v>
      </c>
      <c r="C3020" s="3">
        <v>83</v>
      </c>
      <c r="D3020" s="3">
        <v>80</v>
      </c>
      <c r="E3020" s="3">
        <v>-7239.365</v>
      </c>
      <c r="F3020" s="4" t="str">
        <f>HYPERLINK("http://141.218.60.56/~jnz1568/getInfo.php?workbook=18_08.xlsx&amp;sheet=A0&amp;row=3020&amp;col=6&amp;number=0.8196&amp;sourceID=14","0.8196")</f>
        <v>0.8196</v>
      </c>
      <c r="G3020" s="4" t="str">
        <f>HYPERLINK("http://141.218.60.56/~jnz1568/getInfo.php?workbook=18_08.xlsx&amp;sheet=A0&amp;row=3020&amp;col=7&amp;number=0&amp;sourceID=14","0")</f>
        <v>0</v>
      </c>
    </row>
    <row r="3021" spans="1:7">
      <c r="A3021" s="3">
        <v>18</v>
      </c>
      <c r="B3021" s="3">
        <v>8</v>
      </c>
      <c r="C3021" s="3">
        <v>84</v>
      </c>
      <c r="D3021" s="3">
        <v>80</v>
      </c>
      <c r="E3021" s="3">
        <v>-3764.87</v>
      </c>
      <c r="F3021" s="4" t="str">
        <f>HYPERLINK("http://141.218.60.56/~jnz1568/getInfo.php?workbook=18_08.xlsx&amp;sheet=A0&amp;row=3021&amp;col=6&amp;number=4.352&amp;sourceID=14","4.352")</f>
        <v>4.352</v>
      </c>
      <c r="G3021" s="4" t="str">
        <f>HYPERLINK("http://141.218.60.56/~jnz1568/getInfo.php?workbook=18_08.xlsx&amp;sheet=A0&amp;row=3021&amp;col=7&amp;number=0&amp;sourceID=14","0")</f>
        <v>0</v>
      </c>
    </row>
    <row r="3022" spans="1:7">
      <c r="A3022" s="3">
        <v>18</v>
      </c>
      <c r="B3022" s="3">
        <v>8</v>
      </c>
      <c r="C3022" s="3">
        <v>85</v>
      </c>
      <c r="D3022" s="3">
        <v>80</v>
      </c>
      <c r="E3022" s="3">
        <v>-3309.71</v>
      </c>
      <c r="F3022" s="4" t="str">
        <f>HYPERLINK("http://141.218.60.56/~jnz1568/getInfo.php?workbook=18_08.xlsx&amp;sheet=A0&amp;row=3022&amp;col=6&amp;number=0.7556&amp;sourceID=14","0.7556")</f>
        <v>0.7556</v>
      </c>
      <c r="G3022" s="4" t="str">
        <f>HYPERLINK("http://141.218.60.56/~jnz1568/getInfo.php?workbook=18_08.xlsx&amp;sheet=A0&amp;row=3022&amp;col=7&amp;number=0&amp;sourceID=14","0")</f>
        <v>0</v>
      </c>
    </row>
    <row r="3023" spans="1:7">
      <c r="A3023" s="3">
        <v>18</v>
      </c>
      <c r="B3023" s="3">
        <v>8</v>
      </c>
      <c r="C3023" s="3">
        <v>86</v>
      </c>
      <c r="D3023" s="3">
        <v>80</v>
      </c>
      <c r="E3023" s="3">
        <v>-1634.065</v>
      </c>
      <c r="F3023" s="4" t="str">
        <f>HYPERLINK("http://141.218.60.56/~jnz1568/getInfo.php?workbook=18_08.xlsx&amp;sheet=A0&amp;row=3023&amp;col=6&amp;number=9.601&amp;sourceID=14","9.601")</f>
        <v>9.601</v>
      </c>
      <c r="G3023" s="4" t="str">
        <f>HYPERLINK("http://141.218.60.56/~jnz1568/getInfo.php?workbook=18_08.xlsx&amp;sheet=A0&amp;row=3023&amp;col=7&amp;number=0&amp;sourceID=14","0")</f>
        <v>0</v>
      </c>
    </row>
    <row r="3024" spans="1:7">
      <c r="A3024" s="3">
        <v>18</v>
      </c>
      <c r="B3024" s="3">
        <v>8</v>
      </c>
      <c r="C3024" s="3">
        <v>82</v>
      </c>
      <c r="D3024" s="3">
        <v>81</v>
      </c>
      <c r="E3024" s="3">
        <v>25779.84</v>
      </c>
      <c r="F3024" s="4" t="str">
        <f>HYPERLINK("http://141.218.60.56/~jnz1568/getInfo.php?workbook=18_08.xlsx&amp;sheet=A0&amp;row=3024&amp;col=6&amp;number=2.714&amp;sourceID=14","2.714")</f>
        <v>2.714</v>
      </c>
      <c r="G3024" s="4" t="str">
        <f>HYPERLINK("http://141.218.60.56/~jnz1568/getInfo.php?workbook=18_08.xlsx&amp;sheet=A0&amp;row=3024&amp;col=7&amp;number=0&amp;sourceID=14","0")</f>
        <v>0</v>
      </c>
    </row>
    <row r="3025" spans="1:7">
      <c r="A3025" s="3">
        <v>18</v>
      </c>
      <c r="B3025" s="3">
        <v>8</v>
      </c>
      <c r="C3025" s="3">
        <v>83</v>
      </c>
      <c r="D3025" s="3">
        <v>81</v>
      </c>
      <c r="E3025" s="3">
        <v>7315.289</v>
      </c>
      <c r="F3025" s="4" t="str">
        <f>HYPERLINK("http://141.218.60.56/~jnz1568/getInfo.php?workbook=18_08.xlsx&amp;sheet=A0&amp;row=3025&amp;col=6&amp;number=80.9&amp;sourceID=14","80.9")</f>
        <v>80.9</v>
      </c>
      <c r="G3025" s="4" t="str">
        <f>HYPERLINK("http://141.218.60.56/~jnz1568/getInfo.php?workbook=18_08.xlsx&amp;sheet=A0&amp;row=3025&amp;col=7&amp;number=0&amp;sourceID=14","0")</f>
        <v>0</v>
      </c>
    </row>
    <row r="3026" spans="1:7">
      <c r="A3026" s="3">
        <v>18</v>
      </c>
      <c r="B3026" s="3">
        <v>8</v>
      </c>
      <c r="C3026" s="3">
        <v>84</v>
      </c>
      <c r="D3026" s="3">
        <v>81</v>
      </c>
      <c r="E3026" s="3">
        <v>23980.814</v>
      </c>
      <c r="F3026" s="4" t="str">
        <f>HYPERLINK("http://141.218.60.56/~jnz1568/getInfo.php?workbook=18_08.xlsx&amp;sheet=A0&amp;row=3026&amp;col=6&amp;number=0.03564&amp;sourceID=14","0.03564")</f>
        <v>0.03564</v>
      </c>
      <c r="G3026" s="4" t="str">
        <f>HYPERLINK("http://141.218.60.56/~jnz1568/getInfo.php?workbook=18_08.xlsx&amp;sheet=A0&amp;row=3026&amp;col=7&amp;number=0&amp;sourceID=14","0")</f>
        <v>0</v>
      </c>
    </row>
    <row r="3027" spans="1:7">
      <c r="A3027" s="3">
        <v>18</v>
      </c>
      <c r="B3027" s="3">
        <v>8</v>
      </c>
      <c r="C3027" s="3">
        <v>85</v>
      </c>
      <c r="D3027" s="3">
        <v>81</v>
      </c>
      <c r="E3027" s="3">
        <v>5154.639</v>
      </c>
      <c r="F3027" s="4" t="str">
        <f>HYPERLINK("http://141.218.60.56/~jnz1568/getInfo.php?workbook=18_08.xlsx&amp;sheet=A0&amp;row=3027&amp;col=6&amp;number=4.602&amp;sourceID=14","4.602")</f>
        <v>4.602</v>
      </c>
      <c r="G3027" s="4" t="str">
        <f>HYPERLINK("http://141.218.60.56/~jnz1568/getInfo.php?workbook=18_08.xlsx&amp;sheet=A0&amp;row=3027&amp;col=7&amp;number=0&amp;sourceID=14","0")</f>
        <v>0</v>
      </c>
    </row>
    <row r="3028" spans="1:7">
      <c r="A3028" s="3">
        <v>18</v>
      </c>
      <c r="B3028" s="3">
        <v>8</v>
      </c>
      <c r="C3028" s="3">
        <v>86</v>
      </c>
      <c r="D3028" s="3">
        <v>81</v>
      </c>
      <c r="E3028" s="3">
        <v>1996.008</v>
      </c>
      <c r="F3028" s="4" t="str">
        <f>HYPERLINK("http://141.218.60.56/~jnz1568/getInfo.php?workbook=18_08.xlsx&amp;sheet=A0&amp;row=3028&amp;col=6&amp;number=60.49&amp;sourceID=14","60.49")</f>
        <v>60.49</v>
      </c>
      <c r="G3028" s="4" t="str">
        <f>HYPERLINK("http://141.218.60.56/~jnz1568/getInfo.php?workbook=18_08.xlsx&amp;sheet=A0&amp;row=3028&amp;col=7&amp;number=0&amp;sourceID=14","0")</f>
        <v>0</v>
      </c>
    </row>
    <row r="3029" spans="1:7">
      <c r="A3029" s="3">
        <v>18</v>
      </c>
      <c r="B3029" s="3">
        <v>8</v>
      </c>
      <c r="C3029" s="3">
        <v>83</v>
      </c>
      <c r="D3029" s="3">
        <v>82</v>
      </c>
      <c r="E3029" s="3">
        <v>10213.461</v>
      </c>
      <c r="F3029" s="4" t="str">
        <f>HYPERLINK("http://141.218.60.56/~jnz1568/getInfo.php?workbook=18_08.xlsx&amp;sheet=A0&amp;row=3029&amp;col=6&amp;number=2.834e-05&amp;sourceID=14","2.834e-05")</f>
        <v>2.834e-05</v>
      </c>
      <c r="G3029" s="4" t="str">
        <f>HYPERLINK("http://141.218.60.56/~jnz1568/getInfo.php?workbook=18_08.xlsx&amp;sheet=A0&amp;row=3029&amp;col=7&amp;number=0&amp;sourceID=14","0")</f>
        <v>0</v>
      </c>
    </row>
    <row r="3030" spans="1:7">
      <c r="A3030" s="3">
        <v>18</v>
      </c>
      <c r="B3030" s="3">
        <v>8</v>
      </c>
      <c r="C3030" s="3">
        <v>85</v>
      </c>
      <c r="D3030" s="3">
        <v>82</v>
      </c>
      <c r="E3030" s="3">
        <v>6442.884</v>
      </c>
      <c r="F3030" s="4" t="str">
        <f>HYPERLINK("http://141.218.60.56/~jnz1568/getInfo.php?workbook=18_08.xlsx&amp;sheet=A0&amp;row=3030&amp;col=6&amp;number=2.16&amp;sourceID=14","2.16")</f>
        <v>2.16</v>
      </c>
      <c r="G3030" s="4" t="str">
        <f>HYPERLINK("http://141.218.60.56/~jnz1568/getInfo.php?workbook=18_08.xlsx&amp;sheet=A0&amp;row=3030&amp;col=7&amp;number=0&amp;sourceID=14","0")</f>
        <v>0</v>
      </c>
    </row>
    <row r="3031" spans="1:7">
      <c r="A3031" s="3">
        <v>18</v>
      </c>
      <c r="B3031" s="3">
        <v>8</v>
      </c>
      <c r="C3031" s="3">
        <v>86</v>
      </c>
      <c r="D3031" s="3">
        <v>82</v>
      </c>
      <c r="E3031" s="3">
        <v>2163.519</v>
      </c>
      <c r="F3031" s="4" t="str">
        <f>HYPERLINK("http://141.218.60.56/~jnz1568/getInfo.php?workbook=18_08.xlsx&amp;sheet=A0&amp;row=3031&amp;col=6&amp;number=0.04681&amp;sourceID=14","0.04681")</f>
        <v>0.04681</v>
      </c>
      <c r="G3031" s="4" t="str">
        <f>HYPERLINK("http://141.218.60.56/~jnz1568/getInfo.php?workbook=18_08.xlsx&amp;sheet=A0&amp;row=3031&amp;col=7&amp;number=0&amp;sourceID=14","0")</f>
        <v>0</v>
      </c>
    </row>
    <row r="3032" spans="1:7">
      <c r="A3032" s="3">
        <v>18</v>
      </c>
      <c r="B3032" s="3">
        <v>8</v>
      </c>
      <c r="C3032" s="3">
        <v>86</v>
      </c>
      <c r="D3032" s="3">
        <v>83</v>
      </c>
      <c r="E3032" s="3">
        <v>2744.99</v>
      </c>
      <c r="F3032" s="4" t="str">
        <f>HYPERLINK("http://141.218.60.56/~jnz1568/getInfo.php?workbook=18_08.xlsx&amp;sheet=A0&amp;row=3032&amp;col=6&amp;number=8.071&amp;sourceID=14","8.071")</f>
        <v>8.071</v>
      </c>
      <c r="G3032" s="4" t="str">
        <f>HYPERLINK("http://141.218.60.56/~jnz1568/getInfo.php?workbook=18_08.xlsx&amp;sheet=A0&amp;row=3032&amp;col=7&amp;number=0&amp;sourceID=14","0")</f>
        <v>0</v>
      </c>
    </row>
    <row r="3033" spans="1:7">
      <c r="A3033" s="3">
        <v>18</v>
      </c>
      <c r="B3033" s="3">
        <v>8</v>
      </c>
      <c r="C3033" s="3">
        <v>85</v>
      </c>
      <c r="D3033" s="3">
        <v>84</v>
      </c>
      <c r="E3033" s="3">
        <v>6565.988</v>
      </c>
      <c r="F3033" s="4" t="str">
        <f>HYPERLINK("http://141.218.60.56/~jnz1568/getInfo.php?workbook=18_08.xlsx&amp;sheet=A0&amp;row=3033&amp;col=6&amp;number=0.518&amp;sourceID=14","0.518")</f>
        <v>0.518</v>
      </c>
      <c r="G3033" s="4" t="str">
        <f>HYPERLINK("http://141.218.60.56/~jnz1568/getInfo.php?workbook=18_08.xlsx&amp;sheet=A0&amp;row=3033&amp;col=7&amp;number=0&amp;sourceID=14","0")</f>
        <v>0</v>
      </c>
    </row>
    <row r="3034" spans="1:7">
      <c r="A3034" s="3">
        <v>18</v>
      </c>
      <c r="B3034" s="3">
        <v>8</v>
      </c>
      <c r="C3034" s="3">
        <v>86</v>
      </c>
      <c r="D3034" s="3">
        <v>84</v>
      </c>
      <c r="E3034" s="3">
        <v>2177.226</v>
      </c>
      <c r="F3034" s="4" t="str">
        <f>HYPERLINK("http://141.218.60.56/~jnz1568/getInfo.php?workbook=18_08.xlsx&amp;sheet=A0&amp;row=3034&amp;col=6&amp;number=10.08&amp;sourceID=14","10.08")</f>
        <v>10.08</v>
      </c>
      <c r="G3034" s="4" t="str">
        <f>HYPERLINK("http://141.218.60.56/~jnz1568/getInfo.php?workbook=18_08.xlsx&amp;sheet=A0&amp;row=3034&amp;col=7&amp;number=0&amp;sourceID=14","0")</f>
        <v>0</v>
      </c>
    </row>
    <row r="3035" spans="1:7">
      <c r="A3035" s="3">
        <v>18</v>
      </c>
      <c r="B3035" s="3">
        <v>8</v>
      </c>
      <c r="C3035" s="3">
        <v>86</v>
      </c>
      <c r="D3035" s="3">
        <v>85</v>
      </c>
      <c r="E3035" s="3">
        <v>3257.329</v>
      </c>
      <c r="F3035" s="4" t="str">
        <f>HYPERLINK("http://141.218.60.56/~jnz1568/getInfo.php?workbook=18_08.xlsx&amp;sheet=A0&amp;row=3035&amp;col=6&amp;number=0.08324&amp;sourceID=14","0.08324")</f>
        <v>0.08324</v>
      </c>
      <c r="G3035" s="4" t="str">
        <f>HYPERLINK("http://141.218.60.56/~jnz1568/getInfo.php?workbook=18_08.xlsx&amp;sheet=A0&amp;row=3035&amp;col=7&amp;number=0&amp;sourceID=14","0")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303"/>
  <sheetViews>
    <sheetView workbookViewId="0"/>
  </sheetViews>
  <sheetFormatPr defaultRowHeight="15"/>
  <cols>
    <col min="1" max="1" width="3.7109375" customWidth="1"/>
    <col min="2" max="2" width="2.7109375" customWidth="1"/>
    <col min="3" max="3" width="6.7109375" customWidth="1"/>
    <col min="4" max="4" width="2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18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HYPERLINK("http://141.218.60.56/~jnz1568/getInfo.php?workbook=18_08.xlsx&amp;sheet=U0&amp;row=4&amp;col=6&amp;number=3&amp;sourceID=14","3")</f>
        <v>3</v>
      </c>
      <c r="G4" s="4" t="str">
        <f>HYPERLINK("http://141.218.60.56/~jnz1568/getInfo.php?workbook=18_08.xlsx&amp;sheet=U0&amp;row=4&amp;col=7&amp;number=0.112&amp;sourceID=14","0.112")</f>
        <v>0.112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HYPERLINK("http://141.218.60.56/~jnz1568/getInfo.php?workbook=18_08.xlsx&amp;sheet=U0&amp;row=5&amp;col=6&amp;number=3.1&amp;sourceID=14","3.1")</f>
        <v>3.1</v>
      </c>
      <c r="G5" s="4" t="str">
        <f>HYPERLINK("http://141.218.60.56/~jnz1568/getInfo.php?workbook=18_08.xlsx&amp;sheet=U0&amp;row=5&amp;col=7&amp;number=0.112&amp;sourceID=14","0.112")</f>
        <v>0.112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HYPERLINK("http://141.218.60.56/~jnz1568/getInfo.php?workbook=18_08.xlsx&amp;sheet=U0&amp;row=6&amp;col=6&amp;number=3.2&amp;sourceID=14","3.2")</f>
        <v>3.2</v>
      </c>
      <c r="G6" s="4" t="str">
        <f>HYPERLINK("http://141.218.60.56/~jnz1568/getInfo.php?workbook=18_08.xlsx&amp;sheet=U0&amp;row=6&amp;col=7&amp;number=0.112&amp;sourceID=14","0.112")</f>
        <v>0.112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HYPERLINK("http://141.218.60.56/~jnz1568/getInfo.php?workbook=18_08.xlsx&amp;sheet=U0&amp;row=7&amp;col=6&amp;number=3.3&amp;sourceID=14","3.3")</f>
        <v>3.3</v>
      </c>
      <c r="G7" s="4" t="str">
        <f>HYPERLINK("http://141.218.60.56/~jnz1568/getInfo.php?workbook=18_08.xlsx&amp;sheet=U0&amp;row=7&amp;col=7&amp;number=0.112&amp;sourceID=14","0.112")</f>
        <v>0.112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HYPERLINK("http://141.218.60.56/~jnz1568/getInfo.php?workbook=18_08.xlsx&amp;sheet=U0&amp;row=8&amp;col=6&amp;number=3.4&amp;sourceID=14","3.4")</f>
        <v>3.4</v>
      </c>
      <c r="G8" s="4" t="str">
        <f>HYPERLINK("http://141.218.60.56/~jnz1568/getInfo.php?workbook=18_08.xlsx&amp;sheet=U0&amp;row=8&amp;col=7&amp;number=0.112&amp;sourceID=14","0.112")</f>
        <v>0.112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HYPERLINK("http://141.218.60.56/~jnz1568/getInfo.php?workbook=18_08.xlsx&amp;sheet=U0&amp;row=9&amp;col=6&amp;number=3.5&amp;sourceID=14","3.5")</f>
        <v>3.5</v>
      </c>
      <c r="G9" s="4" t="str">
        <f>HYPERLINK("http://141.218.60.56/~jnz1568/getInfo.php?workbook=18_08.xlsx&amp;sheet=U0&amp;row=9&amp;col=7&amp;number=0.112&amp;sourceID=14","0.112")</f>
        <v>0.112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HYPERLINK("http://141.218.60.56/~jnz1568/getInfo.php?workbook=18_08.xlsx&amp;sheet=U0&amp;row=10&amp;col=6&amp;number=3.6&amp;sourceID=14","3.6")</f>
        <v>3.6</v>
      </c>
      <c r="G10" s="4" t="str">
        <f>HYPERLINK("http://141.218.60.56/~jnz1568/getInfo.php?workbook=18_08.xlsx&amp;sheet=U0&amp;row=10&amp;col=7&amp;number=0.112&amp;sourceID=14","0.112")</f>
        <v>0.112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HYPERLINK("http://141.218.60.56/~jnz1568/getInfo.php?workbook=18_08.xlsx&amp;sheet=U0&amp;row=11&amp;col=6&amp;number=3.7&amp;sourceID=14","3.7")</f>
        <v>3.7</v>
      </c>
      <c r="G11" s="4" t="str">
        <f>HYPERLINK("http://141.218.60.56/~jnz1568/getInfo.php?workbook=18_08.xlsx&amp;sheet=U0&amp;row=11&amp;col=7&amp;number=0.112&amp;sourceID=14","0.112")</f>
        <v>0.112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HYPERLINK("http://141.218.60.56/~jnz1568/getInfo.php?workbook=18_08.xlsx&amp;sheet=U0&amp;row=12&amp;col=6&amp;number=3.8&amp;sourceID=14","3.8")</f>
        <v>3.8</v>
      </c>
      <c r="G12" s="4" t="str">
        <f>HYPERLINK("http://141.218.60.56/~jnz1568/getInfo.php?workbook=18_08.xlsx&amp;sheet=U0&amp;row=12&amp;col=7&amp;number=0.112&amp;sourceID=14","0.112")</f>
        <v>0.112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HYPERLINK("http://141.218.60.56/~jnz1568/getInfo.php?workbook=18_08.xlsx&amp;sheet=U0&amp;row=13&amp;col=6&amp;number=3.9&amp;sourceID=14","3.9")</f>
        <v>3.9</v>
      </c>
      <c r="G13" s="4" t="str">
        <f>HYPERLINK("http://141.218.60.56/~jnz1568/getInfo.php?workbook=18_08.xlsx&amp;sheet=U0&amp;row=13&amp;col=7&amp;number=0.112&amp;sourceID=14","0.112")</f>
        <v>0.112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HYPERLINK("http://141.218.60.56/~jnz1568/getInfo.php?workbook=18_08.xlsx&amp;sheet=U0&amp;row=14&amp;col=6&amp;number=4&amp;sourceID=14","4")</f>
        <v>4</v>
      </c>
      <c r="G14" s="4" t="str">
        <f>HYPERLINK("http://141.218.60.56/~jnz1568/getInfo.php?workbook=18_08.xlsx&amp;sheet=U0&amp;row=14&amp;col=7&amp;number=0.112&amp;sourceID=14","0.112")</f>
        <v>0.112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HYPERLINK("http://141.218.60.56/~jnz1568/getInfo.php?workbook=18_08.xlsx&amp;sheet=U0&amp;row=15&amp;col=6&amp;number=4.1&amp;sourceID=14","4.1")</f>
        <v>4.1</v>
      </c>
      <c r="G15" s="4" t="str">
        <f>HYPERLINK("http://141.218.60.56/~jnz1568/getInfo.php?workbook=18_08.xlsx&amp;sheet=U0&amp;row=15&amp;col=7&amp;number=0.112&amp;sourceID=14","0.112")</f>
        <v>0.112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HYPERLINK("http://141.218.60.56/~jnz1568/getInfo.php?workbook=18_08.xlsx&amp;sheet=U0&amp;row=16&amp;col=6&amp;number=4.2&amp;sourceID=14","4.2")</f>
        <v>4.2</v>
      </c>
      <c r="G16" s="4" t="str">
        <f>HYPERLINK("http://141.218.60.56/~jnz1568/getInfo.php?workbook=18_08.xlsx&amp;sheet=U0&amp;row=16&amp;col=7&amp;number=0.112&amp;sourceID=14","0.112")</f>
        <v>0.112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HYPERLINK("http://141.218.60.56/~jnz1568/getInfo.php?workbook=18_08.xlsx&amp;sheet=U0&amp;row=17&amp;col=6&amp;number=4.3&amp;sourceID=14","4.3")</f>
        <v>4.3</v>
      </c>
      <c r="G17" s="4" t="str">
        <f>HYPERLINK("http://141.218.60.56/~jnz1568/getInfo.php?workbook=18_08.xlsx&amp;sheet=U0&amp;row=17&amp;col=7&amp;number=0.112&amp;sourceID=14","0.112")</f>
        <v>0.112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HYPERLINK("http://141.218.60.56/~jnz1568/getInfo.php?workbook=18_08.xlsx&amp;sheet=U0&amp;row=18&amp;col=6&amp;number=4.4&amp;sourceID=14","4.4")</f>
        <v>4.4</v>
      </c>
      <c r="G18" s="4" t="str">
        <f>HYPERLINK("http://141.218.60.56/~jnz1568/getInfo.php?workbook=18_08.xlsx&amp;sheet=U0&amp;row=18&amp;col=7&amp;number=0.112&amp;sourceID=14","0.112")</f>
        <v>0.112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HYPERLINK("http://141.218.60.56/~jnz1568/getInfo.php?workbook=18_08.xlsx&amp;sheet=U0&amp;row=19&amp;col=6&amp;number=4.5&amp;sourceID=14","4.5")</f>
        <v>4.5</v>
      </c>
      <c r="G19" s="4" t="str">
        <f>HYPERLINK("http://141.218.60.56/~jnz1568/getInfo.php?workbook=18_08.xlsx&amp;sheet=U0&amp;row=19&amp;col=7&amp;number=0.112&amp;sourceID=14","0.112")</f>
        <v>0.112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HYPERLINK("http://141.218.60.56/~jnz1568/getInfo.php?workbook=18_08.xlsx&amp;sheet=U0&amp;row=20&amp;col=6&amp;number=4.6&amp;sourceID=14","4.6")</f>
        <v>4.6</v>
      </c>
      <c r="G20" s="4" t="str">
        <f>HYPERLINK("http://141.218.60.56/~jnz1568/getInfo.php?workbook=18_08.xlsx&amp;sheet=U0&amp;row=20&amp;col=7&amp;number=0.112&amp;sourceID=14","0.112")</f>
        <v>0.112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HYPERLINK("http://141.218.60.56/~jnz1568/getInfo.php?workbook=18_08.xlsx&amp;sheet=U0&amp;row=21&amp;col=6&amp;number=4.7&amp;sourceID=14","4.7")</f>
        <v>4.7</v>
      </c>
      <c r="G21" s="4" t="str">
        <f>HYPERLINK("http://141.218.60.56/~jnz1568/getInfo.php?workbook=18_08.xlsx&amp;sheet=U0&amp;row=21&amp;col=7&amp;number=0.112&amp;sourceID=14","0.112")</f>
        <v>0.112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HYPERLINK("http://141.218.60.56/~jnz1568/getInfo.php?workbook=18_08.xlsx&amp;sheet=U0&amp;row=22&amp;col=6&amp;number=4.8&amp;sourceID=14","4.8")</f>
        <v>4.8</v>
      </c>
      <c r="G22" s="4" t="str">
        <f>HYPERLINK("http://141.218.60.56/~jnz1568/getInfo.php?workbook=18_08.xlsx&amp;sheet=U0&amp;row=22&amp;col=7&amp;number=0.112&amp;sourceID=14","0.112")</f>
        <v>0.112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HYPERLINK("http://141.218.60.56/~jnz1568/getInfo.php?workbook=18_08.xlsx&amp;sheet=U0&amp;row=23&amp;col=6&amp;number=4.9&amp;sourceID=14","4.9")</f>
        <v>4.9</v>
      </c>
      <c r="G23" s="4" t="str">
        <f>HYPERLINK("http://141.218.60.56/~jnz1568/getInfo.php?workbook=18_08.xlsx&amp;sheet=U0&amp;row=23&amp;col=7&amp;number=0.112&amp;sourceID=14","0.112")</f>
        <v>0.112</v>
      </c>
    </row>
    <row r="24" spans="1:7">
      <c r="A24" s="3">
        <v>18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HYPERLINK("http://141.218.60.56/~jnz1568/getInfo.php?workbook=18_08.xlsx&amp;sheet=U0&amp;row=24&amp;col=6&amp;number=3&amp;sourceID=14","3")</f>
        <v>3</v>
      </c>
      <c r="G24" s="4" t="str">
        <f>HYPERLINK("http://141.218.60.56/~jnz1568/getInfo.php?workbook=18_08.xlsx&amp;sheet=U0&amp;row=24&amp;col=7&amp;number=0.0254&amp;sourceID=14","0.0254")</f>
        <v>0.0254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HYPERLINK("http://141.218.60.56/~jnz1568/getInfo.php?workbook=18_08.xlsx&amp;sheet=U0&amp;row=25&amp;col=6&amp;number=3.1&amp;sourceID=14","3.1")</f>
        <v>3.1</v>
      </c>
      <c r="G25" s="4" t="str">
        <f>HYPERLINK("http://141.218.60.56/~jnz1568/getInfo.php?workbook=18_08.xlsx&amp;sheet=U0&amp;row=25&amp;col=7&amp;number=0.0254&amp;sourceID=14","0.0254")</f>
        <v>0.0254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HYPERLINK("http://141.218.60.56/~jnz1568/getInfo.php?workbook=18_08.xlsx&amp;sheet=U0&amp;row=26&amp;col=6&amp;number=3.2&amp;sourceID=14","3.2")</f>
        <v>3.2</v>
      </c>
      <c r="G26" s="4" t="str">
        <f>HYPERLINK("http://141.218.60.56/~jnz1568/getInfo.php?workbook=18_08.xlsx&amp;sheet=U0&amp;row=26&amp;col=7&amp;number=0.0254&amp;sourceID=14","0.0254")</f>
        <v>0.0254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HYPERLINK("http://141.218.60.56/~jnz1568/getInfo.php?workbook=18_08.xlsx&amp;sheet=U0&amp;row=27&amp;col=6&amp;number=3.3&amp;sourceID=14","3.3")</f>
        <v>3.3</v>
      </c>
      <c r="G27" s="4" t="str">
        <f>HYPERLINK("http://141.218.60.56/~jnz1568/getInfo.php?workbook=18_08.xlsx&amp;sheet=U0&amp;row=27&amp;col=7&amp;number=0.0254&amp;sourceID=14","0.0254")</f>
        <v>0.0254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HYPERLINK("http://141.218.60.56/~jnz1568/getInfo.php?workbook=18_08.xlsx&amp;sheet=U0&amp;row=28&amp;col=6&amp;number=3.4&amp;sourceID=14","3.4")</f>
        <v>3.4</v>
      </c>
      <c r="G28" s="4" t="str">
        <f>HYPERLINK("http://141.218.60.56/~jnz1568/getInfo.php?workbook=18_08.xlsx&amp;sheet=U0&amp;row=28&amp;col=7&amp;number=0.0254&amp;sourceID=14","0.0254")</f>
        <v>0.0254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HYPERLINK("http://141.218.60.56/~jnz1568/getInfo.php?workbook=18_08.xlsx&amp;sheet=U0&amp;row=29&amp;col=6&amp;number=3.5&amp;sourceID=14","3.5")</f>
        <v>3.5</v>
      </c>
      <c r="G29" s="4" t="str">
        <f>HYPERLINK("http://141.218.60.56/~jnz1568/getInfo.php?workbook=18_08.xlsx&amp;sheet=U0&amp;row=29&amp;col=7&amp;number=0.0254&amp;sourceID=14","0.0254")</f>
        <v>0.0254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HYPERLINK("http://141.218.60.56/~jnz1568/getInfo.php?workbook=18_08.xlsx&amp;sheet=U0&amp;row=30&amp;col=6&amp;number=3.6&amp;sourceID=14","3.6")</f>
        <v>3.6</v>
      </c>
      <c r="G30" s="4" t="str">
        <f>HYPERLINK("http://141.218.60.56/~jnz1568/getInfo.php?workbook=18_08.xlsx&amp;sheet=U0&amp;row=30&amp;col=7&amp;number=0.0254&amp;sourceID=14","0.0254")</f>
        <v>0.0254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HYPERLINK("http://141.218.60.56/~jnz1568/getInfo.php?workbook=18_08.xlsx&amp;sheet=U0&amp;row=31&amp;col=6&amp;number=3.7&amp;sourceID=14","3.7")</f>
        <v>3.7</v>
      </c>
      <c r="G31" s="4" t="str">
        <f>HYPERLINK("http://141.218.60.56/~jnz1568/getInfo.php?workbook=18_08.xlsx&amp;sheet=U0&amp;row=31&amp;col=7&amp;number=0.0254&amp;sourceID=14","0.0254")</f>
        <v>0.0254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HYPERLINK("http://141.218.60.56/~jnz1568/getInfo.php?workbook=18_08.xlsx&amp;sheet=U0&amp;row=32&amp;col=6&amp;number=3.8&amp;sourceID=14","3.8")</f>
        <v>3.8</v>
      </c>
      <c r="G32" s="4" t="str">
        <f>HYPERLINK("http://141.218.60.56/~jnz1568/getInfo.php?workbook=18_08.xlsx&amp;sheet=U0&amp;row=32&amp;col=7&amp;number=0.0254&amp;sourceID=14","0.0254")</f>
        <v>0.0254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HYPERLINK("http://141.218.60.56/~jnz1568/getInfo.php?workbook=18_08.xlsx&amp;sheet=U0&amp;row=33&amp;col=6&amp;number=3.9&amp;sourceID=14","3.9")</f>
        <v>3.9</v>
      </c>
      <c r="G33" s="4" t="str">
        <f>HYPERLINK("http://141.218.60.56/~jnz1568/getInfo.php?workbook=18_08.xlsx&amp;sheet=U0&amp;row=33&amp;col=7&amp;number=0.0254&amp;sourceID=14","0.0254")</f>
        <v>0.0254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HYPERLINK("http://141.218.60.56/~jnz1568/getInfo.php?workbook=18_08.xlsx&amp;sheet=U0&amp;row=34&amp;col=6&amp;number=4&amp;sourceID=14","4")</f>
        <v>4</v>
      </c>
      <c r="G34" s="4" t="str">
        <f>HYPERLINK("http://141.218.60.56/~jnz1568/getInfo.php?workbook=18_08.xlsx&amp;sheet=U0&amp;row=34&amp;col=7&amp;number=0.0254&amp;sourceID=14","0.0254")</f>
        <v>0.0254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HYPERLINK("http://141.218.60.56/~jnz1568/getInfo.php?workbook=18_08.xlsx&amp;sheet=U0&amp;row=35&amp;col=6&amp;number=4.1&amp;sourceID=14","4.1")</f>
        <v>4.1</v>
      </c>
      <c r="G35" s="4" t="str">
        <f>HYPERLINK("http://141.218.60.56/~jnz1568/getInfo.php?workbook=18_08.xlsx&amp;sheet=U0&amp;row=35&amp;col=7&amp;number=0.0254&amp;sourceID=14","0.0254")</f>
        <v>0.0254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HYPERLINK("http://141.218.60.56/~jnz1568/getInfo.php?workbook=18_08.xlsx&amp;sheet=U0&amp;row=36&amp;col=6&amp;number=4.2&amp;sourceID=14","4.2")</f>
        <v>4.2</v>
      </c>
      <c r="G36" s="4" t="str">
        <f>HYPERLINK("http://141.218.60.56/~jnz1568/getInfo.php?workbook=18_08.xlsx&amp;sheet=U0&amp;row=36&amp;col=7&amp;number=0.0254&amp;sourceID=14","0.0254")</f>
        <v>0.0254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HYPERLINK("http://141.218.60.56/~jnz1568/getInfo.php?workbook=18_08.xlsx&amp;sheet=U0&amp;row=37&amp;col=6&amp;number=4.3&amp;sourceID=14","4.3")</f>
        <v>4.3</v>
      </c>
      <c r="G37" s="4" t="str">
        <f>HYPERLINK("http://141.218.60.56/~jnz1568/getInfo.php?workbook=18_08.xlsx&amp;sheet=U0&amp;row=37&amp;col=7&amp;number=0.0254&amp;sourceID=14","0.0254")</f>
        <v>0.0254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HYPERLINK("http://141.218.60.56/~jnz1568/getInfo.php?workbook=18_08.xlsx&amp;sheet=U0&amp;row=38&amp;col=6&amp;number=4.4&amp;sourceID=14","4.4")</f>
        <v>4.4</v>
      </c>
      <c r="G38" s="4" t="str">
        <f>HYPERLINK("http://141.218.60.56/~jnz1568/getInfo.php?workbook=18_08.xlsx&amp;sheet=U0&amp;row=38&amp;col=7&amp;number=0.0254&amp;sourceID=14","0.0254")</f>
        <v>0.0254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HYPERLINK("http://141.218.60.56/~jnz1568/getInfo.php?workbook=18_08.xlsx&amp;sheet=U0&amp;row=39&amp;col=6&amp;number=4.5&amp;sourceID=14","4.5")</f>
        <v>4.5</v>
      </c>
      <c r="G39" s="4" t="str">
        <f>HYPERLINK("http://141.218.60.56/~jnz1568/getInfo.php?workbook=18_08.xlsx&amp;sheet=U0&amp;row=39&amp;col=7&amp;number=0.0254&amp;sourceID=14","0.0254")</f>
        <v>0.0254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HYPERLINK("http://141.218.60.56/~jnz1568/getInfo.php?workbook=18_08.xlsx&amp;sheet=U0&amp;row=40&amp;col=6&amp;number=4.6&amp;sourceID=14","4.6")</f>
        <v>4.6</v>
      </c>
      <c r="G40" s="4" t="str">
        <f>HYPERLINK("http://141.218.60.56/~jnz1568/getInfo.php?workbook=18_08.xlsx&amp;sheet=U0&amp;row=40&amp;col=7&amp;number=0.0254&amp;sourceID=14","0.0254")</f>
        <v>0.0254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HYPERLINK("http://141.218.60.56/~jnz1568/getInfo.php?workbook=18_08.xlsx&amp;sheet=U0&amp;row=41&amp;col=6&amp;number=4.7&amp;sourceID=14","4.7")</f>
        <v>4.7</v>
      </c>
      <c r="G41" s="4" t="str">
        <f>HYPERLINK("http://141.218.60.56/~jnz1568/getInfo.php?workbook=18_08.xlsx&amp;sheet=U0&amp;row=41&amp;col=7&amp;number=0.0254&amp;sourceID=14","0.0254")</f>
        <v>0.0254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HYPERLINK("http://141.218.60.56/~jnz1568/getInfo.php?workbook=18_08.xlsx&amp;sheet=U0&amp;row=42&amp;col=6&amp;number=4.8&amp;sourceID=14","4.8")</f>
        <v>4.8</v>
      </c>
      <c r="G42" s="4" t="str">
        <f>HYPERLINK("http://141.218.60.56/~jnz1568/getInfo.php?workbook=18_08.xlsx&amp;sheet=U0&amp;row=42&amp;col=7&amp;number=0.0254&amp;sourceID=14","0.0254")</f>
        <v>0.0254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HYPERLINK("http://141.218.60.56/~jnz1568/getInfo.php?workbook=18_08.xlsx&amp;sheet=U0&amp;row=43&amp;col=6&amp;number=4.9&amp;sourceID=14","4.9")</f>
        <v>4.9</v>
      </c>
      <c r="G43" s="4" t="str">
        <f>HYPERLINK("http://141.218.60.56/~jnz1568/getInfo.php?workbook=18_08.xlsx&amp;sheet=U0&amp;row=43&amp;col=7&amp;number=0.0254&amp;sourceID=14","0.0254")</f>
        <v>0.0254</v>
      </c>
    </row>
    <row r="44" spans="1:7">
      <c r="A44" s="3">
        <v>18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HYPERLINK("http://141.218.60.56/~jnz1568/getInfo.php?workbook=18_08.xlsx&amp;sheet=U0&amp;row=44&amp;col=6&amp;number=3&amp;sourceID=14","3")</f>
        <v>3</v>
      </c>
      <c r="G44" s="4" t="str">
        <f>HYPERLINK("http://141.218.60.56/~jnz1568/getInfo.php?workbook=18_08.xlsx&amp;sheet=U0&amp;row=44&amp;col=7&amp;number=0.127&amp;sourceID=14","0.127")</f>
        <v>0.127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HYPERLINK("http://141.218.60.56/~jnz1568/getInfo.php?workbook=18_08.xlsx&amp;sheet=U0&amp;row=45&amp;col=6&amp;number=3.1&amp;sourceID=14","3.1")</f>
        <v>3.1</v>
      </c>
      <c r="G45" s="4" t="str">
        <f>HYPERLINK("http://141.218.60.56/~jnz1568/getInfo.php?workbook=18_08.xlsx&amp;sheet=U0&amp;row=45&amp;col=7&amp;number=0.127&amp;sourceID=14","0.127")</f>
        <v>0.127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HYPERLINK("http://141.218.60.56/~jnz1568/getInfo.php?workbook=18_08.xlsx&amp;sheet=U0&amp;row=46&amp;col=6&amp;number=3.2&amp;sourceID=14","3.2")</f>
        <v>3.2</v>
      </c>
      <c r="G46" s="4" t="str">
        <f>HYPERLINK("http://141.218.60.56/~jnz1568/getInfo.php?workbook=18_08.xlsx&amp;sheet=U0&amp;row=46&amp;col=7&amp;number=0.127&amp;sourceID=14","0.127")</f>
        <v>0.127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HYPERLINK("http://141.218.60.56/~jnz1568/getInfo.php?workbook=18_08.xlsx&amp;sheet=U0&amp;row=47&amp;col=6&amp;number=3.3&amp;sourceID=14","3.3")</f>
        <v>3.3</v>
      </c>
      <c r="G47" s="4" t="str">
        <f>HYPERLINK("http://141.218.60.56/~jnz1568/getInfo.php?workbook=18_08.xlsx&amp;sheet=U0&amp;row=47&amp;col=7&amp;number=0.127&amp;sourceID=14","0.127")</f>
        <v>0.127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HYPERLINK("http://141.218.60.56/~jnz1568/getInfo.php?workbook=18_08.xlsx&amp;sheet=U0&amp;row=48&amp;col=6&amp;number=3.4&amp;sourceID=14","3.4")</f>
        <v>3.4</v>
      </c>
      <c r="G48" s="4" t="str">
        <f>HYPERLINK("http://141.218.60.56/~jnz1568/getInfo.php?workbook=18_08.xlsx&amp;sheet=U0&amp;row=48&amp;col=7&amp;number=0.127&amp;sourceID=14","0.127")</f>
        <v>0.127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HYPERLINK("http://141.218.60.56/~jnz1568/getInfo.php?workbook=18_08.xlsx&amp;sheet=U0&amp;row=49&amp;col=6&amp;number=3.5&amp;sourceID=14","3.5")</f>
        <v>3.5</v>
      </c>
      <c r="G49" s="4" t="str">
        <f>HYPERLINK("http://141.218.60.56/~jnz1568/getInfo.php?workbook=18_08.xlsx&amp;sheet=U0&amp;row=49&amp;col=7&amp;number=0.127&amp;sourceID=14","0.127")</f>
        <v>0.127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HYPERLINK("http://141.218.60.56/~jnz1568/getInfo.php?workbook=18_08.xlsx&amp;sheet=U0&amp;row=50&amp;col=6&amp;number=3.6&amp;sourceID=14","3.6")</f>
        <v>3.6</v>
      </c>
      <c r="G50" s="4" t="str">
        <f>HYPERLINK("http://141.218.60.56/~jnz1568/getInfo.php?workbook=18_08.xlsx&amp;sheet=U0&amp;row=50&amp;col=7&amp;number=0.127&amp;sourceID=14","0.127")</f>
        <v>0.127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HYPERLINK("http://141.218.60.56/~jnz1568/getInfo.php?workbook=18_08.xlsx&amp;sheet=U0&amp;row=51&amp;col=6&amp;number=3.7&amp;sourceID=14","3.7")</f>
        <v>3.7</v>
      </c>
      <c r="G51" s="4" t="str">
        <f>HYPERLINK("http://141.218.60.56/~jnz1568/getInfo.php?workbook=18_08.xlsx&amp;sheet=U0&amp;row=51&amp;col=7&amp;number=0.127&amp;sourceID=14","0.127")</f>
        <v>0.127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HYPERLINK("http://141.218.60.56/~jnz1568/getInfo.php?workbook=18_08.xlsx&amp;sheet=U0&amp;row=52&amp;col=6&amp;number=3.8&amp;sourceID=14","3.8")</f>
        <v>3.8</v>
      </c>
      <c r="G52" s="4" t="str">
        <f>HYPERLINK("http://141.218.60.56/~jnz1568/getInfo.php?workbook=18_08.xlsx&amp;sheet=U0&amp;row=52&amp;col=7&amp;number=0.127&amp;sourceID=14","0.127")</f>
        <v>0.127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HYPERLINK("http://141.218.60.56/~jnz1568/getInfo.php?workbook=18_08.xlsx&amp;sheet=U0&amp;row=53&amp;col=6&amp;number=3.9&amp;sourceID=14","3.9")</f>
        <v>3.9</v>
      </c>
      <c r="G53" s="4" t="str">
        <f>HYPERLINK("http://141.218.60.56/~jnz1568/getInfo.php?workbook=18_08.xlsx&amp;sheet=U0&amp;row=53&amp;col=7&amp;number=0.127&amp;sourceID=14","0.127")</f>
        <v>0.127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HYPERLINK("http://141.218.60.56/~jnz1568/getInfo.php?workbook=18_08.xlsx&amp;sheet=U0&amp;row=54&amp;col=6&amp;number=4&amp;sourceID=14","4")</f>
        <v>4</v>
      </c>
      <c r="G54" s="4" t="str">
        <f>HYPERLINK("http://141.218.60.56/~jnz1568/getInfo.php?workbook=18_08.xlsx&amp;sheet=U0&amp;row=54&amp;col=7&amp;number=0.127&amp;sourceID=14","0.127")</f>
        <v>0.127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HYPERLINK("http://141.218.60.56/~jnz1568/getInfo.php?workbook=18_08.xlsx&amp;sheet=U0&amp;row=55&amp;col=6&amp;number=4.1&amp;sourceID=14","4.1")</f>
        <v>4.1</v>
      </c>
      <c r="G55" s="4" t="str">
        <f>HYPERLINK("http://141.218.60.56/~jnz1568/getInfo.php?workbook=18_08.xlsx&amp;sheet=U0&amp;row=55&amp;col=7&amp;number=0.127&amp;sourceID=14","0.127")</f>
        <v>0.127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HYPERLINK("http://141.218.60.56/~jnz1568/getInfo.php?workbook=18_08.xlsx&amp;sheet=U0&amp;row=56&amp;col=6&amp;number=4.2&amp;sourceID=14","4.2")</f>
        <v>4.2</v>
      </c>
      <c r="G56" s="4" t="str">
        <f>HYPERLINK("http://141.218.60.56/~jnz1568/getInfo.php?workbook=18_08.xlsx&amp;sheet=U0&amp;row=56&amp;col=7&amp;number=0.127&amp;sourceID=14","0.127")</f>
        <v>0.127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HYPERLINK("http://141.218.60.56/~jnz1568/getInfo.php?workbook=18_08.xlsx&amp;sheet=U0&amp;row=57&amp;col=6&amp;number=4.3&amp;sourceID=14","4.3")</f>
        <v>4.3</v>
      </c>
      <c r="G57" s="4" t="str">
        <f>HYPERLINK("http://141.218.60.56/~jnz1568/getInfo.php?workbook=18_08.xlsx&amp;sheet=U0&amp;row=57&amp;col=7&amp;number=0.127&amp;sourceID=14","0.127")</f>
        <v>0.127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HYPERLINK("http://141.218.60.56/~jnz1568/getInfo.php?workbook=18_08.xlsx&amp;sheet=U0&amp;row=58&amp;col=6&amp;number=4.4&amp;sourceID=14","4.4")</f>
        <v>4.4</v>
      </c>
      <c r="G58" s="4" t="str">
        <f>HYPERLINK("http://141.218.60.56/~jnz1568/getInfo.php?workbook=18_08.xlsx&amp;sheet=U0&amp;row=58&amp;col=7&amp;number=0.127&amp;sourceID=14","0.127")</f>
        <v>0.127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HYPERLINK("http://141.218.60.56/~jnz1568/getInfo.php?workbook=18_08.xlsx&amp;sheet=U0&amp;row=59&amp;col=6&amp;number=4.5&amp;sourceID=14","4.5")</f>
        <v>4.5</v>
      </c>
      <c r="G59" s="4" t="str">
        <f>HYPERLINK("http://141.218.60.56/~jnz1568/getInfo.php?workbook=18_08.xlsx&amp;sheet=U0&amp;row=59&amp;col=7&amp;number=0.127&amp;sourceID=14","0.127")</f>
        <v>0.127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HYPERLINK("http://141.218.60.56/~jnz1568/getInfo.php?workbook=18_08.xlsx&amp;sheet=U0&amp;row=60&amp;col=6&amp;number=4.6&amp;sourceID=14","4.6")</f>
        <v>4.6</v>
      </c>
      <c r="G60" s="4" t="str">
        <f>HYPERLINK("http://141.218.60.56/~jnz1568/getInfo.php?workbook=18_08.xlsx&amp;sheet=U0&amp;row=60&amp;col=7&amp;number=0.127&amp;sourceID=14","0.127")</f>
        <v>0.127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HYPERLINK("http://141.218.60.56/~jnz1568/getInfo.php?workbook=18_08.xlsx&amp;sheet=U0&amp;row=61&amp;col=6&amp;number=4.7&amp;sourceID=14","4.7")</f>
        <v>4.7</v>
      </c>
      <c r="G61" s="4" t="str">
        <f>HYPERLINK("http://141.218.60.56/~jnz1568/getInfo.php?workbook=18_08.xlsx&amp;sheet=U0&amp;row=61&amp;col=7&amp;number=0.127&amp;sourceID=14","0.127")</f>
        <v>0.127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HYPERLINK("http://141.218.60.56/~jnz1568/getInfo.php?workbook=18_08.xlsx&amp;sheet=U0&amp;row=62&amp;col=6&amp;number=4.8&amp;sourceID=14","4.8")</f>
        <v>4.8</v>
      </c>
      <c r="G62" s="4" t="str">
        <f>HYPERLINK("http://141.218.60.56/~jnz1568/getInfo.php?workbook=18_08.xlsx&amp;sheet=U0&amp;row=62&amp;col=7&amp;number=0.126&amp;sourceID=14","0.126")</f>
        <v>0.126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HYPERLINK("http://141.218.60.56/~jnz1568/getInfo.php?workbook=18_08.xlsx&amp;sheet=U0&amp;row=63&amp;col=6&amp;number=4.9&amp;sourceID=14","4.9")</f>
        <v>4.9</v>
      </c>
      <c r="G63" s="4" t="str">
        <f>HYPERLINK("http://141.218.60.56/~jnz1568/getInfo.php?workbook=18_08.xlsx&amp;sheet=U0&amp;row=63&amp;col=7&amp;number=0.126&amp;sourceID=14","0.126")</f>
        <v>0.126</v>
      </c>
    </row>
    <row r="64" spans="1:7">
      <c r="A64" s="3">
        <v>18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HYPERLINK("http://141.218.60.56/~jnz1568/getInfo.php?workbook=18_08.xlsx&amp;sheet=U0&amp;row=64&amp;col=6&amp;number=3&amp;sourceID=14","3")</f>
        <v>3</v>
      </c>
      <c r="G64" s="4" t="str">
        <f>HYPERLINK("http://141.218.60.56/~jnz1568/getInfo.php?workbook=18_08.xlsx&amp;sheet=U0&amp;row=64&amp;col=7&amp;number=0.0158&amp;sourceID=14","0.0158")</f>
        <v>0.0158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HYPERLINK("http://141.218.60.56/~jnz1568/getInfo.php?workbook=18_08.xlsx&amp;sheet=U0&amp;row=65&amp;col=6&amp;number=3.1&amp;sourceID=14","3.1")</f>
        <v>3.1</v>
      </c>
      <c r="G65" s="4" t="str">
        <f>HYPERLINK("http://141.218.60.56/~jnz1568/getInfo.php?workbook=18_08.xlsx&amp;sheet=U0&amp;row=65&amp;col=7&amp;number=0.0158&amp;sourceID=14","0.0158")</f>
        <v>0.0158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HYPERLINK("http://141.218.60.56/~jnz1568/getInfo.php?workbook=18_08.xlsx&amp;sheet=U0&amp;row=66&amp;col=6&amp;number=3.2&amp;sourceID=14","3.2")</f>
        <v>3.2</v>
      </c>
      <c r="G66" s="4" t="str">
        <f>HYPERLINK("http://141.218.60.56/~jnz1568/getInfo.php?workbook=18_08.xlsx&amp;sheet=U0&amp;row=66&amp;col=7&amp;number=0.0158&amp;sourceID=14","0.0158")</f>
        <v>0.0158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HYPERLINK("http://141.218.60.56/~jnz1568/getInfo.php?workbook=18_08.xlsx&amp;sheet=U0&amp;row=67&amp;col=6&amp;number=3.3&amp;sourceID=14","3.3")</f>
        <v>3.3</v>
      </c>
      <c r="G67" s="4" t="str">
        <f>HYPERLINK("http://141.218.60.56/~jnz1568/getInfo.php?workbook=18_08.xlsx&amp;sheet=U0&amp;row=67&amp;col=7&amp;number=0.0158&amp;sourceID=14","0.0158")</f>
        <v>0.0158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HYPERLINK("http://141.218.60.56/~jnz1568/getInfo.php?workbook=18_08.xlsx&amp;sheet=U0&amp;row=68&amp;col=6&amp;number=3.4&amp;sourceID=14","3.4")</f>
        <v>3.4</v>
      </c>
      <c r="G68" s="4" t="str">
        <f>HYPERLINK("http://141.218.60.56/~jnz1568/getInfo.php?workbook=18_08.xlsx&amp;sheet=U0&amp;row=68&amp;col=7&amp;number=0.0158&amp;sourceID=14","0.0158")</f>
        <v>0.0158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HYPERLINK("http://141.218.60.56/~jnz1568/getInfo.php?workbook=18_08.xlsx&amp;sheet=U0&amp;row=69&amp;col=6&amp;number=3.5&amp;sourceID=14","3.5")</f>
        <v>3.5</v>
      </c>
      <c r="G69" s="4" t="str">
        <f>HYPERLINK("http://141.218.60.56/~jnz1568/getInfo.php?workbook=18_08.xlsx&amp;sheet=U0&amp;row=69&amp;col=7&amp;number=0.0158&amp;sourceID=14","0.0158")</f>
        <v>0.0158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HYPERLINK("http://141.218.60.56/~jnz1568/getInfo.php?workbook=18_08.xlsx&amp;sheet=U0&amp;row=70&amp;col=6&amp;number=3.6&amp;sourceID=14","3.6")</f>
        <v>3.6</v>
      </c>
      <c r="G70" s="4" t="str">
        <f>HYPERLINK("http://141.218.60.56/~jnz1568/getInfo.php?workbook=18_08.xlsx&amp;sheet=U0&amp;row=70&amp;col=7&amp;number=0.0158&amp;sourceID=14","0.0158")</f>
        <v>0.0158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HYPERLINK("http://141.218.60.56/~jnz1568/getInfo.php?workbook=18_08.xlsx&amp;sheet=U0&amp;row=71&amp;col=6&amp;number=3.7&amp;sourceID=14","3.7")</f>
        <v>3.7</v>
      </c>
      <c r="G71" s="4" t="str">
        <f>HYPERLINK("http://141.218.60.56/~jnz1568/getInfo.php?workbook=18_08.xlsx&amp;sheet=U0&amp;row=71&amp;col=7&amp;number=0.0158&amp;sourceID=14","0.0158")</f>
        <v>0.0158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HYPERLINK("http://141.218.60.56/~jnz1568/getInfo.php?workbook=18_08.xlsx&amp;sheet=U0&amp;row=72&amp;col=6&amp;number=3.8&amp;sourceID=14","3.8")</f>
        <v>3.8</v>
      </c>
      <c r="G72" s="4" t="str">
        <f>HYPERLINK("http://141.218.60.56/~jnz1568/getInfo.php?workbook=18_08.xlsx&amp;sheet=U0&amp;row=72&amp;col=7&amp;number=0.0158&amp;sourceID=14","0.0158")</f>
        <v>0.0158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HYPERLINK("http://141.218.60.56/~jnz1568/getInfo.php?workbook=18_08.xlsx&amp;sheet=U0&amp;row=73&amp;col=6&amp;number=3.9&amp;sourceID=14","3.9")</f>
        <v>3.9</v>
      </c>
      <c r="G73" s="4" t="str">
        <f>HYPERLINK("http://141.218.60.56/~jnz1568/getInfo.php?workbook=18_08.xlsx&amp;sheet=U0&amp;row=73&amp;col=7&amp;number=0.0158&amp;sourceID=14","0.0158")</f>
        <v>0.0158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HYPERLINK("http://141.218.60.56/~jnz1568/getInfo.php?workbook=18_08.xlsx&amp;sheet=U0&amp;row=74&amp;col=6&amp;number=4&amp;sourceID=14","4")</f>
        <v>4</v>
      </c>
      <c r="G74" s="4" t="str">
        <f>HYPERLINK("http://141.218.60.56/~jnz1568/getInfo.php?workbook=18_08.xlsx&amp;sheet=U0&amp;row=74&amp;col=7&amp;number=0.0158&amp;sourceID=14","0.0158")</f>
        <v>0.0158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HYPERLINK("http://141.218.60.56/~jnz1568/getInfo.php?workbook=18_08.xlsx&amp;sheet=U0&amp;row=75&amp;col=6&amp;number=4.1&amp;sourceID=14","4.1")</f>
        <v>4.1</v>
      </c>
      <c r="G75" s="4" t="str">
        <f>HYPERLINK("http://141.218.60.56/~jnz1568/getInfo.php?workbook=18_08.xlsx&amp;sheet=U0&amp;row=75&amp;col=7&amp;number=0.0158&amp;sourceID=14","0.0158")</f>
        <v>0.0158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HYPERLINK("http://141.218.60.56/~jnz1568/getInfo.php?workbook=18_08.xlsx&amp;sheet=U0&amp;row=76&amp;col=6&amp;number=4.2&amp;sourceID=14","4.2")</f>
        <v>4.2</v>
      </c>
      <c r="G76" s="4" t="str">
        <f>HYPERLINK("http://141.218.60.56/~jnz1568/getInfo.php?workbook=18_08.xlsx&amp;sheet=U0&amp;row=76&amp;col=7&amp;number=0.0158&amp;sourceID=14","0.0158")</f>
        <v>0.0158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HYPERLINK("http://141.218.60.56/~jnz1568/getInfo.php?workbook=18_08.xlsx&amp;sheet=U0&amp;row=77&amp;col=6&amp;number=4.3&amp;sourceID=14","4.3")</f>
        <v>4.3</v>
      </c>
      <c r="G77" s="4" t="str">
        <f>HYPERLINK("http://141.218.60.56/~jnz1568/getInfo.php?workbook=18_08.xlsx&amp;sheet=U0&amp;row=77&amp;col=7&amp;number=0.0157&amp;sourceID=14","0.0157")</f>
        <v>0.0157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HYPERLINK("http://141.218.60.56/~jnz1568/getInfo.php?workbook=18_08.xlsx&amp;sheet=U0&amp;row=78&amp;col=6&amp;number=4.4&amp;sourceID=14","4.4")</f>
        <v>4.4</v>
      </c>
      <c r="G78" s="4" t="str">
        <f>HYPERLINK("http://141.218.60.56/~jnz1568/getInfo.php?workbook=18_08.xlsx&amp;sheet=U0&amp;row=78&amp;col=7&amp;number=0.0157&amp;sourceID=14","0.0157")</f>
        <v>0.0157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HYPERLINK("http://141.218.60.56/~jnz1568/getInfo.php?workbook=18_08.xlsx&amp;sheet=U0&amp;row=79&amp;col=6&amp;number=4.5&amp;sourceID=14","4.5")</f>
        <v>4.5</v>
      </c>
      <c r="G79" s="4" t="str">
        <f>HYPERLINK("http://141.218.60.56/~jnz1568/getInfo.php?workbook=18_08.xlsx&amp;sheet=U0&amp;row=79&amp;col=7&amp;number=0.0157&amp;sourceID=14","0.0157")</f>
        <v>0.0157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HYPERLINK("http://141.218.60.56/~jnz1568/getInfo.php?workbook=18_08.xlsx&amp;sheet=U0&amp;row=80&amp;col=6&amp;number=4.6&amp;sourceID=14","4.6")</f>
        <v>4.6</v>
      </c>
      <c r="G80" s="4" t="str">
        <f>HYPERLINK("http://141.218.60.56/~jnz1568/getInfo.php?workbook=18_08.xlsx&amp;sheet=U0&amp;row=80&amp;col=7&amp;number=0.0157&amp;sourceID=14","0.0157")</f>
        <v>0.0157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HYPERLINK("http://141.218.60.56/~jnz1568/getInfo.php?workbook=18_08.xlsx&amp;sheet=U0&amp;row=81&amp;col=6&amp;number=4.7&amp;sourceID=14","4.7")</f>
        <v>4.7</v>
      </c>
      <c r="G81" s="4" t="str">
        <f>HYPERLINK("http://141.218.60.56/~jnz1568/getInfo.php?workbook=18_08.xlsx&amp;sheet=U0&amp;row=81&amp;col=7&amp;number=0.0157&amp;sourceID=14","0.0157")</f>
        <v>0.0157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HYPERLINK("http://141.218.60.56/~jnz1568/getInfo.php?workbook=18_08.xlsx&amp;sheet=U0&amp;row=82&amp;col=6&amp;number=4.8&amp;sourceID=14","4.8")</f>
        <v>4.8</v>
      </c>
      <c r="G82" s="4" t="str">
        <f>HYPERLINK("http://141.218.60.56/~jnz1568/getInfo.php?workbook=18_08.xlsx&amp;sheet=U0&amp;row=82&amp;col=7&amp;number=0.0157&amp;sourceID=14","0.0157")</f>
        <v>0.0157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HYPERLINK("http://141.218.60.56/~jnz1568/getInfo.php?workbook=18_08.xlsx&amp;sheet=U0&amp;row=83&amp;col=6&amp;number=4.9&amp;sourceID=14","4.9")</f>
        <v>4.9</v>
      </c>
      <c r="G83" s="4" t="str">
        <f>HYPERLINK("http://141.218.60.56/~jnz1568/getInfo.php?workbook=18_08.xlsx&amp;sheet=U0&amp;row=83&amp;col=7&amp;number=0.0156&amp;sourceID=14","0.0156")</f>
        <v>0.0156</v>
      </c>
    </row>
    <row r="84" spans="1:7">
      <c r="A84" s="3">
        <v>18</v>
      </c>
      <c r="B84" s="3">
        <v>8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HYPERLINK("http://141.218.60.56/~jnz1568/getInfo.php?workbook=18_08.xlsx&amp;sheet=U0&amp;row=84&amp;col=6&amp;number=3&amp;sourceID=14","3")</f>
        <v>3</v>
      </c>
      <c r="G84" s="4" t="str">
        <f>HYPERLINK("http://141.218.60.56/~jnz1568/getInfo.php?workbook=18_08.xlsx&amp;sheet=U0&amp;row=84&amp;col=7&amp;number=0.869&amp;sourceID=14","0.869")</f>
        <v>0.869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HYPERLINK("http://141.218.60.56/~jnz1568/getInfo.php?workbook=18_08.xlsx&amp;sheet=U0&amp;row=85&amp;col=6&amp;number=3.1&amp;sourceID=14","3.1")</f>
        <v>3.1</v>
      </c>
      <c r="G85" s="4" t="str">
        <f>HYPERLINK("http://141.218.60.56/~jnz1568/getInfo.php?workbook=18_08.xlsx&amp;sheet=U0&amp;row=85&amp;col=7&amp;number=0.869&amp;sourceID=14","0.869")</f>
        <v>0.869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HYPERLINK("http://141.218.60.56/~jnz1568/getInfo.php?workbook=18_08.xlsx&amp;sheet=U0&amp;row=86&amp;col=6&amp;number=3.2&amp;sourceID=14","3.2")</f>
        <v>3.2</v>
      </c>
      <c r="G86" s="4" t="str">
        <f>HYPERLINK("http://141.218.60.56/~jnz1568/getInfo.php?workbook=18_08.xlsx&amp;sheet=U0&amp;row=86&amp;col=7&amp;number=0.869&amp;sourceID=14","0.869")</f>
        <v>0.869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HYPERLINK("http://141.218.60.56/~jnz1568/getInfo.php?workbook=18_08.xlsx&amp;sheet=U0&amp;row=87&amp;col=6&amp;number=3.3&amp;sourceID=14","3.3")</f>
        <v>3.3</v>
      </c>
      <c r="G87" s="4" t="str">
        <f>HYPERLINK("http://141.218.60.56/~jnz1568/getInfo.php?workbook=18_08.xlsx&amp;sheet=U0&amp;row=87&amp;col=7&amp;number=0.869&amp;sourceID=14","0.869")</f>
        <v>0.869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HYPERLINK("http://141.218.60.56/~jnz1568/getInfo.php?workbook=18_08.xlsx&amp;sheet=U0&amp;row=88&amp;col=6&amp;number=3.4&amp;sourceID=14","3.4")</f>
        <v>3.4</v>
      </c>
      <c r="G88" s="4" t="str">
        <f>HYPERLINK("http://141.218.60.56/~jnz1568/getInfo.php?workbook=18_08.xlsx&amp;sheet=U0&amp;row=88&amp;col=7&amp;number=0.869&amp;sourceID=14","0.869")</f>
        <v>0.869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HYPERLINK("http://141.218.60.56/~jnz1568/getInfo.php?workbook=18_08.xlsx&amp;sheet=U0&amp;row=89&amp;col=6&amp;number=3.5&amp;sourceID=14","3.5")</f>
        <v>3.5</v>
      </c>
      <c r="G89" s="4" t="str">
        <f>HYPERLINK("http://141.218.60.56/~jnz1568/getInfo.php?workbook=18_08.xlsx&amp;sheet=U0&amp;row=89&amp;col=7&amp;number=0.869&amp;sourceID=14","0.869")</f>
        <v>0.869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HYPERLINK("http://141.218.60.56/~jnz1568/getInfo.php?workbook=18_08.xlsx&amp;sheet=U0&amp;row=90&amp;col=6&amp;number=3.6&amp;sourceID=14","3.6")</f>
        <v>3.6</v>
      </c>
      <c r="G90" s="4" t="str">
        <f>HYPERLINK("http://141.218.60.56/~jnz1568/getInfo.php?workbook=18_08.xlsx&amp;sheet=U0&amp;row=90&amp;col=7&amp;number=0.869&amp;sourceID=14","0.869")</f>
        <v>0.869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HYPERLINK("http://141.218.60.56/~jnz1568/getInfo.php?workbook=18_08.xlsx&amp;sheet=U0&amp;row=91&amp;col=6&amp;number=3.7&amp;sourceID=14","3.7")</f>
        <v>3.7</v>
      </c>
      <c r="G91" s="4" t="str">
        <f>HYPERLINK("http://141.218.60.56/~jnz1568/getInfo.php?workbook=18_08.xlsx&amp;sheet=U0&amp;row=91&amp;col=7&amp;number=0.87&amp;sourceID=14","0.87")</f>
        <v>0.87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HYPERLINK("http://141.218.60.56/~jnz1568/getInfo.php?workbook=18_08.xlsx&amp;sheet=U0&amp;row=92&amp;col=6&amp;number=3.8&amp;sourceID=14","3.8")</f>
        <v>3.8</v>
      </c>
      <c r="G92" s="4" t="str">
        <f>HYPERLINK("http://141.218.60.56/~jnz1568/getInfo.php?workbook=18_08.xlsx&amp;sheet=U0&amp;row=92&amp;col=7&amp;number=0.87&amp;sourceID=14","0.87")</f>
        <v>0.87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HYPERLINK("http://141.218.60.56/~jnz1568/getInfo.php?workbook=18_08.xlsx&amp;sheet=U0&amp;row=93&amp;col=6&amp;number=3.9&amp;sourceID=14","3.9")</f>
        <v>3.9</v>
      </c>
      <c r="G93" s="4" t="str">
        <f>HYPERLINK("http://141.218.60.56/~jnz1568/getInfo.php?workbook=18_08.xlsx&amp;sheet=U0&amp;row=93&amp;col=7&amp;number=0.871&amp;sourceID=14","0.871")</f>
        <v>0.871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HYPERLINK("http://141.218.60.56/~jnz1568/getInfo.php?workbook=18_08.xlsx&amp;sheet=U0&amp;row=94&amp;col=6&amp;number=4&amp;sourceID=14","4")</f>
        <v>4</v>
      </c>
      <c r="G94" s="4" t="str">
        <f>HYPERLINK("http://141.218.60.56/~jnz1568/getInfo.php?workbook=18_08.xlsx&amp;sheet=U0&amp;row=94&amp;col=7&amp;number=0.871&amp;sourceID=14","0.871")</f>
        <v>0.871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HYPERLINK("http://141.218.60.56/~jnz1568/getInfo.php?workbook=18_08.xlsx&amp;sheet=U0&amp;row=95&amp;col=6&amp;number=4.1&amp;sourceID=14","4.1")</f>
        <v>4.1</v>
      </c>
      <c r="G95" s="4" t="str">
        <f>HYPERLINK("http://141.218.60.56/~jnz1568/getInfo.php?workbook=18_08.xlsx&amp;sheet=U0&amp;row=95&amp;col=7&amp;number=0.872&amp;sourceID=14","0.872")</f>
        <v>0.872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HYPERLINK("http://141.218.60.56/~jnz1568/getInfo.php?workbook=18_08.xlsx&amp;sheet=U0&amp;row=96&amp;col=6&amp;number=4.2&amp;sourceID=14","4.2")</f>
        <v>4.2</v>
      </c>
      <c r="G96" s="4" t="str">
        <f>HYPERLINK("http://141.218.60.56/~jnz1568/getInfo.php?workbook=18_08.xlsx&amp;sheet=U0&amp;row=96&amp;col=7&amp;number=0.873&amp;sourceID=14","0.873")</f>
        <v>0.873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HYPERLINK("http://141.218.60.56/~jnz1568/getInfo.php?workbook=18_08.xlsx&amp;sheet=U0&amp;row=97&amp;col=6&amp;number=4.3&amp;sourceID=14","4.3")</f>
        <v>4.3</v>
      </c>
      <c r="G97" s="4" t="str">
        <f>HYPERLINK("http://141.218.60.56/~jnz1568/getInfo.php?workbook=18_08.xlsx&amp;sheet=U0&amp;row=97&amp;col=7&amp;number=0.874&amp;sourceID=14","0.874")</f>
        <v>0.874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HYPERLINK("http://141.218.60.56/~jnz1568/getInfo.php?workbook=18_08.xlsx&amp;sheet=U0&amp;row=98&amp;col=6&amp;number=4.4&amp;sourceID=14","4.4")</f>
        <v>4.4</v>
      </c>
      <c r="G98" s="4" t="str">
        <f>HYPERLINK("http://141.218.60.56/~jnz1568/getInfo.php?workbook=18_08.xlsx&amp;sheet=U0&amp;row=98&amp;col=7&amp;number=0.875&amp;sourceID=14","0.875")</f>
        <v>0.875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HYPERLINK("http://141.218.60.56/~jnz1568/getInfo.php?workbook=18_08.xlsx&amp;sheet=U0&amp;row=99&amp;col=6&amp;number=4.5&amp;sourceID=14","4.5")</f>
        <v>4.5</v>
      </c>
      <c r="G99" s="4" t="str">
        <f>HYPERLINK("http://141.218.60.56/~jnz1568/getInfo.php?workbook=18_08.xlsx&amp;sheet=U0&amp;row=99&amp;col=7&amp;number=0.877&amp;sourceID=14","0.877")</f>
        <v>0.877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HYPERLINK("http://141.218.60.56/~jnz1568/getInfo.php?workbook=18_08.xlsx&amp;sheet=U0&amp;row=100&amp;col=6&amp;number=4.6&amp;sourceID=14","4.6")</f>
        <v>4.6</v>
      </c>
      <c r="G100" s="4" t="str">
        <f>HYPERLINK("http://141.218.60.56/~jnz1568/getInfo.php?workbook=18_08.xlsx&amp;sheet=U0&amp;row=100&amp;col=7&amp;number=0.879&amp;sourceID=14","0.879")</f>
        <v>0.879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HYPERLINK("http://141.218.60.56/~jnz1568/getInfo.php?workbook=18_08.xlsx&amp;sheet=U0&amp;row=101&amp;col=6&amp;number=4.7&amp;sourceID=14","4.7")</f>
        <v>4.7</v>
      </c>
      <c r="G101" s="4" t="str">
        <f>HYPERLINK("http://141.218.60.56/~jnz1568/getInfo.php?workbook=18_08.xlsx&amp;sheet=U0&amp;row=101&amp;col=7&amp;number=0.882&amp;sourceID=14","0.882")</f>
        <v>0.882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HYPERLINK("http://141.218.60.56/~jnz1568/getInfo.php?workbook=18_08.xlsx&amp;sheet=U0&amp;row=102&amp;col=6&amp;number=4.8&amp;sourceID=14","4.8")</f>
        <v>4.8</v>
      </c>
      <c r="G102" s="4" t="str">
        <f>HYPERLINK("http://141.218.60.56/~jnz1568/getInfo.php?workbook=18_08.xlsx&amp;sheet=U0&amp;row=102&amp;col=7&amp;number=0.886&amp;sourceID=14","0.886")</f>
        <v>0.886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HYPERLINK("http://141.218.60.56/~jnz1568/getInfo.php?workbook=18_08.xlsx&amp;sheet=U0&amp;row=103&amp;col=6&amp;number=4.9&amp;sourceID=14","4.9")</f>
        <v>4.9</v>
      </c>
      <c r="G103" s="4" t="str">
        <f>HYPERLINK("http://141.218.60.56/~jnz1568/getInfo.php?workbook=18_08.xlsx&amp;sheet=U0&amp;row=103&amp;col=7&amp;number=0.89&amp;sourceID=14","0.89")</f>
        <v>0.89</v>
      </c>
    </row>
    <row r="104" spans="1:7">
      <c r="A104" s="3">
        <v>18</v>
      </c>
      <c r="B104" s="3">
        <v>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HYPERLINK("http://141.218.60.56/~jnz1568/getInfo.php?workbook=18_08.xlsx&amp;sheet=U0&amp;row=104&amp;col=6&amp;number=3&amp;sourceID=14","3")</f>
        <v>3</v>
      </c>
      <c r="G104" s="4" t="str">
        <f>HYPERLINK("http://141.218.60.56/~jnz1568/getInfo.php?workbook=18_08.xlsx&amp;sheet=U0&amp;row=104&amp;col=7&amp;number=0.299&amp;sourceID=14","0.299")</f>
        <v>0.299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HYPERLINK("http://141.218.60.56/~jnz1568/getInfo.php?workbook=18_08.xlsx&amp;sheet=U0&amp;row=105&amp;col=6&amp;number=3.1&amp;sourceID=14","3.1")</f>
        <v>3.1</v>
      </c>
      <c r="G105" s="4" t="str">
        <f>HYPERLINK("http://141.218.60.56/~jnz1568/getInfo.php?workbook=18_08.xlsx&amp;sheet=U0&amp;row=105&amp;col=7&amp;number=0.299&amp;sourceID=14","0.299")</f>
        <v>0.299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HYPERLINK("http://141.218.60.56/~jnz1568/getInfo.php?workbook=18_08.xlsx&amp;sheet=U0&amp;row=106&amp;col=6&amp;number=3.2&amp;sourceID=14","3.2")</f>
        <v>3.2</v>
      </c>
      <c r="G106" s="4" t="str">
        <f>HYPERLINK("http://141.218.60.56/~jnz1568/getInfo.php?workbook=18_08.xlsx&amp;sheet=U0&amp;row=106&amp;col=7&amp;number=0.299&amp;sourceID=14","0.299")</f>
        <v>0.299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HYPERLINK("http://141.218.60.56/~jnz1568/getInfo.php?workbook=18_08.xlsx&amp;sheet=U0&amp;row=107&amp;col=6&amp;number=3.3&amp;sourceID=14","3.3")</f>
        <v>3.3</v>
      </c>
      <c r="G107" s="4" t="str">
        <f>HYPERLINK("http://141.218.60.56/~jnz1568/getInfo.php?workbook=18_08.xlsx&amp;sheet=U0&amp;row=107&amp;col=7&amp;number=0.299&amp;sourceID=14","0.299")</f>
        <v>0.299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HYPERLINK("http://141.218.60.56/~jnz1568/getInfo.php?workbook=18_08.xlsx&amp;sheet=U0&amp;row=108&amp;col=6&amp;number=3.4&amp;sourceID=14","3.4")</f>
        <v>3.4</v>
      </c>
      <c r="G108" s="4" t="str">
        <f>HYPERLINK("http://141.218.60.56/~jnz1568/getInfo.php?workbook=18_08.xlsx&amp;sheet=U0&amp;row=108&amp;col=7&amp;number=0.299&amp;sourceID=14","0.299")</f>
        <v>0.299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HYPERLINK("http://141.218.60.56/~jnz1568/getInfo.php?workbook=18_08.xlsx&amp;sheet=U0&amp;row=109&amp;col=6&amp;number=3.5&amp;sourceID=14","3.5")</f>
        <v>3.5</v>
      </c>
      <c r="G109" s="4" t="str">
        <f>HYPERLINK("http://141.218.60.56/~jnz1568/getInfo.php?workbook=18_08.xlsx&amp;sheet=U0&amp;row=109&amp;col=7&amp;number=0.299&amp;sourceID=14","0.299")</f>
        <v>0.299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HYPERLINK("http://141.218.60.56/~jnz1568/getInfo.php?workbook=18_08.xlsx&amp;sheet=U0&amp;row=110&amp;col=6&amp;number=3.6&amp;sourceID=14","3.6")</f>
        <v>3.6</v>
      </c>
      <c r="G110" s="4" t="str">
        <f>HYPERLINK("http://141.218.60.56/~jnz1568/getInfo.php?workbook=18_08.xlsx&amp;sheet=U0&amp;row=110&amp;col=7&amp;number=0.299&amp;sourceID=14","0.299")</f>
        <v>0.299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HYPERLINK("http://141.218.60.56/~jnz1568/getInfo.php?workbook=18_08.xlsx&amp;sheet=U0&amp;row=111&amp;col=6&amp;number=3.7&amp;sourceID=14","3.7")</f>
        <v>3.7</v>
      </c>
      <c r="G111" s="4" t="str">
        <f>HYPERLINK("http://141.218.60.56/~jnz1568/getInfo.php?workbook=18_08.xlsx&amp;sheet=U0&amp;row=111&amp;col=7&amp;number=0.299&amp;sourceID=14","0.299")</f>
        <v>0.299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HYPERLINK("http://141.218.60.56/~jnz1568/getInfo.php?workbook=18_08.xlsx&amp;sheet=U0&amp;row=112&amp;col=6&amp;number=3.8&amp;sourceID=14","3.8")</f>
        <v>3.8</v>
      </c>
      <c r="G112" s="4" t="str">
        <f>HYPERLINK("http://141.218.60.56/~jnz1568/getInfo.php?workbook=18_08.xlsx&amp;sheet=U0&amp;row=112&amp;col=7&amp;number=0.299&amp;sourceID=14","0.299")</f>
        <v>0.299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HYPERLINK("http://141.218.60.56/~jnz1568/getInfo.php?workbook=18_08.xlsx&amp;sheet=U0&amp;row=113&amp;col=6&amp;number=3.9&amp;sourceID=14","3.9")</f>
        <v>3.9</v>
      </c>
      <c r="G113" s="4" t="str">
        <f>HYPERLINK("http://141.218.60.56/~jnz1568/getInfo.php?workbook=18_08.xlsx&amp;sheet=U0&amp;row=113&amp;col=7&amp;number=0.3&amp;sourceID=14","0.3")</f>
        <v>0.3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HYPERLINK("http://141.218.60.56/~jnz1568/getInfo.php?workbook=18_08.xlsx&amp;sheet=U0&amp;row=114&amp;col=6&amp;number=4&amp;sourceID=14","4")</f>
        <v>4</v>
      </c>
      <c r="G114" s="4" t="str">
        <f>HYPERLINK("http://141.218.60.56/~jnz1568/getInfo.php?workbook=18_08.xlsx&amp;sheet=U0&amp;row=114&amp;col=7&amp;number=0.3&amp;sourceID=14","0.3")</f>
        <v>0.3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HYPERLINK("http://141.218.60.56/~jnz1568/getInfo.php?workbook=18_08.xlsx&amp;sheet=U0&amp;row=115&amp;col=6&amp;number=4.1&amp;sourceID=14","4.1")</f>
        <v>4.1</v>
      </c>
      <c r="G115" s="4" t="str">
        <f>HYPERLINK("http://141.218.60.56/~jnz1568/getInfo.php?workbook=18_08.xlsx&amp;sheet=U0&amp;row=115&amp;col=7&amp;number=0.3&amp;sourceID=14","0.3")</f>
        <v>0.3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HYPERLINK("http://141.218.60.56/~jnz1568/getInfo.php?workbook=18_08.xlsx&amp;sheet=U0&amp;row=116&amp;col=6&amp;number=4.2&amp;sourceID=14","4.2")</f>
        <v>4.2</v>
      </c>
      <c r="G116" s="4" t="str">
        <f>HYPERLINK("http://141.218.60.56/~jnz1568/getInfo.php?workbook=18_08.xlsx&amp;sheet=U0&amp;row=116&amp;col=7&amp;number=0.3&amp;sourceID=14","0.3")</f>
        <v>0.3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HYPERLINK("http://141.218.60.56/~jnz1568/getInfo.php?workbook=18_08.xlsx&amp;sheet=U0&amp;row=117&amp;col=6&amp;number=4.3&amp;sourceID=14","4.3")</f>
        <v>4.3</v>
      </c>
      <c r="G117" s="4" t="str">
        <f>HYPERLINK("http://141.218.60.56/~jnz1568/getInfo.php?workbook=18_08.xlsx&amp;sheet=U0&amp;row=117&amp;col=7&amp;number=0.301&amp;sourceID=14","0.301")</f>
        <v>0.301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HYPERLINK("http://141.218.60.56/~jnz1568/getInfo.php?workbook=18_08.xlsx&amp;sheet=U0&amp;row=118&amp;col=6&amp;number=4.4&amp;sourceID=14","4.4")</f>
        <v>4.4</v>
      </c>
      <c r="G118" s="4" t="str">
        <f>HYPERLINK("http://141.218.60.56/~jnz1568/getInfo.php?workbook=18_08.xlsx&amp;sheet=U0&amp;row=118&amp;col=7&amp;number=0.301&amp;sourceID=14","0.301")</f>
        <v>0.301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HYPERLINK("http://141.218.60.56/~jnz1568/getInfo.php?workbook=18_08.xlsx&amp;sheet=U0&amp;row=119&amp;col=6&amp;number=4.5&amp;sourceID=14","4.5")</f>
        <v>4.5</v>
      </c>
      <c r="G119" s="4" t="str">
        <f>HYPERLINK("http://141.218.60.56/~jnz1568/getInfo.php?workbook=18_08.xlsx&amp;sheet=U0&amp;row=119&amp;col=7&amp;number=0.302&amp;sourceID=14","0.302")</f>
        <v>0.302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HYPERLINK("http://141.218.60.56/~jnz1568/getInfo.php?workbook=18_08.xlsx&amp;sheet=U0&amp;row=120&amp;col=6&amp;number=4.6&amp;sourceID=14","4.6")</f>
        <v>4.6</v>
      </c>
      <c r="G120" s="4" t="str">
        <f>HYPERLINK("http://141.218.60.56/~jnz1568/getInfo.php?workbook=18_08.xlsx&amp;sheet=U0&amp;row=120&amp;col=7&amp;number=0.303&amp;sourceID=14","0.303")</f>
        <v>0.303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HYPERLINK("http://141.218.60.56/~jnz1568/getInfo.php?workbook=18_08.xlsx&amp;sheet=U0&amp;row=121&amp;col=6&amp;number=4.7&amp;sourceID=14","4.7")</f>
        <v>4.7</v>
      </c>
      <c r="G121" s="4" t="str">
        <f>HYPERLINK("http://141.218.60.56/~jnz1568/getInfo.php?workbook=18_08.xlsx&amp;sheet=U0&amp;row=121&amp;col=7&amp;number=0.303&amp;sourceID=14","0.303")</f>
        <v>0.303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HYPERLINK("http://141.218.60.56/~jnz1568/getInfo.php?workbook=18_08.xlsx&amp;sheet=U0&amp;row=122&amp;col=6&amp;number=4.8&amp;sourceID=14","4.8")</f>
        <v>4.8</v>
      </c>
      <c r="G122" s="4" t="str">
        <f>HYPERLINK("http://141.218.60.56/~jnz1568/getInfo.php?workbook=18_08.xlsx&amp;sheet=U0&amp;row=122&amp;col=7&amp;number=0.305&amp;sourceID=14","0.305")</f>
        <v>0.305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HYPERLINK("http://141.218.60.56/~jnz1568/getInfo.php?workbook=18_08.xlsx&amp;sheet=U0&amp;row=123&amp;col=6&amp;number=4.9&amp;sourceID=14","4.9")</f>
        <v>4.9</v>
      </c>
      <c r="G123" s="4" t="str">
        <f>HYPERLINK("http://141.218.60.56/~jnz1568/getInfo.php?workbook=18_08.xlsx&amp;sheet=U0&amp;row=123&amp;col=7&amp;number=0.306&amp;sourceID=14","0.306")</f>
        <v>0.306</v>
      </c>
    </row>
    <row r="124" spans="1:7">
      <c r="A124" s="3">
        <v>18</v>
      </c>
      <c r="B124" s="3">
        <v>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HYPERLINK("http://141.218.60.56/~jnz1568/getInfo.php?workbook=18_08.xlsx&amp;sheet=U0&amp;row=124&amp;col=6&amp;number=3&amp;sourceID=14","3")</f>
        <v>3</v>
      </c>
      <c r="G124" s="4" t="str">
        <f>HYPERLINK("http://141.218.60.56/~jnz1568/getInfo.php?workbook=18_08.xlsx&amp;sheet=U0&amp;row=124&amp;col=7&amp;number=0.00255&amp;sourceID=14","0.00255")</f>
        <v>0.00255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HYPERLINK("http://141.218.60.56/~jnz1568/getInfo.php?workbook=18_08.xlsx&amp;sheet=U0&amp;row=125&amp;col=6&amp;number=3.1&amp;sourceID=14","3.1")</f>
        <v>3.1</v>
      </c>
      <c r="G125" s="4" t="str">
        <f>HYPERLINK("http://141.218.60.56/~jnz1568/getInfo.php?workbook=18_08.xlsx&amp;sheet=U0&amp;row=125&amp;col=7&amp;number=0.00255&amp;sourceID=14","0.00255")</f>
        <v>0.00255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HYPERLINK("http://141.218.60.56/~jnz1568/getInfo.php?workbook=18_08.xlsx&amp;sheet=U0&amp;row=126&amp;col=6&amp;number=3.2&amp;sourceID=14","3.2")</f>
        <v>3.2</v>
      </c>
      <c r="G126" s="4" t="str">
        <f>HYPERLINK("http://141.218.60.56/~jnz1568/getInfo.php?workbook=18_08.xlsx&amp;sheet=U0&amp;row=126&amp;col=7&amp;number=0.00255&amp;sourceID=14","0.00255")</f>
        <v>0.00255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HYPERLINK("http://141.218.60.56/~jnz1568/getInfo.php?workbook=18_08.xlsx&amp;sheet=U0&amp;row=127&amp;col=6&amp;number=3.3&amp;sourceID=14","3.3")</f>
        <v>3.3</v>
      </c>
      <c r="G127" s="4" t="str">
        <f>HYPERLINK("http://141.218.60.56/~jnz1568/getInfo.php?workbook=18_08.xlsx&amp;sheet=U0&amp;row=127&amp;col=7&amp;number=0.00255&amp;sourceID=14","0.00255")</f>
        <v>0.00255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HYPERLINK("http://141.218.60.56/~jnz1568/getInfo.php?workbook=18_08.xlsx&amp;sheet=U0&amp;row=128&amp;col=6&amp;number=3.4&amp;sourceID=14","3.4")</f>
        <v>3.4</v>
      </c>
      <c r="G128" s="4" t="str">
        <f>HYPERLINK("http://141.218.60.56/~jnz1568/getInfo.php?workbook=18_08.xlsx&amp;sheet=U0&amp;row=128&amp;col=7&amp;number=0.00255&amp;sourceID=14","0.00255")</f>
        <v>0.00255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HYPERLINK("http://141.218.60.56/~jnz1568/getInfo.php?workbook=18_08.xlsx&amp;sheet=U0&amp;row=129&amp;col=6&amp;number=3.5&amp;sourceID=14","3.5")</f>
        <v>3.5</v>
      </c>
      <c r="G129" s="4" t="str">
        <f>HYPERLINK("http://141.218.60.56/~jnz1568/getInfo.php?workbook=18_08.xlsx&amp;sheet=U0&amp;row=129&amp;col=7&amp;number=0.00255&amp;sourceID=14","0.00255")</f>
        <v>0.00255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HYPERLINK("http://141.218.60.56/~jnz1568/getInfo.php?workbook=18_08.xlsx&amp;sheet=U0&amp;row=130&amp;col=6&amp;number=3.6&amp;sourceID=14","3.6")</f>
        <v>3.6</v>
      </c>
      <c r="G130" s="4" t="str">
        <f>HYPERLINK("http://141.218.60.56/~jnz1568/getInfo.php?workbook=18_08.xlsx&amp;sheet=U0&amp;row=130&amp;col=7&amp;number=0.00254&amp;sourceID=14","0.00254")</f>
        <v>0.00254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HYPERLINK("http://141.218.60.56/~jnz1568/getInfo.php?workbook=18_08.xlsx&amp;sheet=U0&amp;row=131&amp;col=6&amp;number=3.7&amp;sourceID=14","3.7")</f>
        <v>3.7</v>
      </c>
      <c r="G131" s="4" t="str">
        <f>HYPERLINK("http://141.218.60.56/~jnz1568/getInfo.php?workbook=18_08.xlsx&amp;sheet=U0&amp;row=131&amp;col=7&amp;number=0.00254&amp;sourceID=14","0.00254")</f>
        <v>0.00254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HYPERLINK("http://141.218.60.56/~jnz1568/getInfo.php?workbook=18_08.xlsx&amp;sheet=U0&amp;row=132&amp;col=6&amp;number=3.8&amp;sourceID=14","3.8")</f>
        <v>3.8</v>
      </c>
      <c r="G132" s="4" t="str">
        <f>HYPERLINK("http://141.218.60.56/~jnz1568/getInfo.php?workbook=18_08.xlsx&amp;sheet=U0&amp;row=132&amp;col=7&amp;number=0.00254&amp;sourceID=14","0.00254")</f>
        <v>0.00254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HYPERLINK("http://141.218.60.56/~jnz1568/getInfo.php?workbook=18_08.xlsx&amp;sheet=U0&amp;row=133&amp;col=6&amp;number=3.9&amp;sourceID=14","3.9")</f>
        <v>3.9</v>
      </c>
      <c r="G133" s="4" t="str">
        <f>HYPERLINK("http://141.218.60.56/~jnz1568/getInfo.php?workbook=18_08.xlsx&amp;sheet=U0&amp;row=133&amp;col=7&amp;number=0.00254&amp;sourceID=14","0.00254")</f>
        <v>0.00254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HYPERLINK("http://141.218.60.56/~jnz1568/getInfo.php?workbook=18_08.xlsx&amp;sheet=U0&amp;row=134&amp;col=6&amp;number=4&amp;sourceID=14","4")</f>
        <v>4</v>
      </c>
      <c r="G134" s="4" t="str">
        <f>HYPERLINK("http://141.218.60.56/~jnz1568/getInfo.php?workbook=18_08.xlsx&amp;sheet=U0&amp;row=134&amp;col=7&amp;number=0.00254&amp;sourceID=14","0.00254")</f>
        <v>0.00254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HYPERLINK("http://141.218.60.56/~jnz1568/getInfo.php?workbook=18_08.xlsx&amp;sheet=U0&amp;row=135&amp;col=6&amp;number=4.1&amp;sourceID=14","4.1")</f>
        <v>4.1</v>
      </c>
      <c r="G135" s="4" t="str">
        <f>HYPERLINK("http://141.218.60.56/~jnz1568/getInfo.php?workbook=18_08.xlsx&amp;sheet=U0&amp;row=135&amp;col=7&amp;number=0.00254&amp;sourceID=14","0.00254")</f>
        <v>0.00254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HYPERLINK("http://141.218.60.56/~jnz1568/getInfo.php?workbook=18_08.xlsx&amp;sheet=U0&amp;row=136&amp;col=6&amp;number=4.2&amp;sourceID=14","4.2")</f>
        <v>4.2</v>
      </c>
      <c r="G136" s="4" t="str">
        <f>HYPERLINK("http://141.218.60.56/~jnz1568/getInfo.php?workbook=18_08.xlsx&amp;sheet=U0&amp;row=136&amp;col=7&amp;number=0.00254&amp;sourceID=14","0.00254")</f>
        <v>0.00254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HYPERLINK("http://141.218.60.56/~jnz1568/getInfo.php?workbook=18_08.xlsx&amp;sheet=U0&amp;row=137&amp;col=6&amp;number=4.3&amp;sourceID=14","4.3")</f>
        <v>4.3</v>
      </c>
      <c r="G137" s="4" t="str">
        <f>HYPERLINK("http://141.218.60.56/~jnz1568/getInfo.php?workbook=18_08.xlsx&amp;sheet=U0&amp;row=137&amp;col=7&amp;number=0.00254&amp;sourceID=14","0.00254")</f>
        <v>0.00254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HYPERLINK("http://141.218.60.56/~jnz1568/getInfo.php?workbook=18_08.xlsx&amp;sheet=U0&amp;row=138&amp;col=6&amp;number=4.4&amp;sourceID=14","4.4")</f>
        <v>4.4</v>
      </c>
      <c r="G138" s="4" t="str">
        <f>HYPERLINK("http://141.218.60.56/~jnz1568/getInfo.php?workbook=18_08.xlsx&amp;sheet=U0&amp;row=138&amp;col=7&amp;number=0.00254&amp;sourceID=14","0.00254")</f>
        <v>0.00254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HYPERLINK("http://141.218.60.56/~jnz1568/getInfo.php?workbook=18_08.xlsx&amp;sheet=U0&amp;row=139&amp;col=6&amp;number=4.5&amp;sourceID=14","4.5")</f>
        <v>4.5</v>
      </c>
      <c r="G139" s="4" t="str">
        <f>HYPERLINK("http://141.218.60.56/~jnz1568/getInfo.php?workbook=18_08.xlsx&amp;sheet=U0&amp;row=139&amp;col=7&amp;number=0.00254&amp;sourceID=14","0.00254")</f>
        <v>0.00254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HYPERLINK("http://141.218.60.56/~jnz1568/getInfo.php?workbook=18_08.xlsx&amp;sheet=U0&amp;row=140&amp;col=6&amp;number=4.6&amp;sourceID=14","4.6")</f>
        <v>4.6</v>
      </c>
      <c r="G140" s="4" t="str">
        <f>HYPERLINK("http://141.218.60.56/~jnz1568/getInfo.php?workbook=18_08.xlsx&amp;sheet=U0&amp;row=140&amp;col=7&amp;number=0.00253&amp;sourceID=14","0.00253")</f>
        <v>0.00253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HYPERLINK("http://141.218.60.56/~jnz1568/getInfo.php?workbook=18_08.xlsx&amp;sheet=U0&amp;row=141&amp;col=6&amp;number=4.7&amp;sourceID=14","4.7")</f>
        <v>4.7</v>
      </c>
      <c r="G141" s="4" t="str">
        <f>HYPERLINK("http://141.218.60.56/~jnz1568/getInfo.php?workbook=18_08.xlsx&amp;sheet=U0&amp;row=141&amp;col=7&amp;number=0.00253&amp;sourceID=14","0.00253")</f>
        <v>0.00253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HYPERLINK("http://141.218.60.56/~jnz1568/getInfo.php?workbook=18_08.xlsx&amp;sheet=U0&amp;row=142&amp;col=6&amp;number=4.8&amp;sourceID=14","4.8")</f>
        <v>4.8</v>
      </c>
      <c r="G142" s="4" t="str">
        <f>HYPERLINK("http://141.218.60.56/~jnz1568/getInfo.php?workbook=18_08.xlsx&amp;sheet=U0&amp;row=142&amp;col=7&amp;number=0.00253&amp;sourceID=14","0.00253")</f>
        <v>0.00253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HYPERLINK("http://141.218.60.56/~jnz1568/getInfo.php?workbook=18_08.xlsx&amp;sheet=U0&amp;row=143&amp;col=6&amp;number=4.9&amp;sourceID=14","4.9")</f>
        <v>4.9</v>
      </c>
      <c r="G143" s="4" t="str">
        <f>HYPERLINK("http://141.218.60.56/~jnz1568/getInfo.php?workbook=18_08.xlsx&amp;sheet=U0&amp;row=143&amp;col=7&amp;number=0.00252&amp;sourceID=14","0.00252")</f>
        <v>0.00252</v>
      </c>
    </row>
    <row r="144" spans="1:7">
      <c r="A144" s="3">
        <v>18</v>
      </c>
      <c r="B144" s="3">
        <v>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HYPERLINK("http://141.218.60.56/~jnz1568/getInfo.php?workbook=18_08.xlsx&amp;sheet=U0&amp;row=144&amp;col=6&amp;number=3&amp;sourceID=14","3")</f>
        <v>3</v>
      </c>
      <c r="G144" s="4" t="str">
        <f>HYPERLINK("http://141.218.60.56/~jnz1568/getInfo.php?workbook=18_08.xlsx&amp;sheet=U0&amp;row=144&amp;col=7&amp;number=0.0333&amp;sourceID=14","0.0333")</f>
        <v>0.0333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HYPERLINK("http://141.218.60.56/~jnz1568/getInfo.php?workbook=18_08.xlsx&amp;sheet=U0&amp;row=145&amp;col=6&amp;number=3.1&amp;sourceID=14","3.1")</f>
        <v>3.1</v>
      </c>
      <c r="G145" s="4" t="str">
        <f>HYPERLINK("http://141.218.60.56/~jnz1568/getInfo.php?workbook=18_08.xlsx&amp;sheet=U0&amp;row=145&amp;col=7&amp;number=0.0333&amp;sourceID=14","0.0333")</f>
        <v>0.0333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HYPERLINK("http://141.218.60.56/~jnz1568/getInfo.php?workbook=18_08.xlsx&amp;sheet=U0&amp;row=146&amp;col=6&amp;number=3.2&amp;sourceID=14","3.2")</f>
        <v>3.2</v>
      </c>
      <c r="G146" s="4" t="str">
        <f>HYPERLINK("http://141.218.60.56/~jnz1568/getInfo.php?workbook=18_08.xlsx&amp;sheet=U0&amp;row=146&amp;col=7&amp;number=0.0333&amp;sourceID=14","0.0333")</f>
        <v>0.0333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HYPERLINK("http://141.218.60.56/~jnz1568/getInfo.php?workbook=18_08.xlsx&amp;sheet=U0&amp;row=147&amp;col=6&amp;number=3.3&amp;sourceID=14","3.3")</f>
        <v>3.3</v>
      </c>
      <c r="G147" s="4" t="str">
        <f>HYPERLINK("http://141.218.60.56/~jnz1568/getInfo.php?workbook=18_08.xlsx&amp;sheet=U0&amp;row=147&amp;col=7&amp;number=0.0333&amp;sourceID=14","0.0333")</f>
        <v>0.0333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HYPERLINK("http://141.218.60.56/~jnz1568/getInfo.php?workbook=18_08.xlsx&amp;sheet=U0&amp;row=148&amp;col=6&amp;number=3.4&amp;sourceID=14","3.4")</f>
        <v>3.4</v>
      </c>
      <c r="G148" s="4" t="str">
        <f>HYPERLINK("http://141.218.60.56/~jnz1568/getInfo.php?workbook=18_08.xlsx&amp;sheet=U0&amp;row=148&amp;col=7&amp;number=0.0333&amp;sourceID=14","0.0333")</f>
        <v>0.0333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HYPERLINK("http://141.218.60.56/~jnz1568/getInfo.php?workbook=18_08.xlsx&amp;sheet=U0&amp;row=149&amp;col=6&amp;number=3.5&amp;sourceID=14","3.5")</f>
        <v>3.5</v>
      </c>
      <c r="G149" s="4" t="str">
        <f>HYPERLINK("http://141.218.60.56/~jnz1568/getInfo.php?workbook=18_08.xlsx&amp;sheet=U0&amp;row=149&amp;col=7&amp;number=0.0333&amp;sourceID=14","0.0333")</f>
        <v>0.0333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HYPERLINK("http://141.218.60.56/~jnz1568/getInfo.php?workbook=18_08.xlsx&amp;sheet=U0&amp;row=150&amp;col=6&amp;number=3.6&amp;sourceID=14","3.6")</f>
        <v>3.6</v>
      </c>
      <c r="G150" s="4" t="str">
        <f>HYPERLINK("http://141.218.60.56/~jnz1568/getInfo.php?workbook=18_08.xlsx&amp;sheet=U0&amp;row=150&amp;col=7&amp;number=0.0333&amp;sourceID=14","0.0333")</f>
        <v>0.0333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HYPERLINK("http://141.218.60.56/~jnz1568/getInfo.php?workbook=18_08.xlsx&amp;sheet=U0&amp;row=151&amp;col=6&amp;number=3.7&amp;sourceID=14","3.7")</f>
        <v>3.7</v>
      </c>
      <c r="G151" s="4" t="str">
        <f>HYPERLINK("http://141.218.60.56/~jnz1568/getInfo.php?workbook=18_08.xlsx&amp;sheet=U0&amp;row=151&amp;col=7&amp;number=0.0333&amp;sourceID=14","0.0333")</f>
        <v>0.0333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HYPERLINK("http://141.218.60.56/~jnz1568/getInfo.php?workbook=18_08.xlsx&amp;sheet=U0&amp;row=152&amp;col=6&amp;number=3.8&amp;sourceID=14","3.8")</f>
        <v>3.8</v>
      </c>
      <c r="G152" s="4" t="str">
        <f>HYPERLINK("http://141.218.60.56/~jnz1568/getInfo.php?workbook=18_08.xlsx&amp;sheet=U0&amp;row=152&amp;col=7&amp;number=0.0333&amp;sourceID=14","0.0333")</f>
        <v>0.0333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HYPERLINK("http://141.218.60.56/~jnz1568/getInfo.php?workbook=18_08.xlsx&amp;sheet=U0&amp;row=153&amp;col=6&amp;number=3.9&amp;sourceID=14","3.9")</f>
        <v>3.9</v>
      </c>
      <c r="G153" s="4" t="str">
        <f>HYPERLINK("http://141.218.60.56/~jnz1568/getInfo.php?workbook=18_08.xlsx&amp;sheet=U0&amp;row=153&amp;col=7&amp;number=0.0333&amp;sourceID=14","0.0333")</f>
        <v>0.0333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HYPERLINK("http://141.218.60.56/~jnz1568/getInfo.php?workbook=18_08.xlsx&amp;sheet=U0&amp;row=154&amp;col=6&amp;number=4&amp;sourceID=14","4")</f>
        <v>4</v>
      </c>
      <c r="G154" s="4" t="str">
        <f>HYPERLINK("http://141.218.60.56/~jnz1568/getInfo.php?workbook=18_08.xlsx&amp;sheet=U0&amp;row=154&amp;col=7&amp;number=0.0333&amp;sourceID=14","0.0333")</f>
        <v>0.0333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HYPERLINK("http://141.218.60.56/~jnz1568/getInfo.php?workbook=18_08.xlsx&amp;sheet=U0&amp;row=155&amp;col=6&amp;number=4.1&amp;sourceID=14","4.1")</f>
        <v>4.1</v>
      </c>
      <c r="G155" s="4" t="str">
        <f>HYPERLINK("http://141.218.60.56/~jnz1568/getInfo.php?workbook=18_08.xlsx&amp;sheet=U0&amp;row=155&amp;col=7&amp;number=0.0333&amp;sourceID=14","0.0333")</f>
        <v>0.0333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HYPERLINK("http://141.218.60.56/~jnz1568/getInfo.php?workbook=18_08.xlsx&amp;sheet=U0&amp;row=156&amp;col=6&amp;number=4.2&amp;sourceID=14","4.2")</f>
        <v>4.2</v>
      </c>
      <c r="G156" s="4" t="str">
        <f>HYPERLINK("http://141.218.60.56/~jnz1568/getInfo.php?workbook=18_08.xlsx&amp;sheet=U0&amp;row=156&amp;col=7&amp;number=0.0333&amp;sourceID=14","0.0333")</f>
        <v>0.0333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HYPERLINK("http://141.218.60.56/~jnz1568/getInfo.php?workbook=18_08.xlsx&amp;sheet=U0&amp;row=157&amp;col=6&amp;number=4.3&amp;sourceID=14","4.3")</f>
        <v>4.3</v>
      </c>
      <c r="G157" s="4" t="str">
        <f>HYPERLINK("http://141.218.60.56/~jnz1568/getInfo.php?workbook=18_08.xlsx&amp;sheet=U0&amp;row=157&amp;col=7&amp;number=0.0333&amp;sourceID=14","0.0333")</f>
        <v>0.0333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HYPERLINK("http://141.218.60.56/~jnz1568/getInfo.php?workbook=18_08.xlsx&amp;sheet=U0&amp;row=158&amp;col=6&amp;number=4.4&amp;sourceID=14","4.4")</f>
        <v>4.4</v>
      </c>
      <c r="G158" s="4" t="str">
        <f>HYPERLINK("http://141.218.60.56/~jnz1568/getInfo.php?workbook=18_08.xlsx&amp;sheet=U0&amp;row=158&amp;col=7&amp;number=0.0332&amp;sourceID=14","0.0332")</f>
        <v>0.0332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HYPERLINK("http://141.218.60.56/~jnz1568/getInfo.php?workbook=18_08.xlsx&amp;sheet=U0&amp;row=159&amp;col=6&amp;number=4.5&amp;sourceID=14","4.5")</f>
        <v>4.5</v>
      </c>
      <c r="G159" s="4" t="str">
        <f>HYPERLINK("http://141.218.60.56/~jnz1568/getInfo.php?workbook=18_08.xlsx&amp;sheet=U0&amp;row=159&amp;col=7&amp;number=0.0332&amp;sourceID=14","0.0332")</f>
        <v>0.0332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HYPERLINK("http://141.218.60.56/~jnz1568/getInfo.php?workbook=18_08.xlsx&amp;sheet=U0&amp;row=160&amp;col=6&amp;number=4.6&amp;sourceID=14","4.6")</f>
        <v>4.6</v>
      </c>
      <c r="G160" s="4" t="str">
        <f>HYPERLINK("http://141.218.60.56/~jnz1568/getInfo.php?workbook=18_08.xlsx&amp;sheet=U0&amp;row=160&amp;col=7&amp;number=0.0332&amp;sourceID=14","0.0332")</f>
        <v>0.0332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HYPERLINK("http://141.218.60.56/~jnz1568/getInfo.php?workbook=18_08.xlsx&amp;sheet=U0&amp;row=161&amp;col=6&amp;number=4.7&amp;sourceID=14","4.7")</f>
        <v>4.7</v>
      </c>
      <c r="G161" s="4" t="str">
        <f>HYPERLINK("http://141.218.60.56/~jnz1568/getInfo.php?workbook=18_08.xlsx&amp;sheet=U0&amp;row=161&amp;col=7&amp;number=0.0332&amp;sourceID=14","0.0332")</f>
        <v>0.0332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HYPERLINK("http://141.218.60.56/~jnz1568/getInfo.php?workbook=18_08.xlsx&amp;sheet=U0&amp;row=162&amp;col=6&amp;number=4.8&amp;sourceID=14","4.8")</f>
        <v>4.8</v>
      </c>
      <c r="G162" s="4" t="str">
        <f>HYPERLINK("http://141.218.60.56/~jnz1568/getInfo.php?workbook=18_08.xlsx&amp;sheet=U0&amp;row=162&amp;col=7&amp;number=0.0332&amp;sourceID=14","0.0332")</f>
        <v>0.0332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HYPERLINK("http://141.218.60.56/~jnz1568/getInfo.php?workbook=18_08.xlsx&amp;sheet=U0&amp;row=163&amp;col=6&amp;number=4.9&amp;sourceID=14","4.9")</f>
        <v>4.9</v>
      </c>
      <c r="G163" s="4" t="str">
        <f>HYPERLINK("http://141.218.60.56/~jnz1568/getInfo.php?workbook=18_08.xlsx&amp;sheet=U0&amp;row=163&amp;col=7&amp;number=0.0332&amp;sourceID=14","0.0332")</f>
        <v>0.0332</v>
      </c>
    </row>
    <row r="164" spans="1:7">
      <c r="A164" s="3">
        <v>18</v>
      </c>
      <c r="B164" s="3">
        <v>8</v>
      </c>
      <c r="C164" s="3" t="s">
        <v>46</v>
      </c>
      <c r="D164" s="3">
        <v>0</v>
      </c>
      <c r="E164" s="3">
        <v>1</v>
      </c>
      <c r="F164" s="4" t="str">
        <f>HYPERLINK("http://141.218.60.56/~jnz1568/getInfo.php?workbook=18_08.xlsx&amp;sheet=U0&amp;row=164&amp;col=6&amp;number=3&amp;sourceID=14","3")</f>
        <v>3</v>
      </c>
      <c r="G164" s="4" t="str">
        <f>HYPERLINK("http://141.218.60.56/~jnz1568/getInfo.php?workbook=18_08.xlsx&amp;sheet=U0&amp;row=164&amp;col=7&amp;number=0.000584&amp;sourceID=14","0.000584")</f>
        <v>0.000584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HYPERLINK("http://141.218.60.56/~jnz1568/getInfo.php?workbook=18_08.xlsx&amp;sheet=U0&amp;row=165&amp;col=6&amp;number=3.1&amp;sourceID=14","3.1")</f>
        <v>3.1</v>
      </c>
      <c r="G165" s="4" t="str">
        <f>HYPERLINK("http://141.218.60.56/~jnz1568/getInfo.php?workbook=18_08.xlsx&amp;sheet=U0&amp;row=165&amp;col=7&amp;number=0.000584&amp;sourceID=14","0.000584")</f>
        <v>0.000584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HYPERLINK("http://141.218.60.56/~jnz1568/getInfo.php?workbook=18_08.xlsx&amp;sheet=U0&amp;row=166&amp;col=6&amp;number=3.2&amp;sourceID=14","3.2")</f>
        <v>3.2</v>
      </c>
      <c r="G166" s="4" t="str">
        <f>HYPERLINK("http://141.218.60.56/~jnz1568/getInfo.php?workbook=18_08.xlsx&amp;sheet=U0&amp;row=166&amp;col=7&amp;number=0.000584&amp;sourceID=14","0.000584")</f>
        <v>0.000584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HYPERLINK("http://141.218.60.56/~jnz1568/getInfo.php?workbook=18_08.xlsx&amp;sheet=U0&amp;row=167&amp;col=6&amp;number=3.3&amp;sourceID=14","3.3")</f>
        <v>3.3</v>
      </c>
      <c r="G167" s="4" t="str">
        <f>HYPERLINK("http://141.218.60.56/~jnz1568/getInfo.php?workbook=18_08.xlsx&amp;sheet=U0&amp;row=167&amp;col=7&amp;number=0.000584&amp;sourceID=14","0.000584")</f>
        <v>0.000584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HYPERLINK("http://141.218.60.56/~jnz1568/getInfo.php?workbook=18_08.xlsx&amp;sheet=U0&amp;row=168&amp;col=6&amp;number=3.4&amp;sourceID=14","3.4")</f>
        <v>3.4</v>
      </c>
      <c r="G168" s="4" t="str">
        <f>HYPERLINK("http://141.218.60.56/~jnz1568/getInfo.php?workbook=18_08.xlsx&amp;sheet=U0&amp;row=168&amp;col=7&amp;number=0.000584&amp;sourceID=14","0.000584")</f>
        <v>0.000584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HYPERLINK("http://141.218.60.56/~jnz1568/getInfo.php?workbook=18_08.xlsx&amp;sheet=U0&amp;row=169&amp;col=6&amp;number=3.5&amp;sourceID=14","3.5")</f>
        <v>3.5</v>
      </c>
      <c r="G169" s="4" t="str">
        <f>HYPERLINK("http://141.218.60.56/~jnz1568/getInfo.php?workbook=18_08.xlsx&amp;sheet=U0&amp;row=169&amp;col=7&amp;number=0.000584&amp;sourceID=14","0.000584")</f>
        <v>0.000584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HYPERLINK("http://141.218.60.56/~jnz1568/getInfo.php?workbook=18_08.xlsx&amp;sheet=U0&amp;row=170&amp;col=6&amp;number=3.6&amp;sourceID=14","3.6")</f>
        <v>3.6</v>
      </c>
      <c r="G170" s="4" t="str">
        <f>HYPERLINK("http://141.218.60.56/~jnz1568/getInfo.php?workbook=18_08.xlsx&amp;sheet=U0&amp;row=170&amp;col=7&amp;number=0.000584&amp;sourceID=14","0.000584")</f>
        <v>0.000584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HYPERLINK("http://141.218.60.56/~jnz1568/getInfo.php?workbook=18_08.xlsx&amp;sheet=U0&amp;row=171&amp;col=6&amp;number=3.7&amp;sourceID=14","3.7")</f>
        <v>3.7</v>
      </c>
      <c r="G171" s="4" t="str">
        <f>HYPERLINK("http://141.218.60.56/~jnz1568/getInfo.php?workbook=18_08.xlsx&amp;sheet=U0&amp;row=171&amp;col=7&amp;number=0.000584&amp;sourceID=14","0.000584")</f>
        <v>0.000584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HYPERLINK("http://141.218.60.56/~jnz1568/getInfo.php?workbook=18_08.xlsx&amp;sheet=U0&amp;row=172&amp;col=6&amp;number=3.8&amp;sourceID=14","3.8")</f>
        <v>3.8</v>
      </c>
      <c r="G172" s="4" t="str">
        <f>HYPERLINK("http://141.218.60.56/~jnz1568/getInfo.php?workbook=18_08.xlsx&amp;sheet=U0&amp;row=172&amp;col=7&amp;number=0.000583&amp;sourceID=14","0.000583")</f>
        <v>0.000583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HYPERLINK("http://141.218.60.56/~jnz1568/getInfo.php?workbook=18_08.xlsx&amp;sheet=U0&amp;row=173&amp;col=6&amp;number=3.9&amp;sourceID=14","3.9")</f>
        <v>3.9</v>
      </c>
      <c r="G173" s="4" t="str">
        <f>HYPERLINK("http://141.218.60.56/~jnz1568/getInfo.php?workbook=18_08.xlsx&amp;sheet=U0&amp;row=173&amp;col=7&amp;number=0.000583&amp;sourceID=14","0.000583")</f>
        <v>0.000583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HYPERLINK("http://141.218.60.56/~jnz1568/getInfo.php?workbook=18_08.xlsx&amp;sheet=U0&amp;row=174&amp;col=6&amp;number=4&amp;sourceID=14","4")</f>
        <v>4</v>
      </c>
      <c r="G174" s="4" t="str">
        <f>HYPERLINK("http://141.218.60.56/~jnz1568/getInfo.php?workbook=18_08.xlsx&amp;sheet=U0&amp;row=174&amp;col=7&amp;number=0.000583&amp;sourceID=14","0.000583")</f>
        <v>0.000583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HYPERLINK("http://141.218.60.56/~jnz1568/getInfo.php?workbook=18_08.xlsx&amp;sheet=U0&amp;row=175&amp;col=6&amp;number=4.1&amp;sourceID=14","4.1")</f>
        <v>4.1</v>
      </c>
      <c r="G175" s="4" t="str">
        <f>HYPERLINK("http://141.218.60.56/~jnz1568/getInfo.php?workbook=18_08.xlsx&amp;sheet=U0&amp;row=175&amp;col=7&amp;number=0.000583&amp;sourceID=14","0.000583")</f>
        <v>0.000583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HYPERLINK("http://141.218.60.56/~jnz1568/getInfo.php?workbook=18_08.xlsx&amp;sheet=U0&amp;row=176&amp;col=6&amp;number=4.2&amp;sourceID=14","4.2")</f>
        <v>4.2</v>
      </c>
      <c r="G176" s="4" t="str">
        <f>HYPERLINK("http://141.218.60.56/~jnz1568/getInfo.php?workbook=18_08.xlsx&amp;sheet=U0&amp;row=176&amp;col=7&amp;number=0.000583&amp;sourceID=14","0.000583")</f>
        <v>0.000583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HYPERLINK("http://141.218.60.56/~jnz1568/getInfo.php?workbook=18_08.xlsx&amp;sheet=U0&amp;row=177&amp;col=6&amp;number=4.3&amp;sourceID=14","4.3")</f>
        <v>4.3</v>
      </c>
      <c r="G177" s="4" t="str">
        <f>HYPERLINK("http://141.218.60.56/~jnz1568/getInfo.php?workbook=18_08.xlsx&amp;sheet=U0&amp;row=177&amp;col=7&amp;number=0.000582&amp;sourceID=14","0.000582")</f>
        <v>0.000582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HYPERLINK("http://141.218.60.56/~jnz1568/getInfo.php?workbook=18_08.xlsx&amp;sheet=U0&amp;row=178&amp;col=6&amp;number=4.4&amp;sourceID=14","4.4")</f>
        <v>4.4</v>
      </c>
      <c r="G178" s="4" t="str">
        <f>HYPERLINK("http://141.218.60.56/~jnz1568/getInfo.php?workbook=18_08.xlsx&amp;sheet=U0&amp;row=178&amp;col=7&amp;number=0.000582&amp;sourceID=14","0.000582")</f>
        <v>0.000582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HYPERLINK("http://141.218.60.56/~jnz1568/getInfo.php?workbook=18_08.xlsx&amp;sheet=U0&amp;row=179&amp;col=6&amp;number=4.5&amp;sourceID=14","4.5")</f>
        <v>4.5</v>
      </c>
      <c r="G179" s="4" t="str">
        <f>HYPERLINK("http://141.218.60.56/~jnz1568/getInfo.php?workbook=18_08.xlsx&amp;sheet=U0&amp;row=179&amp;col=7&amp;number=0.000581&amp;sourceID=14","0.000581")</f>
        <v>0.000581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HYPERLINK("http://141.218.60.56/~jnz1568/getInfo.php?workbook=18_08.xlsx&amp;sheet=U0&amp;row=180&amp;col=6&amp;number=4.6&amp;sourceID=14","4.6")</f>
        <v>4.6</v>
      </c>
      <c r="G180" s="4" t="str">
        <f>HYPERLINK("http://141.218.60.56/~jnz1568/getInfo.php?workbook=18_08.xlsx&amp;sheet=U0&amp;row=180&amp;col=7&amp;number=0.000581&amp;sourceID=14","0.000581")</f>
        <v>0.000581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HYPERLINK("http://141.218.60.56/~jnz1568/getInfo.php?workbook=18_08.xlsx&amp;sheet=U0&amp;row=181&amp;col=6&amp;number=4.7&amp;sourceID=14","4.7")</f>
        <v>4.7</v>
      </c>
      <c r="G181" s="4" t="str">
        <f>HYPERLINK("http://141.218.60.56/~jnz1568/getInfo.php?workbook=18_08.xlsx&amp;sheet=U0&amp;row=181&amp;col=7&amp;number=0.00058&amp;sourceID=14","0.00058")</f>
        <v>0.00058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HYPERLINK("http://141.218.60.56/~jnz1568/getInfo.php?workbook=18_08.xlsx&amp;sheet=U0&amp;row=182&amp;col=6&amp;number=4.8&amp;sourceID=14","4.8")</f>
        <v>4.8</v>
      </c>
      <c r="G182" s="4" t="str">
        <f>HYPERLINK("http://141.218.60.56/~jnz1568/getInfo.php?workbook=18_08.xlsx&amp;sheet=U0&amp;row=182&amp;col=7&amp;number=0.000579&amp;sourceID=14","0.000579")</f>
        <v>0.000579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HYPERLINK("http://141.218.60.56/~jnz1568/getInfo.php?workbook=18_08.xlsx&amp;sheet=U0&amp;row=183&amp;col=6&amp;number=4.9&amp;sourceID=14","4.9")</f>
        <v>4.9</v>
      </c>
      <c r="G183" s="4" t="str">
        <f>HYPERLINK("http://141.218.60.56/~jnz1568/getInfo.php?workbook=18_08.xlsx&amp;sheet=U0&amp;row=183&amp;col=7&amp;number=0.000578&amp;sourceID=14","0.000578")</f>
        <v>0.000578</v>
      </c>
    </row>
    <row r="184" spans="1:7">
      <c r="A184" s="3">
        <v>18</v>
      </c>
      <c r="B184" s="3">
        <v>8</v>
      </c>
      <c r="C184" s="3" t="s">
        <v>46</v>
      </c>
      <c r="D184" s="3">
        <v>1</v>
      </c>
      <c r="E184" s="3">
        <v>1</v>
      </c>
      <c r="F184" s="4" t="str">
        <f>HYPERLINK("http://141.218.60.56/~jnz1568/getInfo.php?workbook=18_08.xlsx&amp;sheet=U0&amp;row=184&amp;col=6&amp;number=3&amp;sourceID=14","3")</f>
        <v>3</v>
      </c>
      <c r="G184" s="4" t="str">
        <f>HYPERLINK("http://141.218.60.56/~jnz1568/getInfo.php?workbook=18_08.xlsx&amp;sheet=U0&amp;row=184&amp;col=7&amp;number=0.00767&amp;sourceID=14","0.00767")</f>
        <v>0.00767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HYPERLINK("http://141.218.60.56/~jnz1568/getInfo.php?workbook=18_08.xlsx&amp;sheet=U0&amp;row=185&amp;col=6&amp;number=3.1&amp;sourceID=14","3.1")</f>
        <v>3.1</v>
      </c>
      <c r="G185" s="4" t="str">
        <f>HYPERLINK("http://141.218.60.56/~jnz1568/getInfo.php?workbook=18_08.xlsx&amp;sheet=U0&amp;row=185&amp;col=7&amp;number=0.00767&amp;sourceID=14","0.00767")</f>
        <v>0.00767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HYPERLINK("http://141.218.60.56/~jnz1568/getInfo.php?workbook=18_08.xlsx&amp;sheet=U0&amp;row=186&amp;col=6&amp;number=3.2&amp;sourceID=14","3.2")</f>
        <v>3.2</v>
      </c>
      <c r="G186" s="4" t="str">
        <f>HYPERLINK("http://141.218.60.56/~jnz1568/getInfo.php?workbook=18_08.xlsx&amp;sheet=U0&amp;row=186&amp;col=7&amp;number=0.00766&amp;sourceID=14","0.00766")</f>
        <v>0.00766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HYPERLINK("http://141.218.60.56/~jnz1568/getInfo.php?workbook=18_08.xlsx&amp;sheet=U0&amp;row=187&amp;col=6&amp;number=3.3&amp;sourceID=14","3.3")</f>
        <v>3.3</v>
      </c>
      <c r="G187" s="4" t="str">
        <f>HYPERLINK("http://141.218.60.56/~jnz1568/getInfo.php?workbook=18_08.xlsx&amp;sheet=U0&amp;row=187&amp;col=7&amp;number=0.00766&amp;sourceID=14","0.00766")</f>
        <v>0.00766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HYPERLINK("http://141.218.60.56/~jnz1568/getInfo.php?workbook=18_08.xlsx&amp;sheet=U0&amp;row=188&amp;col=6&amp;number=3.4&amp;sourceID=14","3.4")</f>
        <v>3.4</v>
      </c>
      <c r="G188" s="4" t="str">
        <f>HYPERLINK("http://141.218.60.56/~jnz1568/getInfo.php?workbook=18_08.xlsx&amp;sheet=U0&amp;row=188&amp;col=7&amp;number=0.00766&amp;sourceID=14","0.00766")</f>
        <v>0.00766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HYPERLINK("http://141.218.60.56/~jnz1568/getInfo.php?workbook=18_08.xlsx&amp;sheet=U0&amp;row=189&amp;col=6&amp;number=3.5&amp;sourceID=14","3.5")</f>
        <v>3.5</v>
      </c>
      <c r="G189" s="4" t="str">
        <f>HYPERLINK("http://141.218.60.56/~jnz1568/getInfo.php?workbook=18_08.xlsx&amp;sheet=U0&amp;row=189&amp;col=7&amp;number=0.00766&amp;sourceID=14","0.00766")</f>
        <v>0.00766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HYPERLINK("http://141.218.60.56/~jnz1568/getInfo.php?workbook=18_08.xlsx&amp;sheet=U0&amp;row=190&amp;col=6&amp;number=3.6&amp;sourceID=14","3.6")</f>
        <v>3.6</v>
      </c>
      <c r="G190" s="4" t="str">
        <f>HYPERLINK("http://141.218.60.56/~jnz1568/getInfo.php?workbook=18_08.xlsx&amp;sheet=U0&amp;row=190&amp;col=7&amp;number=0.00766&amp;sourceID=14","0.00766")</f>
        <v>0.00766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HYPERLINK("http://141.218.60.56/~jnz1568/getInfo.php?workbook=18_08.xlsx&amp;sheet=U0&amp;row=191&amp;col=6&amp;number=3.7&amp;sourceID=14","3.7")</f>
        <v>3.7</v>
      </c>
      <c r="G191" s="4" t="str">
        <f>HYPERLINK("http://141.218.60.56/~jnz1568/getInfo.php?workbook=18_08.xlsx&amp;sheet=U0&amp;row=191&amp;col=7&amp;number=0.00766&amp;sourceID=14","0.00766")</f>
        <v>0.00766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HYPERLINK("http://141.218.60.56/~jnz1568/getInfo.php?workbook=18_08.xlsx&amp;sheet=U0&amp;row=192&amp;col=6&amp;number=3.8&amp;sourceID=14","3.8")</f>
        <v>3.8</v>
      </c>
      <c r="G192" s="4" t="str">
        <f>HYPERLINK("http://141.218.60.56/~jnz1568/getInfo.php?workbook=18_08.xlsx&amp;sheet=U0&amp;row=192&amp;col=7&amp;number=0.00766&amp;sourceID=14","0.00766")</f>
        <v>0.00766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HYPERLINK("http://141.218.60.56/~jnz1568/getInfo.php?workbook=18_08.xlsx&amp;sheet=U0&amp;row=193&amp;col=6&amp;number=3.9&amp;sourceID=14","3.9")</f>
        <v>3.9</v>
      </c>
      <c r="G193" s="4" t="str">
        <f>HYPERLINK("http://141.218.60.56/~jnz1568/getInfo.php?workbook=18_08.xlsx&amp;sheet=U0&amp;row=193&amp;col=7&amp;number=0.00766&amp;sourceID=14","0.00766")</f>
        <v>0.00766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HYPERLINK("http://141.218.60.56/~jnz1568/getInfo.php?workbook=18_08.xlsx&amp;sheet=U0&amp;row=194&amp;col=6&amp;number=4&amp;sourceID=14","4")</f>
        <v>4</v>
      </c>
      <c r="G194" s="4" t="str">
        <f>HYPERLINK("http://141.218.60.56/~jnz1568/getInfo.php?workbook=18_08.xlsx&amp;sheet=U0&amp;row=194&amp;col=7&amp;number=0.00765&amp;sourceID=14","0.00765")</f>
        <v>0.00765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HYPERLINK("http://141.218.60.56/~jnz1568/getInfo.php?workbook=18_08.xlsx&amp;sheet=U0&amp;row=195&amp;col=6&amp;number=4.1&amp;sourceID=14","4.1")</f>
        <v>4.1</v>
      </c>
      <c r="G195" s="4" t="str">
        <f>HYPERLINK("http://141.218.60.56/~jnz1568/getInfo.php?workbook=18_08.xlsx&amp;sheet=U0&amp;row=195&amp;col=7&amp;number=0.00765&amp;sourceID=14","0.00765")</f>
        <v>0.00765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HYPERLINK("http://141.218.60.56/~jnz1568/getInfo.php?workbook=18_08.xlsx&amp;sheet=U0&amp;row=196&amp;col=6&amp;number=4.2&amp;sourceID=14","4.2")</f>
        <v>4.2</v>
      </c>
      <c r="G196" s="4" t="str">
        <f>HYPERLINK("http://141.218.60.56/~jnz1568/getInfo.php?workbook=18_08.xlsx&amp;sheet=U0&amp;row=196&amp;col=7&amp;number=0.00765&amp;sourceID=14","0.00765")</f>
        <v>0.00765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HYPERLINK("http://141.218.60.56/~jnz1568/getInfo.php?workbook=18_08.xlsx&amp;sheet=U0&amp;row=197&amp;col=6&amp;number=4.3&amp;sourceID=14","4.3")</f>
        <v>4.3</v>
      </c>
      <c r="G197" s="4" t="str">
        <f>HYPERLINK("http://141.218.60.56/~jnz1568/getInfo.php?workbook=18_08.xlsx&amp;sheet=U0&amp;row=197&amp;col=7&amp;number=0.00764&amp;sourceID=14","0.00764")</f>
        <v>0.00764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HYPERLINK("http://141.218.60.56/~jnz1568/getInfo.php?workbook=18_08.xlsx&amp;sheet=U0&amp;row=198&amp;col=6&amp;number=4.4&amp;sourceID=14","4.4")</f>
        <v>4.4</v>
      </c>
      <c r="G198" s="4" t="str">
        <f>HYPERLINK("http://141.218.60.56/~jnz1568/getInfo.php?workbook=18_08.xlsx&amp;sheet=U0&amp;row=198&amp;col=7&amp;number=0.00763&amp;sourceID=14","0.00763")</f>
        <v>0.00763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HYPERLINK("http://141.218.60.56/~jnz1568/getInfo.php?workbook=18_08.xlsx&amp;sheet=U0&amp;row=199&amp;col=6&amp;number=4.5&amp;sourceID=14","4.5")</f>
        <v>4.5</v>
      </c>
      <c r="G199" s="4" t="str">
        <f>HYPERLINK("http://141.218.60.56/~jnz1568/getInfo.php?workbook=18_08.xlsx&amp;sheet=U0&amp;row=199&amp;col=7&amp;number=0.00763&amp;sourceID=14","0.00763")</f>
        <v>0.00763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HYPERLINK("http://141.218.60.56/~jnz1568/getInfo.php?workbook=18_08.xlsx&amp;sheet=U0&amp;row=200&amp;col=6&amp;number=4.6&amp;sourceID=14","4.6")</f>
        <v>4.6</v>
      </c>
      <c r="G200" s="4" t="str">
        <f>HYPERLINK("http://141.218.60.56/~jnz1568/getInfo.php?workbook=18_08.xlsx&amp;sheet=U0&amp;row=200&amp;col=7&amp;number=0.00762&amp;sourceID=14","0.00762")</f>
        <v>0.00762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HYPERLINK("http://141.218.60.56/~jnz1568/getInfo.php?workbook=18_08.xlsx&amp;sheet=U0&amp;row=201&amp;col=6&amp;number=4.7&amp;sourceID=14","4.7")</f>
        <v>4.7</v>
      </c>
      <c r="G201" s="4" t="str">
        <f>HYPERLINK("http://141.218.60.56/~jnz1568/getInfo.php?workbook=18_08.xlsx&amp;sheet=U0&amp;row=201&amp;col=7&amp;number=0.0076&amp;sourceID=14","0.0076")</f>
        <v>0.0076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HYPERLINK("http://141.218.60.56/~jnz1568/getInfo.php?workbook=18_08.xlsx&amp;sheet=U0&amp;row=202&amp;col=6&amp;number=4.8&amp;sourceID=14","4.8")</f>
        <v>4.8</v>
      </c>
      <c r="G202" s="4" t="str">
        <f>HYPERLINK("http://141.218.60.56/~jnz1568/getInfo.php?workbook=18_08.xlsx&amp;sheet=U0&amp;row=202&amp;col=7&amp;number=0.00759&amp;sourceID=14","0.00759")</f>
        <v>0.00759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HYPERLINK("http://141.218.60.56/~jnz1568/getInfo.php?workbook=18_08.xlsx&amp;sheet=U0&amp;row=203&amp;col=6&amp;number=4.9&amp;sourceID=14","4.9")</f>
        <v>4.9</v>
      </c>
      <c r="G203" s="4" t="str">
        <f>HYPERLINK("http://141.218.60.56/~jnz1568/getInfo.php?workbook=18_08.xlsx&amp;sheet=U0&amp;row=203&amp;col=7&amp;number=0.00756&amp;sourceID=14","0.00756")</f>
        <v>0.00756</v>
      </c>
    </row>
    <row r="204" spans="1:7">
      <c r="A204" s="3">
        <v>18</v>
      </c>
      <c r="B204" s="3">
        <v>8</v>
      </c>
      <c r="C204" s="3" t="s">
        <v>46</v>
      </c>
      <c r="D204" s="3">
        <v>2</v>
      </c>
      <c r="E204" s="3">
        <v>1</v>
      </c>
      <c r="F204" s="4" t="str">
        <f>HYPERLINK("http://141.218.60.56/~jnz1568/getInfo.php?workbook=18_08.xlsx&amp;sheet=U0&amp;row=204&amp;col=6&amp;number=3&amp;sourceID=14","3")</f>
        <v>3</v>
      </c>
      <c r="G204" s="4" t="str">
        <f>HYPERLINK("http://141.218.60.56/~jnz1568/getInfo.php?workbook=18_08.xlsx&amp;sheet=U0&amp;row=204&amp;col=7&amp;number=0.00612&amp;sourceID=14","0.00612")</f>
        <v>0.00612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HYPERLINK("http://141.218.60.56/~jnz1568/getInfo.php?workbook=18_08.xlsx&amp;sheet=U0&amp;row=205&amp;col=6&amp;number=3.1&amp;sourceID=14","3.1")</f>
        <v>3.1</v>
      </c>
      <c r="G205" s="4" t="str">
        <f>HYPERLINK("http://141.218.60.56/~jnz1568/getInfo.php?workbook=18_08.xlsx&amp;sheet=U0&amp;row=205&amp;col=7&amp;number=0.00612&amp;sourceID=14","0.00612")</f>
        <v>0.00612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HYPERLINK("http://141.218.60.56/~jnz1568/getInfo.php?workbook=18_08.xlsx&amp;sheet=U0&amp;row=206&amp;col=6&amp;number=3.2&amp;sourceID=14","3.2")</f>
        <v>3.2</v>
      </c>
      <c r="G206" s="4" t="str">
        <f>HYPERLINK("http://141.218.60.56/~jnz1568/getInfo.php?workbook=18_08.xlsx&amp;sheet=U0&amp;row=206&amp;col=7&amp;number=0.00612&amp;sourceID=14","0.00612")</f>
        <v>0.00612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HYPERLINK("http://141.218.60.56/~jnz1568/getInfo.php?workbook=18_08.xlsx&amp;sheet=U0&amp;row=207&amp;col=6&amp;number=3.3&amp;sourceID=14","3.3")</f>
        <v>3.3</v>
      </c>
      <c r="G207" s="4" t="str">
        <f>HYPERLINK("http://141.218.60.56/~jnz1568/getInfo.php?workbook=18_08.xlsx&amp;sheet=U0&amp;row=207&amp;col=7&amp;number=0.00612&amp;sourceID=14","0.00612")</f>
        <v>0.00612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HYPERLINK("http://141.218.60.56/~jnz1568/getInfo.php?workbook=18_08.xlsx&amp;sheet=U0&amp;row=208&amp;col=6&amp;number=3.4&amp;sourceID=14","3.4")</f>
        <v>3.4</v>
      </c>
      <c r="G208" s="4" t="str">
        <f>HYPERLINK("http://141.218.60.56/~jnz1568/getInfo.php?workbook=18_08.xlsx&amp;sheet=U0&amp;row=208&amp;col=7&amp;number=0.00613&amp;sourceID=14","0.00613")</f>
        <v>0.00613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HYPERLINK("http://141.218.60.56/~jnz1568/getInfo.php?workbook=18_08.xlsx&amp;sheet=U0&amp;row=209&amp;col=6&amp;number=3.5&amp;sourceID=14","3.5")</f>
        <v>3.5</v>
      </c>
      <c r="G209" s="4" t="str">
        <f>HYPERLINK("http://141.218.60.56/~jnz1568/getInfo.php?workbook=18_08.xlsx&amp;sheet=U0&amp;row=209&amp;col=7&amp;number=0.00613&amp;sourceID=14","0.00613")</f>
        <v>0.00613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HYPERLINK("http://141.218.60.56/~jnz1568/getInfo.php?workbook=18_08.xlsx&amp;sheet=U0&amp;row=210&amp;col=6&amp;number=3.6&amp;sourceID=14","3.6")</f>
        <v>3.6</v>
      </c>
      <c r="G210" s="4" t="str">
        <f>HYPERLINK("http://141.218.60.56/~jnz1568/getInfo.php?workbook=18_08.xlsx&amp;sheet=U0&amp;row=210&amp;col=7&amp;number=0.00613&amp;sourceID=14","0.00613")</f>
        <v>0.00613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HYPERLINK("http://141.218.60.56/~jnz1568/getInfo.php?workbook=18_08.xlsx&amp;sheet=U0&amp;row=211&amp;col=6&amp;number=3.7&amp;sourceID=14","3.7")</f>
        <v>3.7</v>
      </c>
      <c r="G211" s="4" t="str">
        <f>HYPERLINK("http://141.218.60.56/~jnz1568/getInfo.php?workbook=18_08.xlsx&amp;sheet=U0&amp;row=211&amp;col=7&amp;number=0.00614&amp;sourceID=14","0.00614")</f>
        <v>0.00614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HYPERLINK("http://141.218.60.56/~jnz1568/getInfo.php?workbook=18_08.xlsx&amp;sheet=U0&amp;row=212&amp;col=6&amp;number=3.8&amp;sourceID=14","3.8")</f>
        <v>3.8</v>
      </c>
      <c r="G212" s="4" t="str">
        <f>HYPERLINK("http://141.218.60.56/~jnz1568/getInfo.php?workbook=18_08.xlsx&amp;sheet=U0&amp;row=212&amp;col=7&amp;number=0.00614&amp;sourceID=14","0.00614")</f>
        <v>0.00614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HYPERLINK("http://141.218.60.56/~jnz1568/getInfo.php?workbook=18_08.xlsx&amp;sheet=U0&amp;row=213&amp;col=6&amp;number=3.9&amp;sourceID=14","3.9")</f>
        <v>3.9</v>
      </c>
      <c r="G213" s="4" t="str">
        <f>HYPERLINK("http://141.218.60.56/~jnz1568/getInfo.php?workbook=18_08.xlsx&amp;sheet=U0&amp;row=213&amp;col=7&amp;number=0.00615&amp;sourceID=14","0.00615")</f>
        <v>0.00615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HYPERLINK("http://141.218.60.56/~jnz1568/getInfo.php?workbook=18_08.xlsx&amp;sheet=U0&amp;row=214&amp;col=6&amp;number=4&amp;sourceID=14","4")</f>
        <v>4</v>
      </c>
      <c r="G214" s="4" t="str">
        <f>HYPERLINK("http://141.218.60.56/~jnz1568/getInfo.php?workbook=18_08.xlsx&amp;sheet=U0&amp;row=214&amp;col=7&amp;number=0.00616&amp;sourceID=14","0.00616")</f>
        <v>0.00616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HYPERLINK("http://141.218.60.56/~jnz1568/getInfo.php?workbook=18_08.xlsx&amp;sheet=U0&amp;row=215&amp;col=6&amp;number=4.1&amp;sourceID=14","4.1")</f>
        <v>4.1</v>
      </c>
      <c r="G215" s="4" t="str">
        <f>HYPERLINK("http://141.218.60.56/~jnz1568/getInfo.php?workbook=18_08.xlsx&amp;sheet=U0&amp;row=215&amp;col=7&amp;number=0.00617&amp;sourceID=14","0.00617")</f>
        <v>0.00617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HYPERLINK("http://141.218.60.56/~jnz1568/getInfo.php?workbook=18_08.xlsx&amp;sheet=U0&amp;row=216&amp;col=6&amp;number=4.2&amp;sourceID=14","4.2")</f>
        <v>4.2</v>
      </c>
      <c r="G216" s="4" t="str">
        <f>HYPERLINK("http://141.218.60.56/~jnz1568/getInfo.php?workbook=18_08.xlsx&amp;sheet=U0&amp;row=216&amp;col=7&amp;number=0.00618&amp;sourceID=14","0.00618")</f>
        <v>0.00618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HYPERLINK("http://141.218.60.56/~jnz1568/getInfo.php?workbook=18_08.xlsx&amp;sheet=U0&amp;row=217&amp;col=6&amp;number=4.3&amp;sourceID=14","4.3")</f>
        <v>4.3</v>
      </c>
      <c r="G217" s="4" t="str">
        <f>HYPERLINK("http://141.218.60.56/~jnz1568/getInfo.php?workbook=18_08.xlsx&amp;sheet=U0&amp;row=217&amp;col=7&amp;number=0.0062&amp;sourceID=14","0.0062")</f>
        <v>0.0062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HYPERLINK("http://141.218.60.56/~jnz1568/getInfo.php?workbook=18_08.xlsx&amp;sheet=U0&amp;row=218&amp;col=6&amp;number=4.4&amp;sourceID=14","4.4")</f>
        <v>4.4</v>
      </c>
      <c r="G218" s="4" t="str">
        <f>HYPERLINK("http://141.218.60.56/~jnz1568/getInfo.php?workbook=18_08.xlsx&amp;sheet=U0&amp;row=218&amp;col=7&amp;number=0.00622&amp;sourceID=14","0.00622")</f>
        <v>0.00622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HYPERLINK("http://141.218.60.56/~jnz1568/getInfo.php?workbook=18_08.xlsx&amp;sheet=U0&amp;row=219&amp;col=6&amp;number=4.5&amp;sourceID=14","4.5")</f>
        <v>4.5</v>
      </c>
      <c r="G219" s="4" t="str">
        <f>HYPERLINK("http://141.218.60.56/~jnz1568/getInfo.php?workbook=18_08.xlsx&amp;sheet=U0&amp;row=219&amp;col=7&amp;number=0.00624&amp;sourceID=14","0.00624")</f>
        <v>0.00624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HYPERLINK("http://141.218.60.56/~jnz1568/getInfo.php?workbook=18_08.xlsx&amp;sheet=U0&amp;row=220&amp;col=6&amp;number=4.6&amp;sourceID=14","4.6")</f>
        <v>4.6</v>
      </c>
      <c r="G220" s="4" t="str">
        <f>HYPERLINK("http://141.218.60.56/~jnz1568/getInfo.php?workbook=18_08.xlsx&amp;sheet=U0&amp;row=220&amp;col=7&amp;number=0.00627&amp;sourceID=14","0.00627")</f>
        <v>0.00627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HYPERLINK("http://141.218.60.56/~jnz1568/getInfo.php?workbook=18_08.xlsx&amp;sheet=U0&amp;row=221&amp;col=6&amp;number=4.7&amp;sourceID=14","4.7")</f>
        <v>4.7</v>
      </c>
      <c r="G221" s="4" t="str">
        <f>HYPERLINK("http://141.218.60.56/~jnz1568/getInfo.php?workbook=18_08.xlsx&amp;sheet=U0&amp;row=221&amp;col=7&amp;number=0.00631&amp;sourceID=14","0.00631")</f>
        <v>0.00631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HYPERLINK("http://141.218.60.56/~jnz1568/getInfo.php?workbook=18_08.xlsx&amp;sheet=U0&amp;row=222&amp;col=6&amp;number=4.8&amp;sourceID=14","4.8")</f>
        <v>4.8</v>
      </c>
      <c r="G222" s="4" t="str">
        <f>HYPERLINK("http://141.218.60.56/~jnz1568/getInfo.php?workbook=18_08.xlsx&amp;sheet=U0&amp;row=222&amp;col=7&amp;number=0.00636&amp;sourceID=14","0.00636")</f>
        <v>0.00636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HYPERLINK("http://141.218.60.56/~jnz1568/getInfo.php?workbook=18_08.xlsx&amp;sheet=U0&amp;row=223&amp;col=6&amp;number=4.9&amp;sourceID=14","4.9")</f>
        <v>4.9</v>
      </c>
      <c r="G223" s="4" t="str">
        <f>HYPERLINK("http://141.218.60.56/~jnz1568/getInfo.php?workbook=18_08.xlsx&amp;sheet=U0&amp;row=223&amp;col=7&amp;number=0.00643&amp;sourceID=14","0.00643")</f>
        <v>0.00643</v>
      </c>
    </row>
    <row r="224" spans="1:7">
      <c r="A224" s="3">
        <v>18</v>
      </c>
      <c r="B224" s="3">
        <v>8</v>
      </c>
      <c r="C224" s="3" t="s">
        <v>46</v>
      </c>
      <c r="D224" s="3">
        <v>3</v>
      </c>
      <c r="E224" s="3">
        <v>1</v>
      </c>
      <c r="F224" s="4" t="str">
        <f>HYPERLINK("http://141.218.60.56/~jnz1568/getInfo.php?workbook=18_08.xlsx&amp;sheet=U0&amp;row=224&amp;col=6&amp;number=3&amp;sourceID=14","3")</f>
        <v>3</v>
      </c>
      <c r="G224" s="4" t="str">
        <f>HYPERLINK("http://141.218.60.56/~jnz1568/getInfo.php?workbook=18_08.xlsx&amp;sheet=U0&amp;row=224&amp;col=7&amp;number=0.00153&amp;sourceID=14","0.00153")</f>
        <v>0.00153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HYPERLINK("http://141.218.60.56/~jnz1568/getInfo.php?workbook=18_08.xlsx&amp;sheet=U0&amp;row=225&amp;col=6&amp;number=3.1&amp;sourceID=14","3.1")</f>
        <v>3.1</v>
      </c>
      <c r="G225" s="4" t="str">
        <f>HYPERLINK("http://141.218.60.56/~jnz1568/getInfo.php?workbook=18_08.xlsx&amp;sheet=U0&amp;row=225&amp;col=7&amp;number=0.00153&amp;sourceID=14","0.00153")</f>
        <v>0.00153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HYPERLINK("http://141.218.60.56/~jnz1568/getInfo.php?workbook=18_08.xlsx&amp;sheet=U0&amp;row=226&amp;col=6&amp;number=3.2&amp;sourceID=14","3.2")</f>
        <v>3.2</v>
      </c>
      <c r="G226" s="4" t="str">
        <f>HYPERLINK("http://141.218.60.56/~jnz1568/getInfo.php?workbook=18_08.xlsx&amp;sheet=U0&amp;row=226&amp;col=7&amp;number=0.00153&amp;sourceID=14","0.00153")</f>
        <v>0.00153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HYPERLINK("http://141.218.60.56/~jnz1568/getInfo.php?workbook=18_08.xlsx&amp;sheet=U0&amp;row=227&amp;col=6&amp;number=3.3&amp;sourceID=14","3.3")</f>
        <v>3.3</v>
      </c>
      <c r="G227" s="4" t="str">
        <f>HYPERLINK("http://141.218.60.56/~jnz1568/getInfo.php?workbook=18_08.xlsx&amp;sheet=U0&amp;row=227&amp;col=7&amp;number=0.00153&amp;sourceID=14","0.00153")</f>
        <v>0.00153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HYPERLINK("http://141.218.60.56/~jnz1568/getInfo.php?workbook=18_08.xlsx&amp;sheet=U0&amp;row=228&amp;col=6&amp;number=3.4&amp;sourceID=14","3.4")</f>
        <v>3.4</v>
      </c>
      <c r="G228" s="4" t="str">
        <f>HYPERLINK("http://141.218.60.56/~jnz1568/getInfo.php?workbook=18_08.xlsx&amp;sheet=U0&amp;row=228&amp;col=7&amp;number=0.00153&amp;sourceID=14","0.00153")</f>
        <v>0.00153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HYPERLINK("http://141.218.60.56/~jnz1568/getInfo.php?workbook=18_08.xlsx&amp;sheet=U0&amp;row=229&amp;col=6&amp;number=3.5&amp;sourceID=14","3.5")</f>
        <v>3.5</v>
      </c>
      <c r="G229" s="4" t="str">
        <f>HYPERLINK("http://141.218.60.56/~jnz1568/getInfo.php?workbook=18_08.xlsx&amp;sheet=U0&amp;row=229&amp;col=7&amp;number=0.00153&amp;sourceID=14","0.00153")</f>
        <v>0.00153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HYPERLINK("http://141.218.60.56/~jnz1568/getInfo.php?workbook=18_08.xlsx&amp;sheet=U0&amp;row=230&amp;col=6&amp;number=3.6&amp;sourceID=14","3.6")</f>
        <v>3.6</v>
      </c>
      <c r="G230" s="4" t="str">
        <f>HYPERLINK("http://141.218.60.56/~jnz1568/getInfo.php?workbook=18_08.xlsx&amp;sheet=U0&amp;row=230&amp;col=7&amp;number=0.00153&amp;sourceID=14","0.00153")</f>
        <v>0.00153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HYPERLINK("http://141.218.60.56/~jnz1568/getInfo.php?workbook=18_08.xlsx&amp;sheet=U0&amp;row=231&amp;col=6&amp;number=3.7&amp;sourceID=14","3.7")</f>
        <v>3.7</v>
      </c>
      <c r="G231" s="4" t="str">
        <f>HYPERLINK("http://141.218.60.56/~jnz1568/getInfo.php?workbook=18_08.xlsx&amp;sheet=U0&amp;row=231&amp;col=7&amp;number=0.00153&amp;sourceID=14","0.00153")</f>
        <v>0.00153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HYPERLINK("http://141.218.60.56/~jnz1568/getInfo.php?workbook=18_08.xlsx&amp;sheet=U0&amp;row=232&amp;col=6&amp;number=3.8&amp;sourceID=14","3.8")</f>
        <v>3.8</v>
      </c>
      <c r="G232" s="4" t="str">
        <f>HYPERLINK("http://141.218.60.56/~jnz1568/getInfo.php?workbook=18_08.xlsx&amp;sheet=U0&amp;row=232&amp;col=7&amp;number=0.00153&amp;sourceID=14","0.00153")</f>
        <v>0.00153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HYPERLINK("http://141.218.60.56/~jnz1568/getInfo.php?workbook=18_08.xlsx&amp;sheet=U0&amp;row=233&amp;col=6&amp;number=3.9&amp;sourceID=14","3.9")</f>
        <v>3.9</v>
      </c>
      <c r="G233" s="4" t="str">
        <f>HYPERLINK("http://141.218.60.56/~jnz1568/getInfo.php?workbook=18_08.xlsx&amp;sheet=U0&amp;row=233&amp;col=7&amp;number=0.00153&amp;sourceID=14","0.00153")</f>
        <v>0.00153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HYPERLINK("http://141.218.60.56/~jnz1568/getInfo.php?workbook=18_08.xlsx&amp;sheet=U0&amp;row=234&amp;col=6&amp;number=4&amp;sourceID=14","4")</f>
        <v>4</v>
      </c>
      <c r="G234" s="4" t="str">
        <f>HYPERLINK("http://141.218.60.56/~jnz1568/getInfo.php?workbook=18_08.xlsx&amp;sheet=U0&amp;row=234&amp;col=7&amp;number=0.00153&amp;sourceID=14","0.00153")</f>
        <v>0.00153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HYPERLINK("http://141.218.60.56/~jnz1568/getInfo.php?workbook=18_08.xlsx&amp;sheet=U0&amp;row=235&amp;col=6&amp;number=4.1&amp;sourceID=14","4.1")</f>
        <v>4.1</v>
      </c>
      <c r="G235" s="4" t="str">
        <f>HYPERLINK("http://141.218.60.56/~jnz1568/getInfo.php?workbook=18_08.xlsx&amp;sheet=U0&amp;row=235&amp;col=7&amp;number=0.00153&amp;sourceID=14","0.00153")</f>
        <v>0.00153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HYPERLINK("http://141.218.60.56/~jnz1568/getInfo.php?workbook=18_08.xlsx&amp;sheet=U0&amp;row=236&amp;col=6&amp;number=4.2&amp;sourceID=14","4.2")</f>
        <v>4.2</v>
      </c>
      <c r="G236" s="4" t="str">
        <f>HYPERLINK("http://141.218.60.56/~jnz1568/getInfo.php?workbook=18_08.xlsx&amp;sheet=U0&amp;row=236&amp;col=7&amp;number=0.00153&amp;sourceID=14","0.00153")</f>
        <v>0.00153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HYPERLINK("http://141.218.60.56/~jnz1568/getInfo.php?workbook=18_08.xlsx&amp;sheet=U0&amp;row=237&amp;col=6&amp;number=4.3&amp;sourceID=14","4.3")</f>
        <v>4.3</v>
      </c>
      <c r="G237" s="4" t="str">
        <f>HYPERLINK("http://141.218.60.56/~jnz1568/getInfo.php?workbook=18_08.xlsx&amp;sheet=U0&amp;row=237&amp;col=7&amp;number=0.00153&amp;sourceID=14","0.00153")</f>
        <v>0.00153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HYPERLINK("http://141.218.60.56/~jnz1568/getInfo.php?workbook=18_08.xlsx&amp;sheet=U0&amp;row=238&amp;col=6&amp;number=4.4&amp;sourceID=14","4.4")</f>
        <v>4.4</v>
      </c>
      <c r="G238" s="4" t="str">
        <f>HYPERLINK("http://141.218.60.56/~jnz1568/getInfo.php?workbook=18_08.xlsx&amp;sheet=U0&amp;row=238&amp;col=7&amp;number=0.00152&amp;sourceID=14","0.00152")</f>
        <v>0.00152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HYPERLINK("http://141.218.60.56/~jnz1568/getInfo.php?workbook=18_08.xlsx&amp;sheet=U0&amp;row=239&amp;col=6&amp;number=4.5&amp;sourceID=14","4.5")</f>
        <v>4.5</v>
      </c>
      <c r="G239" s="4" t="str">
        <f>HYPERLINK("http://141.218.60.56/~jnz1568/getInfo.php?workbook=18_08.xlsx&amp;sheet=U0&amp;row=239&amp;col=7&amp;number=0.00152&amp;sourceID=14","0.00152")</f>
        <v>0.00152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HYPERLINK("http://141.218.60.56/~jnz1568/getInfo.php?workbook=18_08.xlsx&amp;sheet=U0&amp;row=240&amp;col=6&amp;number=4.6&amp;sourceID=14","4.6")</f>
        <v>4.6</v>
      </c>
      <c r="G240" s="4" t="str">
        <f>HYPERLINK("http://141.218.60.56/~jnz1568/getInfo.php?workbook=18_08.xlsx&amp;sheet=U0&amp;row=240&amp;col=7&amp;number=0.00152&amp;sourceID=14","0.00152")</f>
        <v>0.00152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HYPERLINK("http://141.218.60.56/~jnz1568/getInfo.php?workbook=18_08.xlsx&amp;sheet=U0&amp;row=241&amp;col=6&amp;number=4.7&amp;sourceID=14","4.7")</f>
        <v>4.7</v>
      </c>
      <c r="G241" s="4" t="str">
        <f>HYPERLINK("http://141.218.60.56/~jnz1568/getInfo.php?workbook=18_08.xlsx&amp;sheet=U0&amp;row=241&amp;col=7&amp;number=0.00152&amp;sourceID=14","0.00152")</f>
        <v>0.00152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HYPERLINK("http://141.218.60.56/~jnz1568/getInfo.php?workbook=18_08.xlsx&amp;sheet=U0&amp;row=242&amp;col=6&amp;number=4.8&amp;sourceID=14","4.8")</f>
        <v>4.8</v>
      </c>
      <c r="G242" s="4" t="str">
        <f>HYPERLINK("http://141.218.60.56/~jnz1568/getInfo.php?workbook=18_08.xlsx&amp;sheet=U0&amp;row=242&amp;col=7&amp;number=0.00152&amp;sourceID=14","0.00152")</f>
        <v>0.00152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HYPERLINK("http://141.218.60.56/~jnz1568/getInfo.php?workbook=18_08.xlsx&amp;sheet=U0&amp;row=243&amp;col=6&amp;number=4.9&amp;sourceID=14","4.9")</f>
        <v>4.9</v>
      </c>
      <c r="G243" s="4" t="str">
        <f>HYPERLINK("http://141.218.60.56/~jnz1568/getInfo.php?workbook=18_08.xlsx&amp;sheet=U0&amp;row=243&amp;col=7&amp;number=0.00152&amp;sourceID=14","0.00152")</f>
        <v>0.00152</v>
      </c>
    </row>
    <row r="244" spans="1:7">
      <c r="A244" s="3">
        <v>18</v>
      </c>
      <c r="B244" s="3">
        <v>8</v>
      </c>
      <c r="C244" s="3" t="s">
        <v>46</v>
      </c>
      <c r="D244" s="3">
        <v>4</v>
      </c>
      <c r="E244" s="3">
        <v>1</v>
      </c>
      <c r="F244" s="4" t="str">
        <f>HYPERLINK("http://141.218.60.56/~jnz1568/getInfo.php?workbook=18_08.xlsx&amp;sheet=U0&amp;row=244&amp;col=6&amp;number=3&amp;sourceID=14","3")</f>
        <v>3</v>
      </c>
      <c r="G244" s="4" t="str">
        <f>HYPERLINK("http://141.218.60.56/~jnz1568/getInfo.php?workbook=18_08.xlsx&amp;sheet=U0&amp;row=244&amp;col=7&amp;number=0.00396&amp;sourceID=14","0.00396")</f>
        <v>0.00396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HYPERLINK("http://141.218.60.56/~jnz1568/getInfo.php?workbook=18_08.xlsx&amp;sheet=U0&amp;row=245&amp;col=6&amp;number=3.1&amp;sourceID=14","3.1")</f>
        <v>3.1</v>
      </c>
      <c r="G245" s="4" t="str">
        <f>HYPERLINK("http://141.218.60.56/~jnz1568/getInfo.php?workbook=18_08.xlsx&amp;sheet=U0&amp;row=245&amp;col=7&amp;number=0.00396&amp;sourceID=14","0.00396")</f>
        <v>0.00396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HYPERLINK("http://141.218.60.56/~jnz1568/getInfo.php?workbook=18_08.xlsx&amp;sheet=U0&amp;row=246&amp;col=6&amp;number=3.2&amp;sourceID=14","3.2")</f>
        <v>3.2</v>
      </c>
      <c r="G246" s="4" t="str">
        <f>HYPERLINK("http://141.218.60.56/~jnz1568/getInfo.php?workbook=18_08.xlsx&amp;sheet=U0&amp;row=246&amp;col=7&amp;number=0.00396&amp;sourceID=14","0.00396")</f>
        <v>0.00396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HYPERLINK("http://141.218.60.56/~jnz1568/getInfo.php?workbook=18_08.xlsx&amp;sheet=U0&amp;row=247&amp;col=6&amp;number=3.3&amp;sourceID=14","3.3")</f>
        <v>3.3</v>
      </c>
      <c r="G247" s="4" t="str">
        <f>HYPERLINK("http://141.218.60.56/~jnz1568/getInfo.php?workbook=18_08.xlsx&amp;sheet=U0&amp;row=247&amp;col=7&amp;number=0.00396&amp;sourceID=14","0.00396")</f>
        <v>0.00396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HYPERLINK("http://141.218.60.56/~jnz1568/getInfo.php?workbook=18_08.xlsx&amp;sheet=U0&amp;row=248&amp;col=6&amp;number=3.4&amp;sourceID=14","3.4")</f>
        <v>3.4</v>
      </c>
      <c r="G248" s="4" t="str">
        <f>HYPERLINK("http://141.218.60.56/~jnz1568/getInfo.php?workbook=18_08.xlsx&amp;sheet=U0&amp;row=248&amp;col=7&amp;number=0.00396&amp;sourceID=14","0.00396")</f>
        <v>0.00396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HYPERLINK("http://141.218.60.56/~jnz1568/getInfo.php?workbook=18_08.xlsx&amp;sheet=U0&amp;row=249&amp;col=6&amp;number=3.5&amp;sourceID=14","3.5")</f>
        <v>3.5</v>
      </c>
      <c r="G249" s="4" t="str">
        <f>HYPERLINK("http://141.218.60.56/~jnz1568/getInfo.php?workbook=18_08.xlsx&amp;sheet=U0&amp;row=249&amp;col=7&amp;number=0.00397&amp;sourceID=14","0.00397")</f>
        <v>0.00397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HYPERLINK("http://141.218.60.56/~jnz1568/getInfo.php?workbook=18_08.xlsx&amp;sheet=U0&amp;row=250&amp;col=6&amp;number=3.6&amp;sourceID=14","3.6")</f>
        <v>3.6</v>
      </c>
      <c r="G250" s="4" t="str">
        <f>HYPERLINK("http://141.218.60.56/~jnz1568/getInfo.php?workbook=18_08.xlsx&amp;sheet=U0&amp;row=250&amp;col=7&amp;number=0.00397&amp;sourceID=14","0.00397")</f>
        <v>0.00397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HYPERLINK("http://141.218.60.56/~jnz1568/getInfo.php?workbook=18_08.xlsx&amp;sheet=U0&amp;row=251&amp;col=6&amp;number=3.7&amp;sourceID=14","3.7")</f>
        <v>3.7</v>
      </c>
      <c r="G251" s="4" t="str">
        <f>HYPERLINK("http://141.218.60.56/~jnz1568/getInfo.php?workbook=18_08.xlsx&amp;sheet=U0&amp;row=251&amp;col=7&amp;number=0.00397&amp;sourceID=14","0.00397")</f>
        <v>0.00397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HYPERLINK("http://141.218.60.56/~jnz1568/getInfo.php?workbook=18_08.xlsx&amp;sheet=U0&amp;row=252&amp;col=6&amp;number=3.8&amp;sourceID=14","3.8")</f>
        <v>3.8</v>
      </c>
      <c r="G252" s="4" t="str">
        <f>HYPERLINK("http://141.218.60.56/~jnz1568/getInfo.php?workbook=18_08.xlsx&amp;sheet=U0&amp;row=252&amp;col=7&amp;number=0.00397&amp;sourceID=14","0.00397")</f>
        <v>0.00397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HYPERLINK("http://141.218.60.56/~jnz1568/getInfo.php?workbook=18_08.xlsx&amp;sheet=U0&amp;row=253&amp;col=6&amp;number=3.9&amp;sourceID=14","3.9")</f>
        <v>3.9</v>
      </c>
      <c r="G253" s="4" t="str">
        <f>HYPERLINK("http://141.218.60.56/~jnz1568/getInfo.php?workbook=18_08.xlsx&amp;sheet=U0&amp;row=253&amp;col=7&amp;number=0.00397&amp;sourceID=14","0.00397")</f>
        <v>0.00397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HYPERLINK("http://141.218.60.56/~jnz1568/getInfo.php?workbook=18_08.xlsx&amp;sheet=U0&amp;row=254&amp;col=6&amp;number=4&amp;sourceID=14","4")</f>
        <v>4</v>
      </c>
      <c r="G254" s="4" t="str">
        <f>HYPERLINK("http://141.218.60.56/~jnz1568/getInfo.php?workbook=18_08.xlsx&amp;sheet=U0&amp;row=254&amp;col=7&amp;number=0.00397&amp;sourceID=14","0.00397")</f>
        <v>0.00397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HYPERLINK("http://141.218.60.56/~jnz1568/getInfo.php?workbook=18_08.xlsx&amp;sheet=U0&amp;row=255&amp;col=6&amp;number=4.1&amp;sourceID=14","4.1")</f>
        <v>4.1</v>
      </c>
      <c r="G255" s="4" t="str">
        <f>HYPERLINK("http://141.218.60.56/~jnz1568/getInfo.php?workbook=18_08.xlsx&amp;sheet=U0&amp;row=255&amp;col=7&amp;number=0.00397&amp;sourceID=14","0.00397")</f>
        <v>0.00397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HYPERLINK("http://141.218.60.56/~jnz1568/getInfo.php?workbook=18_08.xlsx&amp;sheet=U0&amp;row=256&amp;col=6&amp;number=4.2&amp;sourceID=14","4.2")</f>
        <v>4.2</v>
      </c>
      <c r="G256" s="4" t="str">
        <f>HYPERLINK("http://141.218.60.56/~jnz1568/getInfo.php?workbook=18_08.xlsx&amp;sheet=U0&amp;row=256&amp;col=7&amp;number=0.00398&amp;sourceID=14","0.00398")</f>
        <v>0.00398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HYPERLINK("http://141.218.60.56/~jnz1568/getInfo.php?workbook=18_08.xlsx&amp;sheet=U0&amp;row=257&amp;col=6&amp;number=4.3&amp;sourceID=14","4.3")</f>
        <v>4.3</v>
      </c>
      <c r="G257" s="4" t="str">
        <f>HYPERLINK("http://141.218.60.56/~jnz1568/getInfo.php?workbook=18_08.xlsx&amp;sheet=U0&amp;row=257&amp;col=7&amp;number=0.00398&amp;sourceID=14","0.00398")</f>
        <v>0.00398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HYPERLINK("http://141.218.60.56/~jnz1568/getInfo.php?workbook=18_08.xlsx&amp;sheet=U0&amp;row=258&amp;col=6&amp;number=4.4&amp;sourceID=14","4.4")</f>
        <v>4.4</v>
      </c>
      <c r="G258" s="4" t="str">
        <f>HYPERLINK("http://141.218.60.56/~jnz1568/getInfo.php?workbook=18_08.xlsx&amp;sheet=U0&amp;row=258&amp;col=7&amp;number=0.00399&amp;sourceID=14","0.00399")</f>
        <v>0.00399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HYPERLINK("http://141.218.60.56/~jnz1568/getInfo.php?workbook=18_08.xlsx&amp;sheet=U0&amp;row=259&amp;col=6&amp;number=4.5&amp;sourceID=14","4.5")</f>
        <v>4.5</v>
      </c>
      <c r="G259" s="4" t="str">
        <f>HYPERLINK("http://141.218.60.56/~jnz1568/getInfo.php?workbook=18_08.xlsx&amp;sheet=U0&amp;row=259&amp;col=7&amp;number=0.00399&amp;sourceID=14","0.00399")</f>
        <v>0.00399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HYPERLINK("http://141.218.60.56/~jnz1568/getInfo.php?workbook=18_08.xlsx&amp;sheet=U0&amp;row=260&amp;col=6&amp;number=4.6&amp;sourceID=14","4.6")</f>
        <v>4.6</v>
      </c>
      <c r="G260" s="4" t="str">
        <f>HYPERLINK("http://141.218.60.56/~jnz1568/getInfo.php?workbook=18_08.xlsx&amp;sheet=U0&amp;row=260&amp;col=7&amp;number=0.004&amp;sourceID=14","0.004")</f>
        <v>0.004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HYPERLINK("http://141.218.60.56/~jnz1568/getInfo.php?workbook=18_08.xlsx&amp;sheet=U0&amp;row=261&amp;col=6&amp;number=4.7&amp;sourceID=14","4.7")</f>
        <v>4.7</v>
      </c>
      <c r="G261" s="4" t="str">
        <f>HYPERLINK("http://141.218.60.56/~jnz1568/getInfo.php?workbook=18_08.xlsx&amp;sheet=U0&amp;row=261&amp;col=7&amp;number=0.00401&amp;sourceID=14","0.00401")</f>
        <v>0.00401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HYPERLINK("http://141.218.60.56/~jnz1568/getInfo.php?workbook=18_08.xlsx&amp;sheet=U0&amp;row=262&amp;col=6&amp;number=4.8&amp;sourceID=14","4.8")</f>
        <v>4.8</v>
      </c>
      <c r="G262" s="4" t="str">
        <f>HYPERLINK("http://141.218.60.56/~jnz1568/getInfo.php?workbook=18_08.xlsx&amp;sheet=U0&amp;row=262&amp;col=7&amp;number=0.00402&amp;sourceID=14","0.00402")</f>
        <v>0.00402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HYPERLINK("http://141.218.60.56/~jnz1568/getInfo.php?workbook=18_08.xlsx&amp;sheet=U0&amp;row=263&amp;col=6&amp;number=4.9&amp;sourceID=14","4.9")</f>
        <v>4.9</v>
      </c>
      <c r="G263" s="4" t="str">
        <f>HYPERLINK("http://141.218.60.56/~jnz1568/getInfo.php?workbook=18_08.xlsx&amp;sheet=U0&amp;row=263&amp;col=7&amp;number=0.00404&amp;sourceID=14","0.00404")</f>
        <v>0.00404</v>
      </c>
    </row>
    <row r="264" spans="1:7">
      <c r="A264" s="3">
        <v>18</v>
      </c>
      <c r="B264" s="3">
        <v>8</v>
      </c>
      <c r="C264" s="3" t="s">
        <v>46</v>
      </c>
      <c r="D264" s="3">
        <v>5</v>
      </c>
      <c r="E264" s="3">
        <v>1</v>
      </c>
      <c r="F264" s="4" t="str">
        <f>HYPERLINK("http://141.218.60.56/~jnz1568/getInfo.php?workbook=18_08.xlsx&amp;sheet=U0&amp;row=264&amp;col=6&amp;number=3&amp;sourceID=14","3")</f>
        <v>3</v>
      </c>
      <c r="G264" s="4" t="str">
        <f>HYPERLINK("http://141.218.60.56/~jnz1568/getInfo.php?workbook=18_08.xlsx&amp;sheet=U0&amp;row=264&amp;col=7&amp;number=0.00923&amp;sourceID=14","0.00923")</f>
        <v>0.00923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HYPERLINK("http://141.218.60.56/~jnz1568/getInfo.php?workbook=18_08.xlsx&amp;sheet=U0&amp;row=265&amp;col=6&amp;number=3.1&amp;sourceID=14","3.1")</f>
        <v>3.1</v>
      </c>
      <c r="G265" s="4" t="str">
        <f>HYPERLINK("http://141.218.60.56/~jnz1568/getInfo.php?workbook=18_08.xlsx&amp;sheet=U0&amp;row=265&amp;col=7&amp;number=0.00923&amp;sourceID=14","0.00923")</f>
        <v>0.00923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HYPERLINK("http://141.218.60.56/~jnz1568/getInfo.php?workbook=18_08.xlsx&amp;sheet=U0&amp;row=266&amp;col=6&amp;number=3.2&amp;sourceID=14","3.2")</f>
        <v>3.2</v>
      </c>
      <c r="G266" s="4" t="str">
        <f>HYPERLINK("http://141.218.60.56/~jnz1568/getInfo.php?workbook=18_08.xlsx&amp;sheet=U0&amp;row=266&amp;col=7&amp;number=0.00924&amp;sourceID=14","0.00924")</f>
        <v>0.00924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HYPERLINK("http://141.218.60.56/~jnz1568/getInfo.php?workbook=18_08.xlsx&amp;sheet=U0&amp;row=267&amp;col=6&amp;number=3.3&amp;sourceID=14","3.3")</f>
        <v>3.3</v>
      </c>
      <c r="G267" s="4" t="str">
        <f>HYPERLINK("http://141.218.60.56/~jnz1568/getInfo.php?workbook=18_08.xlsx&amp;sheet=U0&amp;row=267&amp;col=7&amp;number=0.00924&amp;sourceID=14","0.00924")</f>
        <v>0.00924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HYPERLINK("http://141.218.60.56/~jnz1568/getInfo.php?workbook=18_08.xlsx&amp;sheet=U0&amp;row=268&amp;col=6&amp;number=3.4&amp;sourceID=14","3.4")</f>
        <v>3.4</v>
      </c>
      <c r="G268" s="4" t="str">
        <f>HYPERLINK("http://141.218.60.56/~jnz1568/getInfo.php?workbook=18_08.xlsx&amp;sheet=U0&amp;row=268&amp;col=7&amp;number=0.00924&amp;sourceID=14","0.00924")</f>
        <v>0.00924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HYPERLINK("http://141.218.60.56/~jnz1568/getInfo.php?workbook=18_08.xlsx&amp;sheet=U0&amp;row=269&amp;col=6&amp;number=3.5&amp;sourceID=14","3.5")</f>
        <v>3.5</v>
      </c>
      <c r="G269" s="4" t="str">
        <f>HYPERLINK("http://141.218.60.56/~jnz1568/getInfo.php?workbook=18_08.xlsx&amp;sheet=U0&amp;row=269&amp;col=7&amp;number=0.00924&amp;sourceID=14","0.00924")</f>
        <v>0.00924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HYPERLINK("http://141.218.60.56/~jnz1568/getInfo.php?workbook=18_08.xlsx&amp;sheet=U0&amp;row=270&amp;col=6&amp;number=3.6&amp;sourceID=14","3.6")</f>
        <v>3.6</v>
      </c>
      <c r="G270" s="4" t="str">
        <f>HYPERLINK("http://141.218.60.56/~jnz1568/getInfo.php?workbook=18_08.xlsx&amp;sheet=U0&amp;row=270&amp;col=7&amp;number=0.00924&amp;sourceID=14","0.00924")</f>
        <v>0.00924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HYPERLINK("http://141.218.60.56/~jnz1568/getInfo.php?workbook=18_08.xlsx&amp;sheet=U0&amp;row=271&amp;col=6&amp;number=3.7&amp;sourceID=14","3.7")</f>
        <v>3.7</v>
      </c>
      <c r="G271" s="4" t="str">
        <f>HYPERLINK("http://141.218.60.56/~jnz1568/getInfo.php?workbook=18_08.xlsx&amp;sheet=U0&amp;row=271&amp;col=7&amp;number=0.00925&amp;sourceID=14","0.00925")</f>
        <v>0.00925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HYPERLINK("http://141.218.60.56/~jnz1568/getInfo.php?workbook=18_08.xlsx&amp;sheet=U0&amp;row=272&amp;col=6&amp;number=3.8&amp;sourceID=14","3.8")</f>
        <v>3.8</v>
      </c>
      <c r="G272" s="4" t="str">
        <f>HYPERLINK("http://141.218.60.56/~jnz1568/getInfo.php?workbook=18_08.xlsx&amp;sheet=U0&amp;row=272&amp;col=7&amp;number=0.00925&amp;sourceID=14","0.00925")</f>
        <v>0.00925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HYPERLINK("http://141.218.60.56/~jnz1568/getInfo.php?workbook=18_08.xlsx&amp;sheet=U0&amp;row=273&amp;col=6&amp;number=3.9&amp;sourceID=14","3.9")</f>
        <v>3.9</v>
      </c>
      <c r="G273" s="4" t="str">
        <f>HYPERLINK("http://141.218.60.56/~jnz1568/getInfo.php?workbook=18_08.xlsx&amp;sheet=U0&amp;row=273&amp;col=7&amp;number=0.00926&amp;sourceID=14","0.00926")</f>
        <v>0.00926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HYPERLINK("http://141.218.60.56/~jnz1568/getInfo.php?workbook=18_08.xlsx&amp;sheet=U0&amp;row=274&amp;col=6&amp;number=4&amp;sourceID=14","4")</f>
        <v>4</v>
      </c>
      <c r="G274" s="4" t="str">
        <f>HYPERLINK("http://141.218.60.56/~jnz1568/getInfo.php?workbook=18_08.xlsx&amp;sheet=U0&amp;row=274&amp;col=7&amp;number=0.00927&amp;sourceID=14","0.00927")</f>
        <v>0.00927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HYPERLINK("http://141.218.60.56/~jnz1568/getInfo.php?workbook=18_08.xlsx&amp;sheet=U0&amp;row=275&amp;col=6&amp;number=4.1&amp;sourceID=14","4.1")</f>
        <v>4.1</v>
      </c>
      <c r="G275" s="4" t="str">
        <f>HYPERLINK("http://141.218.60.56/~jnz1568/getInfo.php?workbook=18_08.xlsx&amp;sheet=U0&amp;row=275&amp;col=7&amp;number=0.00928&amp;sourceID=14","0.00928")</f>
        <v>0.00928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HYPERLINK("http://141.218.60.56/~jnz1568/getInfo.php?workbook=18_08.xlsx&amp;sheet=U0&amp;row=276&amp;col=6&amp;number=4.2&amp;sourceID=14","4.2")</f>
        <v>4.2</v>
      </c>
      <c r="G276" s="4" t="str">
        <f>HYPERLINK("http://141.218.60.56/~jnz1568/getInfo.php?workbook=18_08.xlsx&amp;sheet=U0&amp;row=276&amp;col=7&amp;number=0.00929&amp;sourceID=14","0.00929")</f>
        <v>0.00929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HYPERLINK("http://141.218.60.56/~jnz1568/getInfo.php?workbook=18_08.xlsx&amp;sheet=U0&amp;row=277&amp;col=6&amp;number=4.3&amp;sourceID=14","4.3")</f>
        <v>4.3</v>
      </c>
      <c r="G277" s="4" t="str">
        <f>HYPERLINK("http://141.218.60.56/~jnz1568/getInfo.php?workbook=18_08.xlsx&amp;sheet=U0&amp;row=277&amp;col=7&amp;number=0.0093&amp;sourceID=14","0.0093")</f>
        <v>0.0093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HYPERLINK("http://141.218.60.56/~jnz1568/getInfo.php?workbook=18_08.xlsx&amp;sheet=U0&amp;row=278&amp;col=6&amp;number=4.4&amp;sourceID=14","4.4")</f>
        <v>4.4</v>
      </c>
      <c r="G278" s="4" t="str">
        <f>HYPERLINK("http://141.218.60.56/~jnz1568/getInfo.php?workbook=18_08.xlsx&amp;sheet=U0&amp;row=278&amp;col=7&amp;number=0.00932&amp;sourceID=14","0.00932")</f>
        <v>0.00932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HYPERLINK("http://141.218.60.56/~jnz1568/getInfo.php?workbook=18_08.xlsx&amp;sheet=U0&amp;row=279&amp;col=6&amp;number=4.5&amp;sourceID=14","4.5")</f>
        <v>4.5</v>
      </c>
      <c r="G279" s="4" t="str">
        <f>HYPERLINK("http://141.218.60.56/~jnz1568/getInfo.php?workbook=18_08.xlsx&amp;sheet=U0&amp;row=279&amp;col=7&amp;number=0.00935&amp;sourceID=14","0.00935")</f>
        <v>0.00935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HYPERLINK("http://141.218.60.56/~jnz1568/getInfo.php?workbook=18_08.xlsx&amp;sheet=U0&amp;row=280&amp;col=6&amp;number=4.6&amp;sourceID=14","4.6")</f>
        <v>4.6</v>
      </c>
      <c r="G280" s="4" t="str">
        <f>HYPERLINK("http://141.218.60.56/~jnz1568/getInfo.php?workbook=18_08.xlsx&amp;sheet=U0&amp;row=280&amp;col=7&amp;number=0.00938&amp;sourceID=14","0.00938")</f>
        <v>0.00938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HYPERLINK("http://141.218.60.56/~jnz1568/getInfo.php?workbook=18_08.xlsx&amp;sheet=U0&amp;row=281&amp;col=6&amp;number=4.7&amp;sourceID=14","4.7")</f>
        <v>4.7</v>
      </c>
      <c r="G281" s="4" t="str">
        <f>HYPERLINK("http://141.218.60.56/~jnz1568/getInfo.php?workbook=18_08.xlsx&amp;sheet=U0&amp;row=281&amp;col=7&amp;number=0.00942&amp;sourceID=14","0.00942")</f>
        <v>0.00942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HYPERLINK("http://141.218.60.56/~jnz1568/getInfo.php?workbook=18_08.xlsx&amp;sheet=U0&amp;row=282&amp;col=6&amp;number=4.8&amp;sourceID=14","4.8")</f>
        <v>4.8</v>
      </c>
      <c r="G282" s="4" t="str">
        <f>HYPERLINK("http://141.218.60.56/~jnz1568/getInfo.php?workbook=18_08.xlsx&amp;sheet=U0&amp;row=282&amp;col=7&amp;number=0.00947&amp;sourceID=14","0.00947")</f>
        <v>0.00947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HYPERLINK("http://141.218.60.56/~jnz1568/getInfo.php?workbook=18_08.xlsx&amp;sheet=U0&amp;row=283&amp;col=6&amp;number=4.9&amp;sourceID=14","4.9")</f>
        <v>4.9</v>
      </c>
      <c r="G283" s="4" t="str">
        <f>HYPERLINK("http://141.218.60.56/~jnz1568/getInfo.php?workbook=18_08.xlsx&amp;sheet=U0&amp;row=283&amp;col=7&amp;number=0.00953&amp;sourceID=14","0.00953")</f>
        <v>0.00953</v>
      </c>
    </row>
    <row r="284" spans="1:7">
      <c r="A284" s="3">
        <v>18</v>
      </c>
      <c r="B284" s="3">
        <v>8</v>
      </c>
      <c r="C284" s="3" t="s">
        <v>46</v>
      </c>
      <c r="D284" s="3">
        <v>6</v>
      </c>
      <c r="E284" s="3">
        <v>1</v>
      </c>
      <c r="F284" s="4" t="str">
        <f>HYPERLINK("http://141.218.60.56/~jnz1568/getInfo.php?workbook=18_08.xlsx&amp;sheet=U0&amp;row=284&amp;col=6&amp;number=3&amp;sourceID=14","3")</f>
        <v>3</v>
      </c>
      <c r="G284" s="4" t="str">
        <f>HYPERLINK("http://141.218.60.56/~jnz1568/getInfo.php?workbook=18_08.xlsx&amp;sheet=U0&amp;row=284&amp;col=7&amp;number=0.00443&amp;sourceID=14","0.00443")</f>
        <v>0.00443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HYPERLINK("http://141.218.60.56/~jnz1568/getInfo.php?workbook=18_08.xlsx&amp;sheet=U0&amp;row=285&amp;col=6&amp;number=3.1&amp;sourceID=14","3.1")</f>
        <v>3.1</v>
      </c>
      <c r="G285" s="4" t="str">
        <f>HYPERLINK("http://141.218.60.56/~jnz1568/getInfo.php?workbook=18_08.xlsx&amp;sheet=U0&amp;row=285&amp;col=7&amp;number=0.00443&amp;sourceID=14","0.00443")</f>
        <v>0.00443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HYPERLINK("http://141.218.60.56/~jnz1568/getInfo.php?workbook=18_08.xlsx&amp;sheet=U0&amp;row=286&amp;col=6&amp;number=3.2&amp;sourceID=14","3.2")</f>
        <v>3.2</v>
      </c>
      <c r="G286" s="4" t="str">
        <f>HYPERLINK("http://141.218.60.56/~jnz1568/getInfo.php?workbook=18_08.xlsx&amp;sheet=U0&amp;row=286&amp;col=7&amp;number=0.00443&amp;sourceID=14","0.00443")</f>
        <v>0.00443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HYPERLINK("http://141.218.60.56/~jnz1568/getInfo.php?workbook=18_08.xlsx&amp;sheet=U0&amp;row=287&amp;col=6&amp;number=3.3&amp;sourceID=14","3.3")</f>
        <v>3.3</v>
      </c>
      <c r="G287" s="4" t="str">
        <f>HYPERLINK("http://141.218.60.56/~jnz1568/getInfo.php?workbook=18_08.xlsx&amp;sheet=U0&amp;row=287&amp;col=7&amp;number=0.00443&amp;sourceID=14","0.00443")</f>
        <v>0.00443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HYPERLINK("http://141.218.60.56/~jnz1568/getInfo.php?workbook=18_08.xlsx&amp;sheet=U0&amp;row=288&amp;col=6&amp;number=3.4&amp;sourceID=14","3.4")</f>
        <v>3.4</v>
      </c>
      <c r="G288" s="4" t="str">
        <f>HYPERLINK("http://141.218.60.56/~jnz1568/getInfo.php?workbook=18_08.xlsx&amp;sheet=U0&amp;row=288&amp;col=7&amp;number=0.00443&amp;sourceID=14","0.00443")</f>
        <v>0.00443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HYPERLINK("http://141.218.60.56/~jnz1568/getInfo.php?workbook=18_08.xlsx&amp;sheet=U0&amp;row=289&amp;col=6&amp;number=3.5&amp;sourceID=14","3.5")</f>
        <v>3.5</v>
      </c>
      <c r="G289" s="4" t="str">
        <f>HYPERLINK("http://141.218.60.56/~jnz1568/getInfo.php?workbook=18_08.xlsx&amp;sheet=U0&amp;row=289&amp;col=7&amp;number=0.00443&amp;sourceID=14","0.00443")</f>
        <v>0.00443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HYPERLINK("http://141.218.60.56/~jnz1568/getInfo.php?workbook=18_08.xlsx&amp;sheet=U0&amp;row=290&amp;col=6&amp;number=3.6&amp;sourceID=14","3.6")</f>
        <v>3.6</v>
      </c>
      <c r="G290" s="4" t="str">
        <f>HYPERLINK("http://141.218.60.56/~jnz1568/getInfo.php?workbook=18_08.xlsx&amp;sheet=U0&amp;row=290&amp;col=7&amp;number=0.00443&amp;sourceID=14","0.00443")</f>
        <v>0.00443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HYPERLINK("http://141.218.60.56/~jnz1568/getInfo.php?workbook=18_08.xlsx&amp;sheet=U0&amp;row=291&amp;col=6&amp;number=3.7&amp;sourceID=14","3.7")</f>
        <v>3.7</v>
      </c>
      <c r="G291" s="4" t="str">
        <f>HYPERLINK("http://141.218.60.56/~jnz1568/getInfo.php?workbook=18_08.xlsx&amp;sheet=U0&amp;row=291&amp;col=7&amp;number=0.00443&amp;sourceID=14","0.00443")</f>
        <v>0.00443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HYPERLINK("http://141.218.60.56/~jnz1568/getInfo.php?workbook=18_08.xlsx&amp;sheet=U0&amp;row=292&amp;col=6&amp;number=3.8&amp;sourceID=14","3.8")</f>
        <v>3.8</v>
      </c>
      <c r="G292" s="4" t="str">
        <f>HYPERLINK("http://141.218.60.56/~jnz1568/getInfo.php?workbook=18_08.xlsx&amp;sheet=U0&amp;row=292&amp;col=7&amp;number=0.00443&amp;sourceID=14","0.00443")</f>
        <v>0.00443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HYPERLINK("http://141.218.60.56/~jnz1568/getInfo.php?workbook=18_08.xlsx&amp;sheet=U0&amp;row=293&amp;col=6&amp;number=3.9&amp;sourceID=14","3.9")</f>
        <v>3.9</v>
      </c>
      <c r="G293" s="4" t="str">
        <f>HYPERLINK("http://141.218.60.56/~jnz1568/getInfo.php?workbook=18_08.xlsx&amp;sheet=U0&amp;row=293&amp;col=7&amp;number=0.00443&amp;sourceID=14","0.00443")</f>
        <v>0.00443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HYPERLINK("http://141.218.60.56/~jnz1568/getInfo.php?workbook=18_08.xlsx&amp;sheet=U0&amp;row=294&amp;col=6&amp;number=4&amp;sourceID=14","4")</f>
        <v>4</v>
      </c>
      <c r="G294" s="4" t="str">
        <f>HYPERLINK("http://141.218.60.56/~jnz1568/getInfo.php?workbook=18_08.xlsx&amp;sheet=U0&amp;row=294&amp;col=7&amp;number=0.00443&amp;sourceID=14","0.00443")</f>
        <v>0.00443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HYPERLINK("http://141.218.60.56/~jnz1568/getInfo.php?workbook=18_08.xlsx&amp;sheet=U0&amp;row=295&amp;col=6&amp;number=4.1&amp;sourceID=14","4.1")</f>
        <v>4.1</v>
      </c>
      <c r="G295" s="4" t="str">
        <f>HYPERLINK("http://141.218.60.56/~jnz1568/getInfo.php?workbook=18_08.xlsx&amp;sheet=U0&amp;row=295&amp;col=7&amp;number=0.00443&amp;sourceID=14","0.00443")</f>
        <v>0.00443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HYPERLINK("http://141.218.60.56/~jnz1568/getInfo.php?workbook=18_08.xlsx&amp;sheet=U0&amp;row=296&amp;col=6&amp;number=4.2&amp;sourceID=14","4.2")</f>
        <v>4.2</v>
      </c>
      <c r="G296" s="4" t="str">
        <f>HYPERLINK("http://141.218.60.56/~jnz1568/getInfo.php?workbook=18_08.xlsx&amp;sheet=U0&amp;row=296&amp;col=7&amp;number=0.00443&amp;sourceID=14","0.00443")</f>
        <v>0.00443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HYPERLINK("http://141.218.60.56/~jnz1568/getInfo.php?workbook=18_08.xlsx&amp;sheet=U0&amp;row=297&amp;col=6&amp;number=4.3&amp;sourceID=14","4.3")</f>
        <v>4.3</v>
      </c>
      <c r="G297" s="4" t="str">
        <f>HYPERLINK("http://141.218.60.56/~jnz1568/getInfo.php?workbook=18_08.xlsx&amp;sheet=U0&amp;row=297&amp;col=7&amp;number=0.00442&amp;sourceID=14","0.00442")</f>
        <v>0.00442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HYPERLINK("http://141.218.60.56/~jnz1568/getInfo.php?workbook=18_08.xlsx&amp;sheet=U0&amp;row=298&amp;col=6&amp;number=4.4&amp;sourceID=14","4.4")</f>
        <v>4.4</v>
      </c>
      <c r="G298" s="4" t="str">
        <f>HYPERLINK("http://141.218.60.56/~jnz1568/getInfo.php?workbook=18_08.xlsx&amp;sheet=U0&amp;row=298&amp;col=7&amp;number=0.00442&amp;sourceID=14","0.00442")</f>
        <v>0.00442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HYPERLINK("http://141.218.60.56/~jnz1568/getInfo.php?workbook=18_08.xlsx&amp;sheet=U0&amp;row=299&amp;col=6&amp;number=4.5&amp;sourceID=14","4.5")</f>
        <v>4.5</v>
      </c>
      <c r="G299" s="4" t="str">
        <f>HYPERLINK("http://141.218.60.56/~jnz1568/getInfo.php?workbook=18_08.xlsx&amp;sheet=U0&amp;row=299&amp;col=7&amp;number=0.00442&amp;sourceID=14","0.00442")</f>
        <v>0.00442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HYPERLINK("http://141.218.60.56/~jnz1568/getInfo.php?workbook=18_08.xlsx&amp;sheet=U0&amp;row=300&amp;col=6&amp;number=4.6&amp;sourceID=14","4.6")</f>
        <v>4.6</v>
      </c>
      <c r="G300" s="4" t="str">
        <f>HYPERLINK("http://141.218.60.56/~jnz1568/getInfo.php?workbook=18_08.xlsx&amp;sheet=U0&amp;row=300&amp;col=7&amp;number=0.00442&amp;sourceID=14","0.00442")</f>
        <v>0.00442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HYPERLINK("http://141.218.60.56/~jnz1568/getInfo.php?workbook=18_08.xlsx&amp;sheet=U0&amp;row=301&amp;col=6&amp;number=4.7&amp;sourceID=14","4.7")</f>
        <v>4.7</v>
      </c>
      <c r="G301" s="4" t="str">
        <f>HYPERLINK("http://141.218.60.56/~jnz1568/getInfo.php?workbook=18_08.xlsx&amp;sheet=U0&amp;row=301&amp;col=7&amp;number=0.00441&amp;sourceID=14","0.00441")</f>
        <v>0.00441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HYPERLINK("http://141.218.60.56/~jnz1568/getInfo.php?workbook=18_08.xlsx&amp;sheet=U0&amp;row=302&amp;col=6&amp;number=4.8&amp;sourceID=14","4.8")</f>
        <v>4.8</v>
      </c>
      <c r="G302" s="4" t="str">
        <f>HYPERLINK("http://141.218.60.56/~jnz1568/getInfo.php?workbook=18_08.xlsx&amp;sheet=U0&amp;row=302&amp;col=7&amp;number=0.00441&amp;sourceID=14","0.00441")</f>
        <v>0.00441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HYPERLINK("http://141.218.60.56/~jnz1568/getInfo.php?workbook=18_08.xlsx&amp;sheet=U0&amp;row=303&amp;col=6&amp;number=4.9&amp;sourceID=14","4.9")</f>
        <v>4.9</v>
      </c>
      <c r="G303" s="4" t="str">
        <f>HYPERLINK("http://141.218.60.56/~jnz1568/getInfo.php?workbook=18_08.xlsx&amp;sheet=U0&amp;row=303&amp;col=7&amp;number=0.0044&amp;sourceID=14","0.0044")</f>
        <v>0.0044</v>
      </c>
    </row>
    <row r="304" spans="1:7">
      <c r="A304" s="3">
        <v>18</v>
      </c>
      <c r="B304" s="3">
        <v>8</v>
      </c>
      <c r="C304" s="3" t="s">
        <v>46</v>
      </c>
      <c r="D304" s="3">
        <v>7</v>
      </c>
      <c r="E304" s="3">
        <v>1</v>
      </c>
      <c r="F304" s="4" t="str">
        <f>HYPERLINK("http://141.218.60.56/~jnz1568/getInfo.php?workbook=18_08.xlsx&amp;sheet=U0&amp;row=304&amp;col=6&amp;number=3&amp;sourceID=14","3")</f>
        <v>3</v>
      </c>
      <c r="G304" s="4" t="str">
        <f>HYPERLINK("http://141.218.60.56/~jnz1568/getInfo.php?workbook=18_08.xlsx&amp;sheet=U0&amp;row=304&amp;col=7&amp;number=0.00951&amp;sourceID=14","0.00951")</f>
        <v>0.00951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HYPERLINK("http://141.218.60.56/~jnz1568/getInfo.php?workbook=18_08.xlsx&amp;sheet=U0&amp;row=305&amp;col=6&amp;number=3.1&amp;sourceID=14","3.1")</f>
        <v>3.1</v>
      </c>
      <c r="G305" s="4" t="str">
        <f>HYPERLINK("http://141.218.60.56/~jnz1568/getInfo.php?workbook=18_08.xlsx&amp;sheet=U0&amp;row=305&amp;col=7&amp;number=0.00951&amp;sourceID=14","0.00951")</f>
        <v>0.00951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HYPERLINK("http://141.218.60.56/~jnz1568/getInfo.php?workbook=18_08.xlsx&amp;sheet=U0&amp;row=306&amp;col=6&amp;number=3.2&amp;sourceID=14","3.2")</f>
        <v>3.2</v>
      </c>
      <c r="G306" s="4" t="str">
        <f>HYPERLINK("http://141.218.60.56/~jnz1568/getInfo.php?workbook=18_08.xlsx&amp;sheet=U0&amp;row=306&amp;col=7&amp;number=0.00951&amp;sourceID=14","0.00951")</f>
        <v>0.00951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HYPERLINK("http://141.218.60.56/~jnz1568/getInfo.php?workbook=18_08.xlsx&amp;sheet=U0&amp;row=307&amp;col=6&amp;number=3.3&amp;sourceID=14","3.3")</f>
        <v>3.3</v>
      </c>
      <c r="G307" s="4" t="str">
        <f>HYPERLINK("http://141.218.60.56/~jnz1568/getInfo.php?workbook=18_08.xlsx&amp;sheet=U0&amp;row=307&amp;col=7&amp;number=0.0095&amp;sourceID=14","0.0095")</f>
        <v>0.0095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HYPERLINK("http://141.218.60.56/~jnz1568/getInfo.php?workbook=18_08.xlsx&amp;sheet=U0&amp;row=308&amp;col=6&amp;number=3.4&amp;sourceID=14","3.4")</f>
        <v>3.4</v>
      </c>
      <c r="G308" s="4" t="str">
        <f>HYPERLINK("http://141.218.60.56/~jnz1568/getInfo.php?workbook=18_08.xlsx&amp;sheet=U0&amp;row=308&amp;col=7&amp;number=0.0095&amp;sourceID=14","0.0095")</f>
        <v>0.0095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HYPERLINK("http://141.218.60.56/~jnz1568/getInfo.php?workbook=18_08.xlsx&amp;sheet=U0&amp;row=309&amp;col=6&amp;number=3.5&amp;sourceID=14","3.5")</f>
        <v>3.5</v>
      </c>
      <c r="G309" s="4" t="str">
        <f>HYPERLINK("http://141.218.60.56/~jnz1568/getInfo.php?workbook=18_08.xlsx&amp;sheet=U0&amp;row=309&amp;col=7&amp;number=0.0095&amp;sourceID=14","0.0095")</f>
        <v>0.0095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HYPERLINK("http://141.218.60.56/~jnz1568/getInfo.php?workbook=18_08.xlsx&amp;sheet=U0&amp;row=310&amp;col=6&amp;number=3.6&amp;sourceID=14","3.6")</f>
        <v>3.6</v>
      </c>
      <c r="G310" s="4" t="str">
        <f>HYPERLINK("http://141.218.60.56/~jnz1568/getInfo.php?workbook=18_08.xlsx&amp;sheet=U0&amp;row=310&amp;col=7&amp;number=0.0095&amp;sourceID=14","0.0095")</f>
        <v>0.0095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HYPERLINK("http://141.218.60.56/~jnz1568/getInfo.php?workbook=18_08.xlsx&amp;sheet=U0&amp;row=311&amp;col=6&amp;number=3.7&amp;sourceID=14","3.7")</f>
        <v>3.7</v>
      </c>
      <c r="G311" s="4" t="str">
        <f>HYPERLINK("http://141.218.60.56/~jnz1568/getInfo.php?workbook=18_08.xlsx&amp;sheet=U0&amp;row=311&amp;col=7&amp;number=0.0095&amp;sourceID=14","0.0095")</f>
        <v>0.0095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HYPERLINK("http://141.218.60.56/~jnz1568/getInfo.php?workbook=18_08.xlsx&amp;sheet=U0&amp;row=312&amp;col=6&amp;number=3.8&amp;sourceID=14","3.8")</f>
        <v>3.8</v>
      </c>
      <c r="G312" s="4" t="str">
        <f>HYPERLINK("http://141.218.60.56/~jnz1568/getInfo.php?workbook=18_08.xlsx&amp;sheet=U0&amp;row=312&amp;col=7&amp;number=0.00949&amp;sourceID=14","0.00949")</f>
        <v>0.00949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HYPERLINK("http://141.218.60.56/~jnz1568/getInfo.php?workbook=18_08.xlsx&amp;sheet=U0&amp;row=313&amp;col=6&amp;number=3.9&amp;sourceID=14","3.9")</f>
        <v>3.9</v>
      </c>
      <c r="G313" s="4" t="str">
        <f>HYPERLINK("http://141.218.60.56/~jnz1568/getInfo.php?workbook=18_08.xlsx&amp;sheet=U0&amp;row=313&amp;col=7&amp;number=0.00949&amp;sourceID=14","0.00949")</f>
        <v>0.00949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HYPERLINK("http://141.218.60.56/~jnz1568/getInfo.php?workbook=18_08.xlsx&amp;sheet=U0&amp;row=314&amp;col=6&amp;number=4&amp;sourceID=14","4")</f>
        <v>4</v>
      </c>
      <c r="G314" s="4" t="str">
        <f>HYPERLINK("http://141.218.60.56/~jnz1568/getInfo.php?workbook=18_08.xlsx&amp;sheet=U0&amp;row=314&amp;col=7&amp;number=0.00948&amp;sourceID=14","0.00948")</f>
        <v>0.00948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HYPERLINK("http://141.218.60.56/~jnz1568/getInfo.php?workbook=18_08.xlsx&amp;sheet=U0&amp;row=315&amp;col=6&amp;number=4.1&amp;sourceID=14","4.1")</f>
        <v>4.1</v>
      </c>
      <c r="G315" s="4" t="str">
        <f>HYPERLINK("http://141.218.60.56/~jnz1568/getInfo.php?workbook=18_08.xlsx&amp;sheet=U0&amp;row=315&amp;col=7&amp;number=0.00948&amp;sourceID=14","0.00948")</f>
        <v>0.00948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HYPERLINK("http://141.218.60.56/~jnz1568/getInfo.php?workbook=18_08.xlsx&amp;sheet=U0&amp;row=316&amp;col=6&amp;number=4.2&amp;sourceID=14","4.2")</f>
        <v>4.2</v>
      </c>
      <c r="G316" s="4" t="str">
        <f>HYPERLINK("http://141.218.60.56/~jnz1568/getInfo.php?workbook=18_08.xlsx&amp;sheet=U0&amp;row=316&amp;col=7&amp;number=0.00947&amp;sourceID=14","0.00947")</f>
        <v>0.00947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HYPERLINK("http://141.218.60.56/~jnz1568/getInfo.php?workbook=18_08.xlsx&amp;sheet=U0&amp;row=317&amp;col=6&amp;number=4.3&amp;sourceID=14","4.3")</f>
        <v>4.3</v>
      </c>
      <c r="G317" s="4" t="str">
        <f>HYPERLINK("http://141.218.60.56/~jnz1568/getInfo.php?workbook=18_08.xlsx&amp;sheet=U0&amp;row=317&amp;col=7&amp;number=0.00946&amp;sourceID=14","0.00946")</f>
        <v>0.00946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HYPERLINK("http://141.218.60.56/~jnz1568/getInfo.php?workbook=18_08.xlsx&amp;sheet=U0&amp;row=318&amp;col=6&amp;number=4.4&amp;sourceID=14","4.4")</f>
        <v>4.4</v>
      </c>
      <c r="G318" s="4" t="str">
        <f>HYPERLINK("http://141.218.60.56/~jnz1568/getInfo.php?workbook=18_08.xlsx&amp;sheet=U0&amp;row=318&amp;col=7&amp;number=0.00945&amp;sourceID=14","0.00945")</f>
        <v>0.00945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HYPERLINK("http://141.218.60.56/~jnz1568/getInfo.php?workbook=18_08.xlsx&amp;sheet=U0&amp;row=319&amp;col=6&amp;number=4.5&amp;sourceID=14","4.5")</f>
        <v>4.5</v>
      </c>
      <c r="G319" s="4" t="str">
        <f>HYPERLINK("http://141.218.60.56/~jnz1568/getInfo.php?workbook=18_08.xlsx&amp;sheet=U0&amp;row=319&amp;col=7&amp;number=0.00943&amp;sourceID=14","0.00943")</f>
        <v>0.00943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HYPERLINK("http://141.218.60.56/~jnz1568/getInfo.php?workbook=18_08.xlsx&amp;sheet=U0&amp;row=320&amp;col=6&amp;number=4.6&amp;sourceID=14","4.6")</f>
        <v>4.6</v>
      </c>
      <c r="G320" s="4" t="str">
        <f>HYPERLINK("http://141.218.60.56/~jnz1568/getInfo.php?workbook=18_08.xlsx&amp;sheet=U0&amp;row=320&amp;col=7&amp;number=0.00941&amp;sourceID=14","0.00941")</f>
        <v>0.00941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HYPERLINK("http://141.218.60.56/~jnz1568/getInfo.php?workbook=18_08.xlsx&amp;sheet=U0&amp;row=321&amp;col=6&amp;number=4.7&amp;sourceID=14","4.7")</f>
        <v>4.7</v>
      </c>
      <c r="G321" s="4" t="str">
        <f>HYPERLINK("http://141.218.60.56/~jnz1568/getInfo.php?workbook=18_08.xlsx&amp;sheet=U0&amp;row=321&amp;col=7&amp;number=0.00939&amp;sourceID=14","0.00939")</f>
        <v>0.00939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HYPERLINK("http://141.218.60.56/~jnz1568/getInfo.php?workbook=18_08.xlsx&amp;sheet=U0&amp;row=322&amp;col=6&amp;number=4.8&amp;sourceID=14","4.8")</f>
        <v>4.8</v>
      </c>
      <c r="G322" s="4" t="str">
        <f>HYPERLINK("http://141.218.60.56/~jnz1568/getInfo.php?workbook=18_08.xlsx&amp;sheet=U0&amp;row=322&amp;col=7&amp;number=0.00936&amp;sourceID=14","0.00936")</f>
        <v>0.00936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HYPERLINK("http://141.218.60.56/~jnz1568/getInfo.php?workbook=18_08.xlsx&amp;sheet=U0&amp;row=323&amp;col=6&amp;number=4.9&amp;sourceID=14","4.9")</f>
        <v>4.9</v>
      </c>
      <c r="G323" s="4" t="str">
        <f>HYPERLINK("http://141.218.60.56/~jnz1568/getInfo.php?workbook=18_08.xlsx&amp;sheet=U0&amp;row=323&amp;col=7&amp;number=0.00932&amp;sourceID=14","0.00932")</f>
        <v>0.00932</v>
      </c>
    </row>
    <row r="324" spans="1:7">
      <c r="A324" s="3">
        <v>18</v>
      </c>
      <c r="B324" s="3">
        <v>8</v>
      </c>
      <c r="C324" s="3" t="s">
        <v>46</v>
      </c>
      <c r="D324" s="3">
        <v>8</v>
      </c>
      <c r="E324" s="3">
        <v>1</v>
      </c>
      <c r="F324" s="4" t="str">
        <f>HYPERLINK("http://141.218.60.56/~jnz1568/getInfo.php?workbook=18_08.xlsx&amp;sheet=U0&amp;row=324&amp;col=6&amp;number=3&amp;sourceID=14","3")</f>
        <v>3</v>
      </c>
      <c r="G324" s="4" t="str">
        <f>HYPERLINK("http://141.218.60.56/~jnz1568/getInfo.php?workbook=18_08.xlsx&amp;sheet=U0&amp;row=324&amp;col=7&amp;number=0.016&amp;sourceID=14","0.016")</f>
        <v>0.016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HYPERLINK("http://141.218.60.56/~jnz1568/getInfo.php?workbook=18_08.xlsx&amp;sheet=U0&amp;row=325&amp;col=6&amp;number=3.1&amp;sourceID=14","3.1")</f>
        <v>3.1</v>
      </c>
      <c r="G325" s="4" t="str">
        <f>HYPERLINK("http://141.218.60.56/~jnz1568/getInfo.php?workbook=18_08.xlsx&amp;sheet=U0&amp;row=325&amp;col=7&amp;number=0.016&amp;sourceID=14","0.016")</f>
        <v>0.016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HYPERLINK("http://141.218.60.56/~jnz1568/getInfo.php?workbook=18_08.xlsx&amp;sheet=U0&amp;row=326&amp;col=6&amp;number=3.2&amp;sourceID=14","3.2")</f>
        <v>3.2</v>
      </c>
      <c r="G326" s="4" t="str">
        <f>HYPERLINK("http://141.218.60.56/~jnz1568/getInfo.php?workbook=18_08.xlsx&amp;sheet=U0&amp;row=326&amp;col=7&amp;number=0.016&amp;sourceID=14","0.016")</f>
        <v>0.016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HYPERLINK("http://141.218.60.56/~jnz1568/getInfo.php?workbook=18_08.xlsx&amp;sheet=U0&amp;row=327&amp;col=6&amp;number=3.3&amp;sourceID=14","3.3")</f>
        <v>3.3</v>
      </c>
      <c r="G327" s="4" t="str">
        <f>HYPERLINK("http://141.218.60.56/~jnz1568/getInfo.php?workbook=18_08.xlsx&amp;sheet=U0&amp;row=327&amp;col=7&amp;number=0.016&amp;sourceID=14","0.016")</f>
        <v>0.016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HYPERLINK("http://141.218.60.56/~jnz1568/getInfo.php?workbook=18_08.xlsx&amp;sheet=U0&amp;row=328&amp;col=6&amp;number=3.4&amp;sourceID=14","3.4")</f>
        <v>3.4</v>
      </c>
      <c r="G328" s="4" t="str">
        <f>HYPERLINK("http://141.218.60.56/~jnz1568/getInfo.php?workbook=18_08.xlsx&amp;sheet=U0&amp;row=328&amp;col=7&amp;number=0.016&amp;sourceID=14","0.016")</f>
        <v>0.016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HYPERLINK("http://141.218.60.56/~jnz1568/getInfo.php?workbook=18_08.xlsx&amp;sheet=U0&amp;row=329&amp;col=6&amp;number=3.5&amp;sourceID=14","3.5")</f>
        <v>3.5</v>
      </c>
      <c r="G329" s="4" t="str">
        <f>HYPERLINK("http://141.218.60.56/~jnz1568/getInfo.php?workbook=18_08.xlsx&amp;sheet=U0&amp;row=329&amp;col=7&amp;number=0.016&amp;sourceID=14","0.016")</f>
        <v>0.016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HYPERLINK("http://141.218.60.56/~jnz1568/getInfo.php?workbook=18_08.xlsx&amp;sheet=U0&amp;row=330&amp;col=6&amp;number=3.6&amp;sourceID=14","3.6")</f>
        <v>3.6</v>
      </c>
      <c r="G330" s="4" t="str">
        <f>HYPERLINK("http://141.218.60.56/~jnz1568/getInfo.php?workbook=18_08.xlsx&amp;sheet=U0&amp;row=330&amp;col=7&amp;number=0.016&amp;sourceID=14","0.016")</f>
        <v>0.016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HYPERLINK("http://141.218.60.56/~jnz1568/getInfo.php?workbook=18_08.xlsx&amp;sheet=U0&amp;row=331&amp;col=6&amp;number=3.7&amp;sourceID=14","3.7")</f>
        <v>3.7</v>
      </c>
      <c r="G331" s="4" t="str">
        <f>HYPERLINK("http://141.218.60.56/~jnz1568/getInfo.php?workbook=18_08.xlsx&amp;sheet=U0&amp;row=331&amp;col=7&amp;number=0.016&amp;sourceID=14","0.016")</f>
        <v>0.016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HYPERLINK("http://141.218.60.56/~jnz1568/getInfo.php?workbook=18_08.xlsx&amp;sheet=U0&amp;row=332&amp;col=6&amp;number=3.8&amp;sourceID=14","3.8")</f>
        <v>3.8</v>
      </c>
      <c r="G332" s="4" t="str">
        <f>HYPERLINK("http://141.218.60.56/~jnz1568/getInfo.php?workbook=18_08.xlsx&amp;sheet=U0&amp;row=332&amp;col=7&amp;number=0.016&amp;sourceID=14","0.016")</f>
        <v>0.016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HYPERLINK("http://141.218.60.56/~jnz1568/getInfo.php?workbook=18_08.xlsx&amp;sheet=U0&amp;row=333&amp;col=6&amp;number=3.9&amp;sourceID=14","3.9")</f>
        <v>3.9</v>
      </c>
      <c r="G333" s="4" t="str">
        <f>HYPERLINK("http://141.218.60.56/~jnz1568/getInfo.php?workbook=18_08.xlsx&amp;sheet=U0&amp;row=333&amp;col=7&amp;number=0.016&amp;sourceID=14","0.016")</f>
        <v>0.016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HYPERLINK("http://141.218.60.56/~jnz1568/getInfo.php?workbook=18_08.xlsx&amp;sheet=U0&amp;row=334&amp;col=6&amp;number=4&amp;sourceID=14","4")</f>
        <v>4</v>
      </c>
      <c r="G334" s="4" t="str">
        <f>HYPERLINK("http://141.218.60.56/~jnz1568/getInfo.php?workbook=18_08.xlsx&amp;sheet=U0&amp;row=334&amp;col=7&amp;number=0.016&amp;sourceID=14","0.016")</f>
        <v>0.016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HYPERLINK("http://141.218.60.56/~jnz1568/getInfo.php?workbook=18_08.xlsx&amp;sheet=U0&amp;row=335&amp;col=6&amp;number=4.1&amp;sourceID=14","4.1")</f>
        <v>4.1</v>
      </c>
      <c r="G335" s="4" t="str">
        <f>HYPERLINK("http://141.218.60.56/~jnz1568/getInfo.php?workbook=18_08.xlsx&amp;sheet=U0&amp;row=335&amp;col=7&amp;number=0.016&amp;sourceID=14","0.016")</f>
        <v>0.016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HYPERLINK("http://141.218.60.56/~jnz1568/getInfo.php?workbook=18_08.xlsx&amp;sheet=U0&amp;row=336&amp;col=6&amp;number=4.2&amp;sourceID=14","4.2")</f>
        <v>4.2</v>
      </c>
      <c r="G336" s="4" t="str">
        <f>HYPERLINK("http://141.218.60.56/~jnz1568/getInfo.php?workbook=18_08.xlsx&amp;sheet=U0&amp;row=336&amp;col=7&amp;number=0.0159&amp;sourceID=14","0.0159")</f>
        <v>0.0159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HYPERLINK("http://141.218.60.56/~jnz1568/getInfo.php?workbook=18_08.xlsx&amp;sheet=U0&amp;row=337&amp;col=6&amp;number=4.3&amp;sourceID=14","4.3")</f>
        <v>4.3</v>
      </c>
      <c r="G337" s="4" t="str">
        <f>HYPERLINK("http://141.218.60.56/~jnz1568/getInfo.php?workbook=18_08.xlsx&amp;sheet=U0&amp;row=337&amp;col=7&amp;number=0.0159&amp;sourceID=14","0.0159")</f>
        <v>0.0159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HYPERLINK("http://141.218.60.56/~jnz1568/getInfo.php?workbook=18_08.xlsx&amp;sheet=U0&amp;row=338&amp;col=6&amp;number=4.4&amp;sourceID=14","4.4")</f>
        <v>4.4</v>
      </c>
      <c r="G338" s="4" t="str">
        <f>HYPERLINK("http://141.218.60.56/~jnz1568/getInfo.php?workbook=18_08.xlsx&amp;sheet=U0&amp;row=338&amp;col=7&amp;number=0.0159&amp;sourceID=14","0.0159")</f>
        <v>0.0159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HYPERLINK("http://141.218.60.56/~jnz1568/getInfo.php?workbook=18_08.xlsx&amp;sheet=U0&amp;row=339&amp;col=6&amp;number=4.5&amp;sourceID=14","4.5")</f>
        <v>4.5</v>
      </c>
      <c r="G339" s="4" t="str">
        <f>HYPERLINK("http://141.218.60.56/~jnz1568/getInfo.php?workbook=18_08.xlsx&amp;sheet=U0&amp;row=339&amp;col=7&amp;number=0.0159&amp;sourceID=14","0.0159")</f>
        <v>0.0159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HYPERLINK("http://141.218.60.56/~jnz1568/getInfo.php?workbook=18_08.xlsx&amp;sheet=U0&amp;row=340&amp;col=6&amp;number=4.6&amp;sourceID=14","4.6")</f>
        <v>4.6</v>
      </c>
      <c r="G340" s="4" t="str">
        <f>HYPERLINK("http://141.218.60.56/~jnz1568/getInfo.php?workbook=18_08.xlsx&amp;sheet=U0&amp;row=340&amp;col=7&amp;number=0.0158&amp;sourceID=14","0.0158")</f>
        <v>0.0158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HYPERLINK("http://141.218.60.56/~jnz1568/getInfo.php?workbook=18_08.xlsx&amp;sheet=U0&amp;row=341&amp;col=6&amp;number=4.7&amp;sourceID=14","4.7")</f>
        <v>4.7</v>
      </c>
      <c r="G341" s="4" t="str">
        <f>HYPERLINK("http://141.218.60.56/~jnz1568/getInfo.php?workbook=18_08.xlsx&amp;sheet=U0&amp;row=341&amp;col=7&amp;number=0.0158&amp;sourceID=14","0.0158")</f>
        <v>0.0158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HYPERLINK("http://141.218.60.56/~jnz1568/getInfo.php?workbook=18_08.xlsx&amp;sheet=U0&amp;row=342&amp;col=6&amp;number=4.8&amp;sourceID=14","4.8")</f>
        <v>4.8</v>
      </c>
      <c r="G342" s="4" t="str">
        <f>HYPERLINK("http://141.218.60.56/~jnz1568/getInfo.php?workbook=18_08.xlsx&amp;sheet=U0&amp;row=342&amp;col=7&amp;number=0.0158&amp;sourceID=14","0.0158")</f>
        <v>0.0158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HYPERLINK("http://141.218.60.56/~jnz1568/getInfo.php?workbook=18_08.xlsx&amp;sheet=U0&amp;row=343&amp;col=6&amp;number=4.9&amp;sourceID=14","4.9")</f>
        <v>4.9</v>
      </c>
      <c r="G343" s="4" t="str">
        <f>HYPERLINK("http://141.218.60.56/~jnz1568/getInfo.php?workbook=18_08.xlsx&amp;sheet=U0&amp;row=343&amp;col=7&amp;number=0.0157&amp;sourceID=14","0.0157")</f>
        <v>0.0157</v>
      </c>
    </row>
    <row r="344" spans="1:7">
      <c r="A344" s="3">
        <v>18</v>
      </c>
      <c r="B344" s="3">
        <v>8</v>
      </c>
      <c r="C344" s="3" t="s">
        <v>46</v>
      </c>
      <c r="D344" s="3">
        <v>9</v>
      </c>
      <c r="E344" s="3">
        <v>1</v>
      </c>
      <c r="F344" s="4" t="str">
        <f>HYPERLINK("http://141.218.60.56/~jnz1568/getInfo.php?workbook=18_08.xlsx&amp;sheet=U0&amp;row=344&amp;col=6&amp;number=3&amp;sourceID=14","3")</f>
        <v>3</v>
      </c>
      <c r="G344" s="4" t="str">
        <f>HYPERLINK("http://141.218.60.56/~jnz1568/getInfo.php?workbook=18_08.xlsx&amp;sheet=U0&amp;row=344&amp;col=7&amp;number=0.0247&amp;sourceID=14","0.0247")</f>
        <v>0.0247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HYPERLINK("http://141.218.60.56/~jnz1568/getInfo.php?workbook=18_08.xlsx&amp;sheet=U0&amp;row=345&amp;col=6&amp;number=3.1&amp;sourceID=14","3.1")</f>
        <v>3.1</v>
      </c>
      <c r="G345" s="4" t="str">
        <f>HYPERLINK("http://141.218.60.56/~jnz1568/getInfo.php?workbook=18_08.xlsx&amp;sheet=U0&amp;row=345&amp;col=7&amp;number=0.0247&amp;sourceID=14","0.0247")</f>
        <v>0.0247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HYPERLINK("http://141.218.60.56/~jnz1568/getInfo.php?workbook=18_08.xlsx&amp;sheet=U0&amp;row=346&amp;col=6&amp;number=3.2&amp;sourceID=14","3.2")</f>
        <v>3.2</v>
      </c>
      <c r="G346" s="4" t="str">
        <f>HYPERLINK("http://141.218.60.56/~jnz1568/getInfo.php?workbook=18_08.xlsx&amp;sheet=U0&amp;row=346&amp;col=7&amp;number=0.0247&amp;sourceID=14","0.0247")</f>
        <v>0.0247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HYPERLINK("http://141.218.60.56/~jnz1568/getInfo.php?workbook=18_08.xlsx&amp;sheet=U0&amp;row=347&amp;col=6&amp;number=3.3&amp;sourceID=14","3.3")</f>
        <v>3.3</v>
      </c>
      <c r="G347" s="4" t="str">
        <f>HYPERLINK("http://141.218.60.56/~jnz1568/getInfo.php?workbook=18_08.xlsx&amp;sheet=U0&amp;row=347&amp;col=7&amp;number=0.0247&amp;sourceID=14","0.0247")</f>
        <v>0.0247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HYPERLINK("http://141.218.60.56/~jnz1568/getInfo.php?workbook=18_08.xlsx&amp;sheet=U0&amp;row=348&amp;col=6&amp;number=3.4&amp;sourceID=14","3.4")</f>
        <v>3.4</v>
      </c>
      <c r="G348" s="4" t="str">
        <f>HYPERLINK("http://141.218.60.56/~jnz1568/getInfo.php?workbook=18_08.xlsx&amp;sheet=U0&amp;row=348&amp;col=7&amp;number=0.0247&amp;sourceID=14","0.0247")</f>
        <v>0.0247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HYPERLINK("http://141.218.60.56/~jnz1568/getInfo.php?workbook=18_08.xlsx&amp;sheet=U0&amp;row=349&amp;col=6&amp;number=3.5&amp;sourceID=14","3.5")</f>
        <v>3.5</v>
      </c>
      <c r="G349" s="4" t="str">
        <f>HYPERLINK("http://141.218.60.56/~jnz1568/getInfo.php?workbook=18_08.xlsx&amp;sheet=U0&amp;row=349&amp;col=7&amp;number=0.0247&amp;sourceID=14","0.0247")</f>
        <v>0.0247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HYPERLINK("http://141.218.60.56/~jnz1568/getInfo.php?workbook=18_08.xlsx&amp;sheet=U0&amp;row=350&amp;col=6&amp;number=3.6&amp;sourceID=14","3.6")</f>
        <v>3.6</v>
      </c>
      <c r="G350" s="4" t="str">
        <f>HYPERLINK("http://141.218.60.56/~jnz1568/getInfo.php?workbook=18_08.xlsx&amp;sheet=U0&amp;row=350&amp;col=7&amp;number=0.0247&amp;sourceID=14","0.0247")</f>
        <v>0.0247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HYPERLINK("http://141.218.60.56/~jnz1568/getInfo.php?workbook=18_08.xlsx&amp;sheet=U0&amp;row=351&amp;col=6&amp;number=3.7&amp;sourceID=14","3.7")</f>
        <v>3.7</v>
      </c>
      <c r="G351" s="4" t="str">
        <f>HYPERLINK("http://141.218.60.56/~jnz1568/getInfo.php?workbook=18_08.xlsx&amp;sheet=U0&amp;row=351&amp;col=7&amp;number=0.0247&amp;sourceID=14","0.0247")</f>
        <v>0.0247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HYPERLINK("http://141.218.60.56/~jnz1568/getInfo.php?workbook=18_08.xlsx&amp;sheet=U0&amp;row=352&amp;col=6&amp;number=3.8&amp;sourceID=14","3.8")</f>
        <v>3.8</v>
      </c>
      <c r="G352" s="4" t="str">
        <f>HYPERLINK("http://141.218.60.56/~jnz1568/getInfo.php?workbook=18_08.xlsx&amp;sheet=U0&amp;row=352&amp;col=7&amp;number=0.0247&amp;sourceID=14","0.0247")</f>
        <v>0.0247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HYPERLINK("http://141.218.60.56/~jnz1568/getInfo.php?workbook=18_08.xlsx&amp;sheet=U0&amp;row=353&amp;col=6&amp;number=3.9&amp;sourceID=14","3.9")</f>
        <v>3.9</v>
      </c>
      <c r="G353" s="4" t="str">
        <f>HYPERLINK("http://141.218.60.56/~jnz1568/getInfo.php?workbook=18_08.xlsx&amp;sheet=U0&amp;row=353&amp;col=7&amp;number=0.0247&amp;sourceID=14","0.0247")</f>
        <v>0.0247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HYPERLINK("http://141.218.60.56/~jnz1568/getInfo.php?workbook=18_08.xlsx&amp;sheet=U0&amp;row=354&amp;col=6&amp;number=4&amp;sourceID=14","4")</f>
        <v>4</v>
      </c>
      <c r="G354" s="4" t="str">
        <f>HYPERLINK("http://141.218.60.56/~jnz1568/getInfo.php?workbook=18_08.xlsx&amp;sheet=U0&amp;row=354&amp;col=7&amp;number=0.0247&amp;sourceID=14","0.0247")</f>
        <v>0.0247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HYPERLINK("http://141.218.60.56/~jnz1568/getInfo.php?workbook=18_08.xlsx&amp;sheet=U0&amp;row=355&amp;col=6&amp;number=4.1&amp;sourceID=14","4.1")</f>
        <v>4.1</v>
      </c>
      <c r="G355" s="4" t="str">
        <f>HYPERLINK("http://141.218.60.56/~jnz1568/getInfo.php?workbook=18_08.xlsx&amp;sheet=U0&amp;row=355&amp;col=7&amp;number=0.0247&amp;sourceID=14","0.0247")</f>
        <v>0.0247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HYPERLINK("http://141.218.60.56/~jnz1568/getInfo.php?workbook=18_08.xlsx&amp;sheet=U0&amp;row=356&amp;col=6&amp;number=4.2&amp;sourceID=14","4.2")</f>
        <v>4.2</v>
      </c>
      <c r="G356" s="4" t="str">
        <f>HYPERLINK("http://141.218.60.56/~jnz1568/getInfo.php?workbook=18_08.xlsx&amp;sheet=U0&amp;row=356&amp;col=7&amp;number=0.0246&amp;sourceID=14","0.0246")</f>
        <v>0.0246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HYPERLINK("http://141.218.60.56/~jnz1568/getInfo.php?workbook=18_08.xlsx&amp;sheet=U0&amp;row=357&amp;col=6&amp;number=4.3&amp;sourceID=14","4.3")</f>
        <v>4.3</v>
      </c>
      <c r="G357" s="4" t="str">
        <f>HYPERLINK("http://141.218.60.56/~jnz1568/getInfo.php?workbook=18_08.xlsx&amp;sheet=U0&amp;row=357&amp;col=7&amp;number=0.0246&amp;sourceID=14","0.0246")</f>
        <v>0.0246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HYPERLINK("http://141.218.60.56/~jnz1568/getInfo.php?workbook=18_08.xlsx&amp;sheet=U0&amp;row=358&amp;col=6&amp;number=4.4&amp;sourceID=14","4.4")</f>
        <v>4.4</v>
      </c>
      <c r="G358" s="4" t="str">
        <f>HYPERLINK("http://141.218.60.56/~jnz1568/getInfo.php?workbook=18_08.xlsx&amp;sheet=U0&amp;row=358&amp;col=7&amp;number=0.0246&amp;sourceID=14","0.0246")</f>
        <v>0.0246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HYPERLINK("http://141.218.60.56/~jnz1568/getInfo.php?workbook=18_08.xlsx&amp;sheet=U0&amp;row=359&amp;col=6&amp;number=4.5&amp;sourceID=14","4.5")</f>
        <v>4.5</v>
      </c>
      <c r="G359" s="4" t="str">
        <f>HYPERLINK("http://141.218.60.56/~jnz1568/getInfo.php?workbook=18_08.xlsx&amp;sheet=U0&amp;row=359&amp;col=7&amp;number=0.0245&amp;sourceID=14","0.0245")</f>
        <v>0.0245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HYPERLINK("http://141.218.60.56/~jnz1568/getInfo.php?workbook=18_08.xlsx&amp;sheet=U0&amp;row=360&amp;col=6&amp;number=4.6&amp;sourceID=14","4.6")</f>
        <v>4.6</v>
      </c>
      <c r="G360" s="4" t="str">
        <f>HYPERLINK("http://141.218.60.56/~jnz1568/getInfo.php?workbook=18_08.xlsx&amp;sheet=U0&amp;row=360&amp;col=7&amp;number=0.0245&amp;sourceID=14","0.0245")</f>
        <v>0.0245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HYPERLINK("http://141.218.60.56/~jnz1568/getInfo.php?workbook=18_08.xlsx&amp;sheet=U0&amp;row=361&amp;col=6&amp;number=4.7&amp;sourceID=14","4.7")</f>
        <v>4.7</v>
      </c>
      <c r="G361" s="4" t="str">
        <f>HYPERLINK("http://141.218.60.56/~jnz1568/getInfo.php?workbook=18_08.xlsx&amp;sheet=U0&amp;row=361&amp;col=7&amp;number=0.0244&amp;sourceID=14","0.0244")</f>
        <v>0.0244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HYPERLINK("http://141.218.60.56/~jnz1568/getInfo.php?workbook=18_08.xlsx&amp;sheet=U0&amp;row=362&amp;col=6&amp;number=4.8&amp;sourceID=14","4.8")</f>
        <v>4.8</v>
      </c>
      <c r="G362" s="4" t="str">
        <f>HYPERLINK("http://141.218.60.56/~jnz1568/getInfo.php?workbook=18_08.xlsx&amp;sheet=U0&amp;row=362&amp;col=7&amp;number=0.0244&amp;sourceID=14","0.0244")</f>
        <v>0.0244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HYPERLINK("http://141.218.60.56/~jnz1568/getInfo.php?workbook=18_08.xlsx&amp;sheet=U0&amp;row=363&amp;col=6&amp;number=4.9&amp;sourceID=14","4.9")</f>
        <v>4.9</v>
      </c>
      <c r="G363" s="4" t="str">
        <f>HYPERLINK("http://141.218.60.56/~jnz1568/getInfo.php?workbook=18_08.xlsx&amp;sheet=U0&amp;row=363&amp;col=7&amp;number=0.0243&amp;sourceID=14","0.0243")</f>
        <v>0.0243</v>
      </c>
    </row>
    <row r="364" spans="1:7">
      <c r="A364" s="3">
        <v>18</v>
      </c>
      <c r="B364" s="3">
        <v>8</v>
      </c>
      <c r="C364" s="3" t="s">
        <v>47</v>
      </c>
      <c r="D364" s="3">
        <v>0</v>
      </c>
      <c r="E364" s="3">
        <v>1</v>
      </c>
      <c r="F364" s="4" t="str">
        <f>HYPERLINK("http://141.218.60.56/~jnz1568/getInfo.php?workbook=18_08.xlsx&amp;sheet=U0&amp;row=364&amp;col=6&amp;number=3&amp;sourceID=14","3")</f>
        <v>3</v>
      </c>
      <c r="G364" s="4" t="str">
        <f>HYPERLINK("http://141.218.60.56/~jnz1568/getInfo.php?workbook=18_08.xlsx&amp;sheet=U0&amp;row=364&amp;col=7&amp;number=0.00818&amp;sourceID=14","0.00818")</f>
        <v>0.00818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HYPERLINK("http://141.218.60.56/~jnz1568/getInfo.php?workbook=18_08.xlsx&amp;sheet=U0&amp;row=365&amp;col=6&amp;number=3.1&amp;sourceID=14","3.1")</f>
        <v>3.1</v>
      </c>
      <c r="G365" s="4" t="str">
        <f>HYPERLINK("http://141.218.60.56/~jnz1568/getInfo.php?workbook=18_08.xlsx&amp;sheet=U0&amp;row=365&amp;col=7&amp;number=0.00818&amp;sourceID=14","0.00818")</f>
        <v>0.00818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HYPERLINK("http://141.218.60.56/~jnz1568/getInfo.php?workbook=18_08.xlsx&amp;sheet=U0&amp;row=366&amp;col=6&amp;number=3.2&amp;sourceID=14","3.2")</f>
        <v>3.2</v>
      </c>
      <c r="G366" s="4" t="str">
        <f>HYPERLINK("http://141.218.60.56/~jnz1568/getInfo.php?workbook=18_08.xlsx&amp;sheet=U0&amp;row=366&amp;col=7&amp;number=0.00818&amp;sourceID=14","0.00818")</f>
        <v>0.00818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HYPERLINK("http://141.218.60.56/~jnz1568/getInfo.php?workbook=18_08.xlsx&amp;sheet=U0&amp;row=367&amp;col=6&amp;number=3.3&amp;sourceID=14","3.3")</f>
        <v>3.3</v>
      </c>
      <c r="G367" s="4" t="str">
        <f>HYPERLINK("http://141.218.60.56/~jnz1568/getInfo.php?workbook=18_08.xlsx&amp;sheet=U0&amp;row=367&amp;col=7&amp;number=0.00818&amp;sourceID=14","0.00818")</f>
        <v>0.00818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HYPERLINK("http://141.218.60.56/~jnz1568/getInfo.php?workbook=18_08.xlsx&amp;sheet=U0&amp;row=368&amp;col=6&amp;number=3.4&amp;sourceID=14","3.4")</f>
        <v>3.4</v>
      </c>
      <c r="G368" s="4" t="str">
        <f>HYPERLINK("http://141.218.60.56/~jnz1568/getInfo.php?workbook=18_08.xlsx&amp;sheet=U0&amp;row=368&amp;col=7&amp;number=0.00818&amp;sourceID=14","0.00818")</f>
        <v>0.00818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HYPERLINK("http://141.218.60.56/~jnz1568/getInfo.php?workbook=18_08.xlsx&amp;sheet=U0&amp;row=369&amp;col=6&amp;number=3.5&amp;sourceID=14","3.5")</f>
        <v>3.5</v>
      </c>
      <c r="G369" s="4" t="str">
        <f>HYPERLINK("http://141.218.60.56/~jnz1568/getInfo.php?workbook=18_08.xlsx&amp;sheet=U0&amp;row=369&amp;col=7&amp;number=0.00818&amp;sourceID=14","0.00818")</f>
        <v>0.00818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HYPERLINK("http://141.218.60.56/~jnz1568/getInfo.php?workbook=18_08.xlsx&amp;sheet=U0&amp;row=370&amp;col=6&amp;number=3.6&amp;sourceID=14","3.6")</f>
        <v>3.6</v>
      </c>
      <c r="G370" s="4" t="str">
        <f>HYPERLINK("http://141.218.60.56/~jnz1568/getInfo.php?workbook=18_08.xlsx&amp;sheet=U0&amp;row=370&amp;col=7&amp;number=0.00818&amp;sourceID=14","0.00818")</f>
        <v>0.00818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HYPERLINK("http://141.218.60.56/~jnz1568/getInfo.php?workbook=18_08.xlsx&amp;sheet=U0&amp;row=371&amp;col=6&amp;number=3.7&amp;sourceID=14","3.7")</f>
        <v>3.7</v>
      </c>
      <c r="G371" s="4" t="str">
        <f>HYPERLINK("http://141.218.60.56/~jnz1568/getInfo.php?workbook=18_08.xlsx&amp;sheet=U0&amp;row=371&amp;col=7&amp;number=0.00818&amp;sourceID=14","0.00818")</f>
        <v>0.00818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HYPERLINK("http://141.218.60.56/~jnz1568/getInfo.php?workbook=18_08.xlsx&amp;sheet=U0&amp;row=372&amp;col=6&amp;number=3.8&amp;sourceID=14","3.8")</f>
        <v>3.8</v>
      </c>
      <c r="G372" s="4" t="str">
        <f>HYPERLINK("http://141.218.60.56/~jnz1568/getInfo.php?workbook=18_08.xlsx&amp;sheet=U0&amp;row=372&amp;col=7&amp;number=0.00818&amp;sourceID=14","0.00818")</f>
        <v>0.00818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HYPERLINK("http://141.218.60.56/~jnz1568/getInfo.php?workbook=18_08.xlsx&amp;sheet=U0&amp;row=373&amp;col=6&amp;number=3.9&amp;sourceID=14","3.9")</f>
        <v>3.9</v>
      </c>
      <c r="G373" s="4" t="str">
        <f>HYPERLINK("http://141.218.60.56/~jnz1568/getInfo.php?workbook=18_08.xlsx&amp;sheet=U0&amp;row=373&amp;col=7&amp;number=0.00819&amp;sourceID=14","0.00819")</f>
        <v>0.00819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HYPERLINK("http://141.218.60.56/~jnz1568/getInfo.php?workbook=18_08.xlsx&amp;sheet=U0&amp;row=374&amp;col=6&amp;number=4&amp;sourceID=14","4")</f>
        <v>4</v>
      </c>
      <c r="G374" s="4" t="str">
        <f>HYPERLINK("http://141.218.60.56/~jnz1568/getInfo.php?workbook=18_08.xlsx&amp;sheet=U0&amp;row=374&amp;col=7&amp;number=0.00819&amp;sourceID=14","0.00819")</f>
        <v>0.00819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HYPERLINK("http://141.218.60.56/~jnz1568/getInfo.php?workbook=18_08.xlsx&amp;sheet=U0&amp;row=375&amp;col=6&amp;number=4.1&amp;sourceID=14","4.1")</f>
        <v>4.1</v>
      </c>
      <c r="G375" s="4" t="str">
        <f>HYPERLINK("http://141.218.60.56/~jnz1568/getInfo.php?workbook=18_08.xlsx&amp;sheet=U0&amp;row=375&amp;col=7&amp;number=0.00819&amp;sourceID=14","0.00819")</f>
        <v>0.00819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HYPERLINK("http://141.218.60.56/~jnz1568/getInfo.php?workbook=18_08.xlsx&amp;sheet=U0&amp;row=376&amp;col=6&amp;number=4.2&amp;sourceID=14","4.2")</f>
        <v>4.2</v>
      </c>
      <c r="G376" s="4" t="str">
        <f>HYPERLINK("http://141.218.60.56/~jnz1568/getInfo.php?workbook=18_08.xlsx&amp;sheet=U0&amp;row=376&amp;col=7&amp;number=0.00819&amp;sourceID=14","0.00819")</f>
        <v>0.00819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HYPERLINK("http://141.218.60.56/~jnz1568/getInfo.php?workbook=18_08.xlsx&amp;sheet=U0&amp;row=377&amp;col=6&amp;number=4.3&amp;sourceID=14","4.3")</f>
        <v>4.3</v>
      </c>
      <c r="G377" s="4" t="str">
        <f>HYPERLINK("http://141.218.60.56/~jnz1568/getInfo.php?workbook=18_08.xlsx&amp;sheet=U0&amp;row=377&amp;col=7&amp;number=0.00819&amp;sourceID=14","0.00819")</f>
        <v>0.00819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HYPERLINK("http://141.218.60.56/~jnz1568/getInfo.php?workbook=18_08.xlsx&amp;sheet=U0&amp;row=378&amp;col=6&amp;number=4.4&amp;sourceID=14","4.4")</f>
        <v>4.4</v>
      </c>
      <c r="G378" s="4" t="str">
        <f>HYPERLINK("http://141.218.60.56/~jnz1568/getInfo.php?workbook=18_08.xlsx&amp;sheet=U0&amp;row=378&amp;col=7&amp;number=0.00819&amp;sourceID=14","0.00819")</f>
        <v>0.00819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HYPERLINK("http://141.218.60.56/~jnz1568/getInfo.php?workbook=18_08.xlsx&amp;sheet=U0&amp;row=379&amp;col=6&amp;number=4.5&amp;sourceID=14","4.5")</f>
        <v>4.5</v>
      </c>
      <c r="G379" s="4" t="str">
        <f>HYPERLINK("http://141.218.60.56/~jnz1568/getInfo.php?workbook=18_08.xlsx&amp;sheet=U0&amp;row=379&amp;col=7&amp;number=0.00819&amp;sourceID=14","0.00819")</f>
        <v>0.00819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HYPERLINK("http://141.218.60.56/~jnz1568/getInfo.php?workbook=18_08.xlsx&amp;sheet=U0&amp;row=380&amp;col=6&amp;number=4.6&amp;sourceID=14","4.6")</f>
        <v>4.6</v>
      </c>
      <c r="G380" s="4" t="str">
        <f>HYPERLINK("http://141.218.60.56/~jnz1568/getInfo.php?workbook=18_08.xlsx&amp;sheet=U0&amp;row=380&amp;col=7&amp;number=0.0082&amp;sourceID=14","0.0082")</f>
        <v>0.0082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HYPERLINK("http://141.218.60.56/~jnz1568/getInfo.php?workbook=18_08.xlsx&amp;sheet=U0&amp;row=381&amp;col=6&amp;number=4.7&amp;sourceID=14","4.7")</f>
        <v>4.7</v>
      </c>
      <c r="G381" s="4" t="str">
        <f>HYPERLINK("http://141.218.60.56/~jnz1568/getInfo.php?workbook=18_08.xlsx&amp;sheet=U0&amp;row=381&amp;col=7&amp;number=0.0082&amp;sourceID=14","0.0082")</f>
        <v>0.0082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HYPERLINK("http://141.218.60.56/~jnz1568/getInfo.php?workbook=18_08.xlsx&amp;sheet=U0&amp;row=382&amp;col=6&amp;number=4.8&amp;sourceID=14","4.8")</f>
        <v>4.8</v>
      </c>
      <c r="G382" s="4" t="str">
        <f>HYPERLINK("http://141.218.60.56/~jnz1568/getInfo.php?workbook=18_08.xlsx&amp;sheet=U0&amp;row=382&amp;col=7&amp;number=0.00821&amp;sourceID=14","0.00821")</f>
        <v>0.00821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HYPERLINK("http://141.218.60.56/~jnz1568/getInfo.php?workbook=18_08.xlsx&amp;sheet=U0&amp;row=383&amp;col=6&amp;number=4.9&amp;sourceID=14","4.9")</f>
        <v>4.9</v>
      </c>
      <c r="G383" s="4" t="str">
        <f>HYPERLINK("http://141.218.60.56/~jnz1568/getInfo.php?workbook=18_08.xlsx&amp;sheet=U0&amp;row=383&amp;col=7&amp;number=0.00821&amp;sourceID=14","0.00821")</f>
        <v>0.00821</v>
      </c>
    </row>
    <row r="384" spans="1:7">
      <c r="A384" s="3">
        <v>18</v>
      </c>
      <c r="B384" s="3">
        <v>8</v>
      </c>
      <c r="C384" s="3" t="s">
        <v>47</v>
      </c>
      <c r="D384" s="3">
        <v>1</v>
      </c>
      <c r="E384" s="3">
        <v>1</v>
      </c>
      <c r="F384" s="4" t="str">
        <f>HYPERLINK("http://141.218.60.56/~jnz1568/getInfo.php?workbook=18_08.xlsx&amp;sheet=U0&amp;row=384&amp;col=6&amp;number=3&amp;sourceID=14","3")</f>
        <v>3</v>
      </c>
      <c r="G384" s="4" t="str">
        <f>HYPERLINK("http://141.218.60.56/~jnz1568/getInfo.php?workbook=18_08.xlsx&amp;sheet=U0&amp;row=384&amp;col=7&amp;number=0.0384&amp;sourceID=14","0.0384")</f>
        <v>0.0384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HYPERLINK("http://141.218.60.56/~jnz1568/getInfo.php?workbook=18_08.xlsx&amp;sheet=U0&amp;row=385&amp;col=6&amp;number=3.1&amp;sourceID=14","3.1")</f>
        <v>3.1</v>
      </c>
      <c r="G385" s="4" t="str">
        <f>HYPERLINK("http://141.218.60.56/~jnz1568/getInfo.php?workbook=18_08.xlsx&amp;sheet=U0&amp;row=385&amp;col=7&amp;number=0.0384&amp;sourceID=14","0.0384")</f>
        <v>0.0384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HYPERLINK("http://141.218.60.56/~jnz1568/getInfo.php?workbook=18_08.xlsx&amp;sheet=U0&amp;row=386&amp;col=6&amp;number=3.2&amp;sourceID=14","3.2")</f>
        <v>3.2</v>
      </c>
      <c r="G386" s="4" t="str">
        <f>HYPERLINK("http://141.218.60.56/~jnz1568/getInfo.php?workbook=18_08.xlsx&amp;sheet=U0&amp;row=386&amp;col=7&amp;number=0.0384&amp;sourceID=14","0.0384")</f>
        <v>0.0384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HYPERLINK("http://141.218.60.56/~jnz1568/getInfo.php?workbook=18_08.xlsx&amp;sheet=U0&amp;row=387&amp;col=6&amp;number=3.3&amp;sourceID=14","3.3")</f>
        <v>3.3</v>
      </c>
      <c r="G387" s="4" t="str">
        <f>HYPERLINK("http://141.218.60.56/~jnz1568/getInfo.php?workbook=18_08.xlsx&amp;sheet=U0&amp;row=387&amp;col=7&amp;number=0.0384&amp;sourceID=14","0.0384")</f>
        <v>0.0384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HYPERLINK("http://141.218.60.56/~jnz1568/getInfo.php?workbook=18_08.xlsx&amp;sheet=U0&amp;row=388&amp;col=6&amp;number=3.4&amp;sourceID=14","3.4")</f>
        <v>3.4</v>
      </c>
      <c r="G388" s="4" t="str">
        <f>HYPERLINK("http://141.218.60.56/~jnz1568/getInfo.php?workbook=18_08.xlsx&amp;sheet=U0&amp;row=388&amp;col=7&amp;number=0.0384&amp;sourceID=14","0.0384")</f>
        <v>0.0384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HYPERLINK("http://141.218.60.56/~jnz1568/getInfo.php?workbook=18_08.xlsx&amp;sheet=U0&amp;row=389&amp;col=6&amp;number=3.5&amp;sourceID=14","3.5")</f>
        <v>3.5</v>
      </c>
      <c r="G389" s="4" t="str">
        <f>HYPERLINK("http://141.218.60.56/~jnz1568/getInfo.php?workbook=18_08.xlsx&amp;sheet=U0&amp;row=389&amp;col=7&amp;number=0.0384&amp;sourceID=14","0.0384")</f>
        <v>0.0384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HYPERLINK("http://141.218.60.56/~jnz1568/getInfo.php?workbook=18_08.xlsx&amp;sheet=U0&amp;row=390&amp;col=6&amp;number=3.6&amp;sourceID=14","3.6")</f>
        <v>3.6</v>
      </c>
      <c r="G390" s="4" t="str">
        <f>HYPERLINK("http://141.218.60.56/~jnz1568/getInfo.php?workbook=18_08.xlsx&amp;sheet=U0&amp;row=390&amp;col=7&amp;number=0.0384&amp;sourceID=14","0.0384")</f>
        <v>0.0384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HYPERLINK("http://141.218.60.56/~jnz1568/getInfo.php?workbook=18_08.xlsx&amp;sheet=U0&amp;row=391&amp;col=6&amp;number=3.7&amp;sourceID=14","3.7")</f>
        <v>3.7</v>
      </c>
      <c r="G391" s="4" t="str">
        <f>HYPERLINK("http://141.218.60.56/~jnz1568/getInfo.php?workbook=18_08.xlsx&amp;sheet=U0&amp;row=391&amp;col=7&amp;number=0.0384&amp;sourceID=14","0.0384")</f>
        <v>0.0384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HYPERLINK("http://141.218.60.56/~jnz1568/getInfo.php?workbook=18_08.xlsx&amp;sheet=U0&amp;row=392&amp;col=6&amp;number=3.8&amp;sourceID=14","3.8")</f>
        <v>3.8</v>
      </c>
      <c r="G392" s="4" t="str">
        <f>HYPERLINK("http://141.218.60.56/~jnz1568/getInfo.php?workbook=18_08.xlsx&amp;sheet=U0&amp;row=392&amp;col=7&amp;number=0.0384&amp;sourceID=14","0.0384")</f>
        <v>0.0384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HYPERLINK("http://141.218.60.56/~jnz1568/getInfo.php?workbook=18_08.xlsx&amp;sheet=U0&amp;row=393&amp;col=6&amp;number=3.9&amp;sourceID=14","3.9")</f>
        <v>3.9</v>
      </c>
      <c r="G393" s="4" t="str">
        <f>HYPERLINK("http://141.218.60.56/~jnz1568/getInfo.php?workbook=18_08.xlsx&amp;sheet=U0&amp;row=393&amp;col=7&amp;number=0.0384&amp;sourceID=14","0.0384")</f>
        <v>0.0384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HYPERLINK("http://141.218.60.56/~jnz1568/getInfo.php?workbook=18_08.xlsx&amp;sheet=U0&amp;row=394&amp;col=6&amp;number=4&amp;sourceID=14","4")</f>
        <v>4</v>
      </c>
      <c r="G394" s="4" t="str">
        <f>HYPERLINK("http://141.218.60.56/~jnz1568/getInfo.php?workbook=18_08.xlsx&amp;sheet=U0&amp;row=394&amp;col=7&amp;number=0.0384&amp;sourceID=14","0.0384")</f>
        <v>0.0384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HYPERLINK("http://141.218.60.56/~jnz1568/getInfo.php?workbook=18_08.xlsx&amp;sheet=U0&amp;row=395&amp;col=6&amp;number=4.1&amp;sourceID=14","4.1")</f>
        <v>4.1</v>
      </c>
      <c r="G395" s="4" t="str">
        <f>HYPERLINK("http://141.218.60.56/~jnz1568/getInfo.php?workbook=18_08.xlsx&amp;sheet=U0&amp;row=395&amp;col=7&amp;number=0.0384&amp;sourceID=14","0.0384")</f>
        <v>0.0384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HYPERLINK("http://141.218.60.56/~jnz1568/getInfo.php?workbook=18_08.xlsx&amp;sheet=U0&amp;row=396&amp;col=6&amp;number=4.2&amp;sourceID=14","4.2")</f>
        <v>4.2</v>
      </c>
      <c r="G396" s="4" t="str">
        <f>HYPERLINK("http://141.218.60.56/~jnz1568/getInfo.php?workbook=18_08.xlsx&amp;sheet=U0&amp;row=396&amp;col=7&amp;number=0.0384&amp;sourceID=14","0.0384")</f>
        <v>0.0384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HYPERLINK("http://141.218.60.56/~jnz1568/getInfo.php?workbook=18_08.xlsx&amp;sheet=U0&amp;row=397&amp;col=6&amp;number=4.3&amp;sourceID=14","4.3")</f>
        <v>4.3</v>
      </c>
      <c r="G397" s="4" t="str">
        <f>HYPERLINK("http://141.218.60.56/~jnz1568/getInfo.php?workbook=18_08.xlsx&amp;sheet=U0&amp;row=397&amp;col=7&amp;number=0.0384&amp;sourceID=14","0.0384")</f>
        <v>0.0384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HYPERLINK("http://141.218.60.56/~jnz1568/getInfo.php?workbook=18_08.xlsx&amp;sheet=U0&amp;row=398&amp;col=6&amp;number=4.4&amp;sourceID=14","4.4")</f>
        <v>4.4</v>
      </c>
      <c r="G398" s="4" t="str">
        <f>HYPERLINK("http://141.218.60.56/~jnz1568/getInfo.php?workbook=18_08.xlsx&amp;sheet=U0&amp;row=398&amp;col=7&amp;number=0.0384&amp;sourceID=14","0.0384")</f>
        <v>0.0384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HYPERLINK("http://141.218.60.56/~jnz1568/getInfo.php?workbook=18_08.xlsx&amp;sheet=U0&amp;row=399&amp;col=6&amp;number=4.5&amp;sourceID=14","4.5")</f>
        <v>4.5</v>
      </c>
      <c r="G399" s="4" t="str">
        <f>HYPERLINK("http://141.218.60.56/~jnz1568/getInfo.php?workbook=18_08.xlsx&amp;sheet=U0&amp;row=399&amp;col=7&amp;number=0.0384&amp;sourceID=14","0.0384")</f>
        <v>0.0384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HYPERLINK("http://141.218.60.56/~jnz1568/getInfo.php?workbook=18_08.xlsx&amp;sheet=U0&amp;row=400&amp;col=6&amp;number=4.6&amp;sourceID=14","4.6")</f>
        <v>4.6</v>
      </c>
      <c r="G400" s="4" t="str">
        <f>HYPERLINK("http://141.218.60.56/~jnz1568/getInfo.php?workbook=18_08.xlsx&amp;sheet=U0&amp;row=400&amp;col=7&amp;number=0.0385&amp;sourceID=14","0.0385")</f>
        <v>0.0385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HYPERLINK("http://141.218.60.56/~jnz1568/getInfo.php?workbook=18_08.xlsx&amp;sheet=U0&amp;row=401&amp;col=6&amp;number=4.7&amp;sourceID=14","4.7")</f>
        <v>4.7</v>
      </c>
      <c r="G401" s="4" t="str">
        <f>HYPERLINK("http://141.218.60.56/~jnz1568/getInfo.php?workbook=18_08.xlsx&amp;sheet=U0&amp;row=401&amp;col=7&amp;number=0.0385&amp;sourceID=14","0.0385")</f>
        <v>0.0385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HYPERLINK("http://141.218.60.56/~jnz1568/getInfo.php?workbook=18_08.xlsx&amp;sheet=U0&amp;row=402&amp;col=6&amp;number=4.8&amp;sourceID=14","4.8")</f>
        <v>4.8</v>
      </c>
      <c r="G402" s="4" t="str">
        <f>HYPERLINK("http://141.218.60.56/~jnz1568/getInfo.php?workbook=18_08.xlsx&amp;sheet=U0&amp;row=402&amp;col=7&amp;number=0.0385&amp;sourceID=14","0.0385")</f>
        <v>0.0385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HYPERLINK("http://141.218.60.56/~jnz1568/getInfo.php?workbook=18_08.xlsx&amp;sheet=U0&amp;row=403&amp;col=6&amp;number=4.9&amp;sourceID=14","4.9")</f>
        <v>4.9</v>
      </c>
      <c r="G403" s="4" t="str">
        <f>HYPERLINK("http://141.218.60.56/~jnz1568/getInfo.php?workbook=18_08.xlsx&amp;sheet=U0&amp;row=403&amp;col=7&amp;number=0.0385&amp;sourceID=14","0.0385")</f>
        <v>0.0385</v>
      </c>
    </row>
    <row r="404" spans="1:7">
      <c r="A404" s="3">
        <v>18</v>
      </c>
      <c r="B404" s="3">
        <v>8</v>
      </c>
      <c r="C404" s="3" t="s">
        <v>47</v>
      </c>
      <c r="D404" s="3">
        <v>2</v>
      </c>
      <c r="E404" s="3">
        <v>1</v>
      </c>
      <c r="F404" s="4" t="str">
        <f>HYPERLINK("http://141.218.60.56/~jnz1568/getInfo.php?workbook=18_08.xlsx&amp;sheet=U0&amp;row=404&amp;col=6&amp;number=3&amp;sourceID=14","3")</f>
        <v>3</v>
      </c>
      <c r="G404" s="4" t="str">
        <f>HYPERLINK("http://141.218.60.56/~jnz1568/getInfo.php?workbook=18_08.xlsx&amp;sheet=U0&amp;row=404&amp;col=7&amp;number=0.00225&amp;sourceID=14","0.00225")</f>
        <v>0.00225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HYPERLINK("http://141.218.60.56/~jnz1568/getInfo.php?workbook=18_08.xlsx&amp;sheet=U0&amp;row=405&amp;col=6&amp;number=3.1&amp;sourceID=14","3.1")</f>
        <v>3.1</v>
      </c>
      <c r="G405" s="4" t="str">
        <f>HYPERLINK("http://141.218.60.56/~jnz1568/getInfo.php?workbook=18_08.xlsx&amp;sheet=U0&amp;row=405&amp;col=7&amp;number=0.00225&amp;sourceID=14","0.00225")</f>
        <v>0.00225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HYPERLINK("http://141.218.60.56/~jnz1568/getInfo.php?workbook=18_08.xlsx&amp;sheet=U0&amp;row=406&amp;col=6&amp;number=3.2&amp;sourceID=14","3.2")</f>
        <v>3.2</v>
      </c>
      <c r="G406" s="4" t="str">
        <f>HYPERLINK("http://141.218.60.56/~jnz1568/getInfo.php?workbook=18_08.xlsx&amp;sheet=U0&amp;row=406&amp;col=7&amp;number=0.00225&amp;sourceID=14","0.00225")</f>
        <v>0.00225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HYPERLINK("http://141.218.60.56/~jnz1568/getInfo.php?workbook=18_08.xlsx&amp;sheet=U0&amp;row=407&amp;col=6&amp;number=3.3&amp;sourceID=14","3.3")</f>
        <v>3.3</v>
      </c>
      <c r="G407" s="4" t="str">
        <f>HYPERLINK("http://141.218.60.56/~jnz1568/getInfo.php?workbook=18_08.xlsx&amp;sheet=U0&amp;row=407&amp;col=7&amp;number=0.00225&amp;sourceID=14","0.00225")</f>
        <v>0.00225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HYPERLINK("http://141.218.60.56/~jnz1568/getInfo.php?workbook=18_08.xlsx&amp;sheet=U0&amp;row=408&amp;col=6&amp;number=3.4&amp;sourceID=14","3.4")</f>
        <v>3.4</v>
      </c>
      <c r="G408" s="4" t="str">
        <f>HYPERLINK("http://141.218.60.56/~jnz1568/getInfo.php?workbook=18_08.xlsx&amp;sheet=U0&amp;row=408&amp;col=7&amp;number=0.00225&amp;sourceID=14","0.00225")</f>
        <v>0.00225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HYPERLINK("http://141.218.60.56/~jnz1568/getInfo.php?workbook=18_08.xlsx&amp;sheet=U0&amp;row=409&amp;col=6&amp;number=3.5&amp;sourceID=14","3.5")</f>
        <v>3.5</v>
      </c>
      <c r="G409" s="4" t="str">
        <f>HYPERLINK("http://141.218.60.56/~jnz1568/getInfo.php?workbook=18_08.xlsx&amp;sheet=U0&amp;row=409&amp;col=7&amp;number=0.00225&amp;sourceID=14","0.00225")</f>
        <v>0.00225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HYPERLINK("http://141.218.60.56/~jnz1568/getInfo.php?workbook=18_08.xlsx&amp;sheet=U0&amp;row=410&amp;col=6&amp;number=3.6&amp;sourceID=14","3.6")</f>
        <v>3.6</v>
      </c>
      <c r="G410" s="4" t="str">
        <f>HYPERLINK("http://141.218.60.56/~jnz1568/getInfo.php?workbook=18_08.xlsx&amp;sheet=U0&amp;row=410&amp;col=7&amp;number=0.00225&amp;sourceID=14","0.00225")</f>
        <v>0.00225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HYPERLINK("http://141.218.60.56/~jnz1568/getInfo.php?workbook=18_08.xlsx&amp;sheet=U0&amp;row=411&amp;col=6&amp;number=3.7&amp;sourceID=14","3.7")</f>
        <v>3.7</v>
      </c>
      <c r="G411" s="4" t="str">
        <f>HYPERLINK("http://141.218.60.56/~jnz1568/getInfo.php?workbook=18_08.xlsx&amp;sheet=U0&amp;row=411&amp;col=7&amp;number=0.00225&amp;sourceID=14","0.00225")</f>
        <v>0.00225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HYPERLINK("http://141.218.60.56/~jnz1568/getInfo.php?workbook=18_08.xlsx&amp;sheet=U0&amp;row=412&amp;col=6&amp;number=3.8&amp;sourceID=14","3.8")</f>
        <v>3.8</v>
      </c>
      <c r="G412" s="4" t="str">
        <f>HYPERLINK("http://141.218.60.56/~jnz1568/getInfo.php?workbook=18_08.xlsx&amp;sheet=U0&amp;row=412&amp;col=7&amp;number=0.00226&amp;sourceID=14","0.00226")</f>
        <v>0.00226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HYPERLINK("http://141.218.60.56/~jnz1568/getInfo.php?workbook=18_08.xlsx&amp;sheet=U0&amp;row=413&amp;col=6&amp;number=3.9&amp;sourceID=14","3.9")</f>
        <v>3.9</v>
      </c>
      <c r="G413" s="4" t="str">
        <f>HYPERLINK("http://141.218.60.56/~jnz1568/getInfo.php?workbook=18_08.xlsx&amp;sheet=U0&amp;row=413&amp;col=7&amp;number=0.00226&amp;sourceID=14","0.00226")</f>
        <v>0.00226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HYPERLINK("http://141.218.60.56/~jnz1568/getInfo.php?workbook=18_08.xlsx&amp;sheet=U0&amp;row=414&amp;col=6&amp;number=4&amp;sourceID=14","4")</f>
        <v>4</v>
      </c>
      <c r="G414" s="4" t="str">
        <f>HYPERLINK("http://141.218.60.56/~jnz1568/getInfo.php?workbook=18_08.xlsx&amp;sheet=U0&amp;row=414&amp;col=7&amp;number=0.00226&amp;sourceID=14","0.00226")</f>
        <v>0.00226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HYPERLINK("http://141.218.60.56/~jnz1568/getInfo.php?workbook=18_08.xlsx&amp;sheet=U0&amp;row=415&amp;col=6&amp;number=4.1&amp;sourceID=14","4.1")</f>
        <v>4.1</v>
      </c>
      <c r="G415" s="4" t="str">
        <f>HYPERLINK("http://141.218.60.56/~jnz1568/getInfo.php?workbook=18_08.xlsx&amp;sheet=U0&amp;row=415&amp;col=7&amp;number=0.00226&amp;sourceID=14","0.00226")</f>
        <v>0.00226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HYPERLINK("http://141.218.60.56/~jnz1568/getInfo.php?workbook=18_08.xlsx&amp;sheet=U0&amp;row=416&amp;col=6&amp;number=4.2&amp;sourceID=14","4.2")</f>
        <v>4.2</v>
      </c>
      <c r="G416" s="4" t="str">
        <f>HYPERLINK("http://141.218.60.56/~jnz1568/getInfo.php?workbook=18_08.xlsx&amp;sheet=U0&amp;row=416&amp;col=7&amp;number=0.00226&amp;sourceID=14","0.00226")</f>
        <v>0.00226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HYPERLINK("http://141.218.60.56/~jnz1568/getInfo.php?workbook=18_08.xlsx&amp;sheet=U0&amp;row=417&amp;col=6&amp;number=4.3&amp;sourceID=14","4.3")</f>
        <v>4.3</v>
      </c>
      <c r="G417" s="4" t="str">
        <f>HYPERLINK("http://141.218.60.56/~jnz1568/getInfo.php?workbook=18_08.xlsx&amp;sheet=U0&amp;row=417&amp;col=7&amp;number=0.00226&amp;sourceID=14","0.00226")</f>
        <v>0.00226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HYPERLINK("http://141.218.60.56/~jnz1568/getInfo.php?workbook=18_08.xlsx&amp;sheet=U0&amp;row=418&amp;col=6&amp;number=4.4&amp;sourceID=14","4.4")</f>
        <v>4.4</v>
      </c>
      <c r="G418" s="4" t="str">
        <f>HYPERLINK("http://141.218.60.56/~jnz1568/getInfo.php?workbook=18_08.xlsx&amp;sheet=U0&amp;row=418&amp;col=7&amp;number=0.00226&amp;sourceID=14","0.00226")</f>
        <v>0.00226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HYPERLINK("http://141.218.60.56/~jnz1568/getInfo.php?workbook=18_08.xlsx&amp;sheet=U0&amp;row=419&amp;col=6&amp;number=4.5&amp;sourceID=14","4.5")</f>
        <v>4.5</v>
      </c>
      <c r="G419" s="4" t="str">
        <f>HYPERLINK("http://141.218.60.56/~jnz1568/getInfo.php?workbook=18_08.xlsx&amp;sheet=U0&amp;row=419&amp;col=7&amp;number=0.00226&amp;sourceID=14","0.00226")</f>
        <v>0.00226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HYPERLINK("http://141.218.60.56/~jnz1568/getInfo.php?workbook=18_08.xlsx&amp;sheet=U0&amp;row=420&amp;col=6&amp;number=4.6&amp;sourceID=14","4.6")</f>
        <v>4.6</v>
      </c>
      <c r="G420" s="4" t="str">
        <f>HYPERLINK("http://141.218.60.56/~jnz1568/getInfo.php?workbook=18_08.xlsx&amp;sheet=U0&amp;row=420&amp;col=7&amp;number=0.00227&amp;sourceID=14","0.00227")</f>
        <v>0.00227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HYPERLINK("http://141.218.60.56/~jnz1568/getInfo.php?workbook=18_08.xlsx&amp;sheet=U0&amp;row=421&amp;col=6&amp;number=4.7&amp;sourceID=14","4.7")</f>
        <v>4.7</v>
      </c>
      <c r="G421" s="4" t="str">
        <f>HYPERLINK("http://141.218.60.56/~jnz1568/getInfo.php?workbook=18_08.xlsx&amp;sheet=U0&amp;row=421&amp;col=7&amp;number=0.00227&amp;sourceID=14","0.00227")</f>
        <v>0.00227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HYPERLINK("http://141.218.60.56/~jnz1568/getInfo.php?workbook=18_08.xlsx&amp;sheet=U0&amp;row=422&amp;col=6&amp;number=4.8&amp;sourceID=14","4.8")</f>
        <v>4.8</v>
      </c>
      <c r="G422" s="4" t="str">
        <f>HYPERLINK("http://141.218.60.56/~jnz1568/getInfo.php?workbook=18_08.xlsx&amp;sheet=U0&amp;row=422&amp;col=7&amp;number=0.00227&amp;sourceID=14","0.00227")</f>
        <v>0.00227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HYPERLINK("http://141.218.60.56/~jnz1568/getInfo.php?workbook=18_08.xlsx&amp;sheet=U0&amp;row=423&amp;col=6&amp;number=4.9&amp;sourceID=14","4.9")</f>
        <v>4.9</v>
      </c>
      <c r="G423" s="4" t="str">
        <f>HYPERLINK("http://141.218.60.56/~jnz1568/getInfo.php?workbook=18_08.xlsx&amp;sheet=U0&amp;row=423&amp;col=7&amp;number=0.00228&amp;sourceID=14","0.00228")</f>
        <v>0.00228</v>
      </c>
    </row>
    <row r="424" spans="1:7">
      <c r="A424" s="3">
        <v>18</v>
      </c>
      <c r="B424" s="3">
        <v>8</v>
      </c>
      <c r="C424" s="3" t="s">
        <v>47</v>
      </c>
      <c r="D424" s="3">
        <v>3</v>
      </c>
      <c r="E424" s="3">
        <v>1</v>
      </c>
      <c r="F424" s="4" t="str">
        <f>HYPERLINK("http://141.218.60.56/~jnz1568/getInfo.php?workbook=18_08.xlsx&amp;sheet=U0&amp;row=424&amp;col=6&amp;number=3&amp;sourceID=14","3")</f>
        <v>3</v>
      </c>
      <c r="G424" s="4" t="str">
        <f>HYPERLINK("http://141.218.60.56/~jnz1568/getInfo.php?workbook=18_08.xlsx&amp;sheet=U0&amp;row=424&amp;col=7&amp;number=0.000233&amp;sourceID=14","0.000233")</f>
        <v>0.000233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HYPERLINK("http://141.218.60.56/~jnz1568/getInfo.php?workbook=18_08.xlsx&amp;sheet=U0&amp;row=425&amp;col=6&amp;number=3.1&amp;sourceID=14","3.1")</f>
        <v>3.1</v>
      </c>
      <c r="G425" s="4" t="str">
        <f>HYPERLINK("http://141.218.60.56/~jnz1568/getInfo.php?workbook=18_08.xlsx&amp;sheet=U0&amp;row=425&amp;col=7&amp;number=0.000233&amp;sourceID=14","0.000233")</f>
        <v>0.000233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HYPERLINK("http://141.218.60.56/~jnz1568/getInfo.php?workbook=18_08.xlsx&amp;sheet=U0&amp;row=426&amp;col=6&amp;number=3.2&amp;sourceID=14","3.2")</f>
        <v>3.2</v>
      </c>
      <c r="G426" s="4" t="str">
        <f>HYPERLINK("http://141.218.60.56/~jnz1568/getInfo.php?workbook=18_08.xlsx&amp;sheet=U0&amp;row=426&amp;col=7&amp;number=0.000233&amp;sourceID=14","0.000233")</f>
        <v>0.000233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HYPERLINK("http://141.218.60.56/~jnz1568/getInfo.php?workbook=18_08.xlsx&amp;sheet=U0&amp;row=427&amp;col=6&amp;number=3.3&amp;sourceID=14","3.3")</f>
        <v>3.3</v>
      </c>
      <c r="G427" s="4" t="str">
        <f>HYPERLINK("http://141.218.60.56/~jnz1568/getInfo.php?workbook=18_08.xlsx&amp;sheet=U0&amp;row=427&amp;col=7&amp;number=0.000233&amp;sourceID=14","0.000233")</f>
        <v>0.000233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HYPERLINK("http://141.218.60.56/~jnz1568/getInfo.php?workbook=18_08.xlsx&amp;sheet=U0&amp;row=428&amp;col=6&amp;number=3.4&amp;sourceID=14","3.4")</f>
        <v>3.4</v>
      </c>
      <c r="G428" s="4" t="str">
        <f>HYPERLINK("http://141.218.60.56/~jnz1568/getInfo.php?workbook=18_08.xlsx&amp;sheet=U0&amp;row=428&amp;col=7&amp;number=0.000233&amp;sourceID=14","0.000233")</f>
        <v>0.000233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HYPERLINK("http://141.218.60.56/~jnz1568/getInfo.php?workbook=18_08.xlsx&amp;sheet=U0&amp;row=429&amp;col=6&amp;number=3.5&amp;sourceID=14","3.5")</f>
        <v>3.5</v>
      </c>
      <c r="G429" s="4" t="str">
        <f>HYPERLINK("http://141.218.60.56/~jnz1568/getInfo.php?workbook=18_08.xlsx&amp;sheet=U0&amp;row=429&amp;col=7&amp;number=0.000233&amp;sourceID=14","0.000233")</f>
        <v>0.000233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HYPERLINK("http://141.218.60.56/~jnz1568/getInfo.php?workbook=18_08.xlsx&amp;sheet=U0&amp;row=430&amp;col=6&amp;number=3.6&amp;sourceID=14","3.6")</f>
        <v>3.6</v>
      </c>
      <c r="G430" s="4" t="str">
        <f>HYPERLINK("http://141.218.60.56/~jnz1568/getInfo.php?workbook=18_08.xlsx&amp;sheet=U0&amp;row=430&amp;col=7&amp;number=0.000233&amp;sourceID=14","0.000233")</f>
        <v>0.000233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HYPERLINK("http://141.218.60.56/~jnz1568/getInfo.php?workbook=18_08.xlsx&amp;sheet=U0&amp;row=431&amp;col=6&amp;number=3.7&amp;sourceID=14","3.7")</f>
        <v>3.7</v>
      </c>
      <c r="G431" s="4" t="str">
        <f>HYPERLINK("http://141.218.60.56/~jnz1568/getInfo.php?workbook=18_08.xlsx&amp;sheet=U0&amp;row=431&amp;col=7&amp;number=0.000233&amp;sourceID=14","0.000233")</f>
        <v>0.000233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HYPERLINK("http://141.218.60.56/~jnz1568/getInfo.php?workbook=18_08.xlsx&amp;sheet=U0&amp;row=432&amp;col=6&amp;number=3.8&amp;sourceID=14","3.8")</f>
        <v>3.8</v>
      </c>
      <c r="G432" s="4" t="str">
        <f>HYPERLINK("http://141.218.60.56/~jnz1568/getInfo.php?workbook=18_08.xlsx&amp;sheet=U0&amp;row=432&amp;col=7&amp;number=0.000233&amp;sourceID=14","0.000233")</f>
        <v>0.000233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HYPERLINK("http://141.218.60.56/~jnz1568/getInfo.php?workbook=18_08.xlsx&amp;sheet=U0&amp;row=433&amp;col=6&amp;number=3.9&amp;sourceID=14","3.9")</f>
        <v>3.9</v>
      </c>
      <c r="G433" s="4" t="str">
        <f>HYPERLINK("http://141.218.60.56/~jnz1568/getInfo.php?workbook=18_08.xlsx&amp;sheet=U0&amp;row=433&amp;col=7&amp;number=0.000233&amp;sourceID=14","0.000233")</f>
        <v>0.000233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HYPERLINK("http://141.218.60.56/~jnz1568/getInfo.php?workbook=18_08.xlsx&amp;sheet=U0&amp;row=434&amp;col=6&amp;number=4&amp;sourceID=14","4")</f>
        <v>4</v>
      </c>
      <c r="G434" s="4" t="str">
        <f>HYPERLINK("http://141.218.60.56/~jnz1568/getInfo.php?workbook=18_08.xlsx&amp;sheet=U0&amp;row=434&amp;col=7&amp;number=0.000233&amp;sourceID=14","0.000233")</f>
        <v>0.000233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HYPERLINK("http://141.218.60.56/~jnz1568/getInfo.php?workbook=18_08.xlsx&amp;sheet=U0&amp;row=435&amp;col=6&amp;number=4.1&amp;sourceID=14","4.1")</f>
        <v>4.1</v>
      </c>
      <c r="G435" s="4" t="str">
        <f>HYPERLINK("http://141.218.60.56/~jnz1568/getInfo.php?workbook=18_08.xlsx&amp;sheet=U0&amp;row=435&amp;col=7&amp;number=0.000232&amp;sourceID=14","0.000232")</f>
        <v>0.000232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HYPERLINK("http://141.218.60.56/~jnz1568/getInfo.php?workbook=18_08.xlsx&amp;sheet=U0&amp;row=436&amp;col=6&amp;number=4.2&amp;sourceID=14","4.2")</f>
        <v>4.2</v>
      </c>
      <c r="G436" s="4" t="str">
        <f>HYPERLINK("http://141.218.60.56/~jnz1568/getInfo.php?workbook=18_08.xlsx&amp;sheet=U0&amp;row=436&amp;col=7&amp;number=0.000232&amp;sourceID=14","0.000232")</f>
        <v>0.000232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HYPERLINK("http://141.218.60.56/~jnz1568/getInfo.php?workbook=18_08.xlsx&amp;sheet=U0&amp;row=437&amp;col=6&amp;number=4.3&amp;sourceID=14","4.3")</f>
        <v>4.3</v>
      </c>
      <c r="G437" s="4" t="str">
        <f>HYPERLINK("http://141.218.60.56/~jnz1568/getInfo.php?workbook=18_08.xlsx&amp;sheet=U0&amp;row=437&amp;col=7&amp;number=0.000232&amp;sourceID=14","0.000232")</f>
        <v>0.000232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HYPERLINK("http://141.218.60.56/~jnz1568/getInfo.php?workbook=18_08.xlsx&amp;sheet=U0&amp;row=438&amp;col=6&amp;number=4.4&amp;sourceID=14","4.4")</f>
        <v>4.4</v>
      </c>
      <c r="G438" s="4" t="str">
        <f>HYPERLINK("http://141.218.60.56/~jnz1568/getInfo.php?workbook=18_08.xlsx&amp;sheet=U0&amp;row=438&amp;col=7&amp;number=0.000232&amp;sourceID=14","0.000232")</f>
        <v>0.000232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HYPERLINK("http://141.218.60.56/~jnz1568/getInfo.php?workbook=18_08.xlsx&amp;sheet=U0&amp;row=439&amp;col=6&amp;number=4.5&amp;sourceID=14","4.5")</f>
        <v>4.5</v>
      </c>
      <c r="G439" s="4" t="str">
        <f>HYPERLINK("http://141.218.60.56/~jnz1568/getInfo.php?workbook=18_08.xlsx&amp;sheet=U0&amp;row=439&amp;col=7&amp;number=0.000232&amp;sourceID=14","0.000232")</f>
        <v>0.000232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HYPERLINK("http://141.218.60.56/~jnz1568/getInfo.php?workbook=18_08.xlsx&amp;sheet=U0&amp;row=440&amp;col=6&amp;number=4.6&amp;sourceID=14","4.6")</f>
        <v>4.6</v>
      </c>
      <c r="G440" s="4" t="str">
        <f>HYPERLINK("http://141.218.60.56/~jnz1568/getInfo.php?workbook=18_08.xlsx&amp;sheet=U0&amp;row=440&amp;col=7&amp;number=0.000231&amp;sourceID=14","0.000231")</f>
        <v>0.000231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HYPERLINK("http://141.218.60.56/~jnz1568/getInfo.php?workbook=18_08.xlsx&amp;sheet=U0&amp;row=441&amp;col=6&amp;number=4.7&amp;sourceID=14","4.7")</f>
        <v>4.7</v>
      </c>
      <c r="G441" s="4" t="str">
        <f>HYPERLINK("http://141.218.60.56/~jnz1568/getInfo.php?workbook=18_08.xlsx&amp;sheet=U0&amp;row=441&amp;col=7&amp;number=0.000231&amp;sourceID=14","0.000231")</f>
        <v>0.000231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HYPERLINK("http://141.218.60.56/~jnz1568/getInfo.php?workbook=18_08.xlsx&amp;sheet=U0&amp;row=442&amp;col=6&amp;number=4.8&amp;sourceID=14","4.8")</f>
        <v>4.8</v>
      </c>
      <c r="G442" s="4" t="str">
        <f>HYPERLINK("http://141.218.60.56/~jnz1568/getInfo.php?workbook=18_08.xlsx&amp;sheet=U0&amp;row=442&amp;col=7&amp;number=0.00023&amp;sourceID=14","0.00023")</f>
        <v>0.00023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HYPERLINK("http://141.218.60.56/~jnz1568/getInfo.php?workbook=18_08.xlsx&amp;sheet=U0&amp;row=443&amp;col=6&amp;number=4.9&amp;sourceID=14","4.9")</f>
        <v>4.9</v>
      </c>
      <c r="G443" s="4" t="str">
        <f>HYPERLINK("http://141.218.60.56/~jnz1568/getInfo.php?workbook=18_08.xlsx&amp;sheet=U0&amp;row=443&amp;col=7&amp;number=0.00023&amp;sourceID=14","0.00023")</f>
        <v>0.00023</v>
      </c>
    </row>
    <row r="444" spans="1:7">
      <c r="A444" s="3">
        <v>18</v>
      </c>
      <c r="B444" s="3">
        <v>8</v>
      </c>
      <c r="C444" s="3" t="s">
        <v>47</v>
      </c>
      <c r="D444" s="3">
        <v>4</v>
      </c>
      <c r="E444" s="3">
        <v>1</v>
      </c>
      <c r="F444" s="4" t="str">
        <f>HYPERLINK("http://141.218.60.56/~jnz1568/getInfo.php?workbook=18_08.xlsx&amp;sheet=U0&amp;row=444&amp;col=6&amp;number=3&amp;sourceID=14","3")</f>
        <v>3</v>
      </c>
      <c r="G444" s="4" t="str">
        <f>HYPERLINK("http://141.218.60.56/~jnz1568/getInfo.php?workbook=18_08.xlsx&amp;sheet=U0&amp;row=444&amp;col=7&amp;number=0.00116&amp;sourceID=14","0.00116")</f>
        <v>0.00116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HYPERLINK("http://141.218.60.56/~jnz1568/getInfo.php?workbook=18_08.xlsx&amp;sheet=U0&amp;row=445&amp;col=6&amp;number=3.1&amp;sourceID=14","3.1")</f>
        <v>3.1</v>
      </c>
      <c r="G445" s="4" t="str">
        <f>HYPERLINK("http://141.218.60.56/~jnz1568/getInfo.php?workbook=18_08.xlsx&amp;sheet=U0&amp;row=445&amp;col=7&amp;number=0.00116&amp;sourceID=14","0.00116")</f>
        <v>0.00116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HYPERLINK("http://141.218.60.56/~jnz1568/getInfo.php?workbook=18_08.xlsx&amp;sheet=U0&amp;row=446&amp;col=6&amp;number=3.2&amp;sourceID=14","3.2")</f>
        <v>3.2</v>
      </c>
      <c r="G446" s="4" t="str">
        <f>HYPERLINK("http://141.218.60.56/~jnz1568/getInfo.php?workbook=18_08.xlsx&amp;sheet=U0&amp;row=446&amp;col=7&amp;number=0.00116&amp;sourceID=14","0.00116")</f>
        <v>0.00116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HYPERLINK("http://141.218.60.56/~jnz1568/getInfo.php?workbook=18_08.xlsx&amp;sheet=U0&amp;row=447&amp;col=6&amp;number=3.3&amp;sourceID=14","3.3")</f>
        <v>3.3</v>
      </c>
      <c r="G447" s="4" t="str">
        <f>HYPERLINK("http://141.218.60.56/~jnz1568/getInfo.php?workbook=18_08.xlsx&amp;sheet=U0&amp;row=447&amp;col=7&amp;number=0.00116&amp;sourceID=14","0.00116")</f>
        <v>0.00116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HYPERLINK("http://141.218.60.56/~jnz1568/getInfo.php?workbook=18_08.xlsx&amp;sheet=U0&amp;row=448&amp;col=6&amp;number=3.4&amp;sourceID=14","3.4")</f>
        <v>3.4</v>
      </c>
      <c r="G448" s="4" t="str">
        <f>HYPERLINK("http://141.218.60.56/~jnz1568/getInfo.php?workbook=18_08.xlsx&amp;sheet=U0&amp;row=448&amp;col=7&amp;number=0.00116&amp;sourceID=14","0.00116")</f>
        <v>0.00116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HYPERLINK("http://141.218.60.56/~jnz1568/getInfo.php?workbook=18_08.xlsx&amp;sheet=U0&amp;row=449&amp;col=6&amp;number=3.5&amp;sourceID=14","3.5")</f>
        <v>3.5</v>
      </c>
      <c r="G449" s="4" t="str">
        <f>HYPERLINK("http://141.218.60.56/~jnz1568/getInfo.php?workbook=18_08.xlsx&amp;sheet=U0&amp;row=449&amp;col=7&amp;number=0.00116&amp;sourceID=14","0.00116")</f>
        <v>0.00116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HYPERLINK("http://141.218.60.56/~jnz1568/getInfo.php?workbook=18_08.xlsx&amp;sheet=U0&amp;row=450&amp;col=6&amp;number=3.6&amp;sourceID=14","3.6")</f>
        <v>3.6</v>
      </c>
      <c r="G450" s="4" t="str">
        <f>HYPERLINK("http://141.218.60.56/~jnz1568/getInfo.php?workbook=18_08.xlsx&amp;sheet=U0&amp;row=450&amp;col=7&amp;number=0.00116&amp;sourceID=14","0.00116")</f>
        <v>0.00116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HYPERLINK("http://141.218.60.56/~jnz1568/getInfo.php?workbook=18_08.xlsx&amp;sheet=U0&amp;row=451&amp;col=6&amp;number=3.7&amp;sourceID=14","3.7")</f>
        <v>3.7</v>
      </c>
      <c r="G451" s="4" t="str">
        <f>HYPERLINK("http://141.218.60.56/~jnz1568/getInfo.php?workbook=18_08.xlsx&amp;sheet=U0&amp;row=451&amp;col=7&amp;number=0.00116&amp;sourceID=14","0.00116")</f>
        <v>0.00116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HYPERLINK("http://141.218.60.56/~jnz1568/getInfo.php?workbook=18_08.xlsx&amp;sheet=U0&amp;row=452&amp;col=6&amp;number=3.8&amp;sourceID=14","3.8")</f>
        <v>3.8</v>
      </c>
      <c r="G452" s="4" t="str">
        <f>HYPERLINK("http://141.218.60.56/~jnz1568/getInfo.php?workbook=18_08.xlsx&amp;sheet=U0&amp;row=452&amp;col=7&amp;number=0.00116&amp;sourceID=14","0.00116")</f>
        <v>0.00116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HYPERLINK("http://141.218.60.56/~jnz1568/getInfo.php?workbook=18_08.xlsx&amp;sheet=U0&amp;row=453&amp;col=6&amp;number=3.9&amp;sourceID=14","3.9")</f>
        <v>3.9</v>
      </c>
      <c r="G453" s="4" t="str">
        <f>HYPERLINK("http://141.218.60.56/~jnz1568/getInfo.php?workbook=18_08.xlsx&amp;sheet=U0&amp;row=453&amp;col=7&amp;number=0.00116&amp;sourceID=14","0.00116")</f>
        <v>0.00116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HYPERLINK("http://141.218.60.56/~jnz1568/getInfo.php?workbook=18_08.xlsx&amp;sheet=U0&amp;row=454&amp;col=6&amp;number=4&amp;sourceID=14","4")</f>
        <v>4</v>
      </c>
      <c r="G454" s="4" t="str">
        <f>HYPERLINK("http://141.218.60.56/~jnz1568/getInfo.php?workbook=18_08.xlsx&amp;sheet=U0&amp;row=454&amp;col=7&amp;number=0.00116&amp;sourceID=14","0.00116")</f>
        <v>0.00116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HYPERLINK("http://141.218.60.56/~jnz1568/getInfo.php?workbook=18_08.xlsx&amp;sheet=U0&amp;row=455&amp;col=6&amp;number=4.1&amp;sourceID=14","4.1")</f>
        <v>4.1</v>
      </c>
      <c r="G455" s="4" t="str">
        <f>HYPERLINK("http://141.218.60.56/~jnz1568/getInfo.php?workbook=18_08.xlsx&amp;sheet=U0&amp;row=455&amp;col=7&amp;number=0.00116&amp;sourceID=14","0.00116")</f>
        <v>0.00116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HYPERLINK("http://141.218.60.56/~jnz1568/getInfo.php?workbook=18_08.xlsx&amp;sheet=U0&amp;row=456&amp;col=6&amp;number=4.2&amp;sourceID=14","4.2")</f>
        <v>4.2</v>
      </c>
      <c r="G456" s="4" t="str">
        <f>HYPERLINK("http://141.218.60.56/~jnz1568/getInfo.php?workbook=18_08.xlsx&amp;sheet=U0&amp;row=456&amp;col=7&amp;number=0.00116&amp;sourceID=14","0.00116")</f>
        <v>0.00116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HYPERLINK("http://141.218.60.56/~jnz1568/getInfo.php?workbook=18_08.xlsx&amp;sheet=U0&amp;row=457&amp;col=6&amp;number=4.3&amp;sourceID=14","4.3")</f>
        <v>4.3</v>
      </c>
      <c r="G457" s="4" t="str">
        <f>HYPERLINK("http://141.218.60.56/~jnz1568/getInfo.php?workbook=18_08.xlsx&amp;sheet=U0&amp;row=457&amp;col=7&amp;number=0.00117&amp;sourceID=14","0.00117")</f>
        <v>0.00117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HYPERLINK("http://141.218.60.56/~jnz1568/getInfo.php?workbook=18_08.xlsx&amp;sheet=U0&amp;row=458&amp;col=6&amp;number=4.4&amp;sourceID=14","4.4")</f>
        <v>4.4</v>
      </c>
      <c r="G458" s="4" t="str">
        <f>HYPERLINK("http://141.218.60.56/~jnz1568/getInfo.php?workbook=18_08.xlsx&amp;sheet=U0&amp;row=458&amp;col=7&amp;number=0.00117&amp;sourceID=14","0.00117")</f>
        <v>0.00117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HYPERLINK("http://141.218.60.56/~jnz1568/getInfo.php?workbook=18_08.xlsx&amp;sheet=U0&amp;row=459&amp;col=6&amp;number=4.5&amp;sourceID=14","4.5")</f>
        <v>4.5</v>
      </c>
      <c r="G459" s="4" t="str">
        <f>HYPERLINK("http://141.218.60.56/~jnz1568/getInfo.php?workbook=18_08.xlsx&amp;sheet=U0&amp;row=459&amp;col=7&amp;number=0.00117&amp;sourceID=14","0.00117")</f>
        <v>0.00117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HYPERLINK("http://141.218.60.56/~jnz1568/getInfo.php?workbook=18_08.xlsx&amp;sheet=U0&amp;row=460&amp;col=6&amp;number=4.6&amp;sourceID=14","4.6")</f>
        <v>4.6</v>
      </c>
      <c r="G460" s="4" t="str">
        <f>HYPERLINK("http://141.218.60.56/~jnz1568/getInfo.php?workbook=18_08.xlsx&amp;sheet=U0&amp;row=460&amp;col=7&amp;number=0.00117&amp;sourceID=14","0.00117")</f>
        <v>0.00117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HYPERLINK("http://141.218.60.56/~jnz1568/getInfo.php?workbook=18_08.xlsx&amp;sheet=U0&amp;row=461&amp;col=6&amp;number=4.7&amp;sourceID=14","4.7")</f>
        <v>4.7</v>
      </c>
      <c r="G461" s="4" t="str">
        <f>HYPERLINK("http://141.218.60.56/~jnz1568/getInfo.php?workbook=18_08.xlsx&amp;sheet=U0&amp;row=461&amp;col=7&amp;number=0.00118&amp;sourceID=14","0.00118")</f>
        <v>0.00118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HYPERLINK("http://141.218.60.56/~jnz1568/getInfo.php?workbook=18_08.xlsx&amp;sheet=U0&amp;row=462&amp;col=6&amp;number=4.8&amp;sourceID=14","4.8")</f>
        <v>4.8</v>
      </c>
      <c r="G462" s="4" t="str">
        <f>HYPERLINK("http://141.218.60.56/~jnz1568/getInfo.php?workbook=18_08.xlsx&amp;sheet=U0&amp;row=462&amp;col=7&amp;number=0.00118&amp;sourceID=14","0.00118")</f>
        <v>0.00118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HYPERLINK("http://141.218.60.56/~jnz1568/getInfo.php?workbook=18_08.xlsx&amp;sheet=U0&amp;row=463&amp;col=6&amp;number=4.9&amp;sourceID=14","4.9")</f>
        <v>4.9</v>
      </c>
      <c r="G463" s="4" t="str">
        <f>HYPERLINK("http://141.218.60.56/~jnz1568/getInfo.php?workbook=18_08.xlsx&amp;sheet=U0&amp;row=463&amp;col=7&amp;number=0.00119&amp;sourceID=14","0.00119")</f>
        <v>0.00119</v>
      </c>
    </row>
    <row r="464" spans="1:7">
      <c r="A464" s="3">
        <v>18</v>
      </c>
      <c r="B464" s="3">
        <v>8</v>
      </c>
      <c r="C464" s="3" t="s">
        <v>47</v>
      </c>
      <c r="D464" s="3">
        <v>5</v>
      </c>
      <c r="E464" s="3">
        <v>1</v>
      </c>
      <c r="F464" s="4" t="str">
        <f>HYPERLINK("http://141.218.60.56/~jnz1568/getInfo.php?workbook=18_08.xlsx&amp;sheet=U0&amp;row=464&amp;col=6&amp;number=3&amp;sourceID=14","3")</f>
        <v>3</v>
      </c>
      <c r="G464" s="4" t="str">
        <f>HYPERLINK("http://141.218.60.56/~jnz1568/getInfo.php?workbook=18_08.xlsx&amp;sheet=U0&amp;row=464&amp;col=7&amp;number=0.00362&amp;sourceID=14","0.00362")</f>
        <v>0.00362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HYPERLINK("http://141.218.60.56/~jnz1568/getInfo.php?workbook=18_08.xlsx&amp;sheet=U0&amp;row=465&amp;col=6&amp;number=3.1&amp;sourceID=14","3.1")</f>
        <v>3.1</v>
      </c>
      <c r="G465" s="4" t="str">
        <f>HYPERLINK("http://141.218.60.56/~jnz1568/getInfo.php?workbook=18_08.xlsx&amp;sheet=U0&amp;row=465&amp;col=7&amp;number=0.00362&amp;sourceID=14","0.00362")</f>
        <v>0.00362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HYPERLINK("http://141.218.60.56/~jnz1568/getInfo.php?workbook=18_08.xlsx&amp;sheet=U0&amp;row=466&amp;col=6&amp;number=3.2&amp;sourceID=14","3.2")</f>
        <v>3.2</v>
      </c>
      <c r="G466" s="4" t="str">
        <f>HYPERLINK("http://141.218.60.56/~jnz1568/getInfo.php?workbook=18_08.xlsx&amp;sheet=U0&amp;row=466&amp;col=7&amp;number=0.00362&amp;sourceID=14","0.00362")</f>
        <v>0.00362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HYPERLINK("http://141.218.60.56/~jnz1568/getInfo.php?workbook=18_08.xlsx&amp;sheet=U0&amp;row=467&amp;col=6&amp;number=3.3&amp;sourceID=14","3.3")</f>
        <v>3.3</v>
      </c>
      <c r="G467" s="4" t="str">
        <f>HYPERLINK("http://141.218.60.56/~jnz1568/getInfo.php?workbook=18_08.xlsx&amp;sheet=U0&amp;row=467&amp;col=7&amp;number=0.00362&amp;sourceID=14","0.00362")</f>
        <v>0.00362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HYPERLINK("http://141.218.60.56/~jnz1568/getInfo.php?workbook=18_08.xlsx&amp;sheet=U0&amp;row=468&amp;col=6&amp;number=3.4&amp;sourceID=14","3.4")</f>
        <v>3.4</v>
      </c>
      <c r="G468" s="4" t="str">
        <f>HYPERLINK("http://141.218.60.56/~jnz1568/getInfo.php?workbook=18_08.xlsx&amp;sheet=U0&amp;row=468&amp;col=7&amp;number=0.00362&amp;sourceID=14","0.00362")</f>
        <v>0.00362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HYPERLINK("http://141.218.60.56/~jnz1568/getInfo.php?workbook=18_08.xlsx&amp;sheet=U0&amp;row=469&amp;col=6&amp;number=3.5&amp;sourceID=14","3.5")</f>
        <v>3.5</v>
      </c>
      <c r="G469" s="4" t="str">
        <f>HYPERLINK("http://141.218.60.56/~jnz1568/getInfo.php?workbook=18_08.xlsx&amp;sheet=U0&amp;row=469&amp;col=7&amp;number=0.00362&amp;sourceID=14","0.00362")</f>
        <v>0.00362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HYPERLINK("http://141.218.60.56/~jnz1568/getInfo.php?workbook=18_08.xlsx&amp;sheet=U0&amp;row=470&amp;col=6&amp;number=3.6&amp;sourceID=14","3.6")</f>
        <v>3.6</v>
      </c>
      <c r="G470" s="4" t="str">
        <f>HYPERLINK("http://141.218.60.56/~jnz1568/getInfo.php?workbook=18_08.xlsx&amp;sheet=U0&amp;row=470&amp;col=7&amp;number=0.00362&amp;sourceID=14","0.00362")</f>
        <v>0.00362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HYPERLINK("http://141.218.60.56/~jnz1568/getInfo.php?workbook=18_08.xlsx&amp;sheet=U0&amp;row=471&amp;col=6&amp;number=3.7&amp;sourceID=14","3.7")</f>
        <v>3.7</v>
      </c>
      <c r="G471" s="4" t="str">
        <f>HYPERLINK("http://141.218.60.56/~jnz1568/getInfo.php?workbook=18_08.xlsx&amp;sheet=U0&amp;row=471&amp;col=7&amp;number=0.00362&amp;sourceID=14","0.00362")</f>
        <v>0.00362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HYPERLINK("http://141.218.60.56/~jnz1568/getInfo.php?workbook=18_08.xlsx&amp;sheet=U0&amp;row=472&amp;col=6&amp;number=3.8&amp;sourceID=14","3.8")</f>
        <v>3.8</v>
      </c>
      <c r="G472" s="4" t="str">
        <f>HYPERLINK("http://141.218.60.56/~jnz1568/getInfo.php?workbook=18_08.xlsx&amp;sheet=U0&amp;row=472&amp;col=7&amp;number=0.00363&amp;sourceID=14","0.00363")</f>
        <v>0.00363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HYPERLINK("http://141.218.60.56/~jnz1568/getInfo.php?workbook=18_08.xlsx&amp;sheet=U0&amp;row=473&amp;col=6&amp;number=3.9&amp;sourceID=14","3.9")</f>
        <v>3.9</v>
      </c>
      <c r="G473" s="4" t="str">
        <f>HYPERLINK("http://141.218.60.56/~jnz1568/getInfo.php?workbook=18_08.xlsx&amp;sheet=U0&amp;row=473&amp;col=7&amp;number=0.00363&amp;sourceID=14","0.00363")</f>
        <v>0.00363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HYPERLINK("http://141.218.60.56/~jnz1568/getInfo.php?workbook=18_08.xlsx&amp;sheet=U0&amp;row=474&amp;col=6&amp;number=4&amp;sourceID=14","4")</f>
        <v>4</v>
      </c>
      <c r="G474" s="4" t="str">
        <f>HYPERLINK("http://141.218.60.56/~jnz1568/getInfo.php?workbook=18_08.xlsx&amp;sheet=U0&amp;row=474&amp;col=7&amp;number=0.00363&amp;sourceID=14","0.00363")</f>
        <v>0.00363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HYPERLINK("http://141.218.60.56/~jnz1568/getInfo.php?workbook=18_08.xlsx&amp;sheet=U0&amp;row=475&amp;col=6&amp;number=4.1&amp;sourceID=14","4.1")</f>
        <v>4.1</v>
      </c>
      <c r="G475" s="4" t="str">
        <f>HYPERLINK("http://141.218.60.56/~jnz1568/getInfo.php?workbook=18_08.xlsx&amp;sheet=U0&amp;row=475&amp;col=7&amp;number=0.00363&amp;sourceID=14","0.00363")</f>
        <v>0.00363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HYPERLINK("http://141.218.60.56/~jnz1568/getInfo.php?workbook=18_08.xlsx&amp;sheet=U0&amp;row=476&amp;col=6&amp;number=4.2&amp;sourceID=14","4.2")</f>
        <v>4.2</v>
      </c>
      <c r="G476" s="4" t="str">
        <f>HYPERLINK("http://141.218.60.56/~jnz1568/getInfo.php?workbook=18_08.xlsx&amp;sheet=U0&amp;row=476&amp;col=7&amp;number=0.00364&amp;sourceID=14","0.00364")</f>
        <v>0.00364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HYPERLINK("http://141.218.60.56/~jnz1568/getInfo.php?workbook=18_08.xlsx&amp;sheet=U0&amp;row=477&amp;col=6&amp;number=4.3&amp;sourceID=14","4.3")</f>
        <v>4.3</v>
      </c>
      <c r="G477" s="4" t="str">
        <f>HYPERLINK("http://141.218.60.56/~jnz1568/getInfo.php?workbook=18_08.xlsx&amp;sheet=U0&amp;row=477&amp;col=7&amp;number=0.00364&amp;sourceID=14","0.00364")</f>
        <v>0.00364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HYPERLINK("http://141.218.60.56/~jnz1568/getInfo.php?workbook=18_08.xlsx&amp;sheet=U0&amp;row=478&amp;col=6&amp;number=4.4&amp;sourceID=14","4.4")</f>
        <v>4.4</v>
      </c>
      <c r="G478" s="4" t="str">
        <f>HYPERLINK("http://141.218.60.56/~jnz1568/getInfo.php?workbook=18_08.xlsx&amp;sheet=U0&amp;row=478&amp;col=7&amp;number=0.00365&amp;sourceID=14","0.00365")</f>
        <v>0.00365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HYPERLINK("http://141.218.60.56/~jnz1568/getInfo.php?workbook=18_08.xlsx&amp;sheet=U0&amp;row=479&amp;col=6&amp;number=4.5&amp;sourceID=14","4.5")</f>
        <v>4.5</v>
      </c>
      <c r="G479" s="4" t="str">
        <f>HYPERLINK("http://141.218.60.56/~jnz1568/getInfo.php?workbook=18_08.xlsx&amp;sheet=U0&amp;row=479&amp;col=7&amp;number=0.00365&amp;sourceID=14","0.00365")</f>
        <v>0.00365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HYPERLINK("http://141.218.60.56/~jnz1568/getInfo.php?workbook=18_08.xlsx&amp;sheet=U0&amp;row=480&amp;col=6&amp;number=4.6&amp;sourceID=14","4.6")</f>
        <v>4.6</v>
      </c>
      <c r="G480" s="4" t="str">
        <f>HYPERLINK("http://141.218.60.56/~jnz1568/getInfo.php?workbook=18_08.xlsx&amp;sheet=U0&amp;row=480&amp;col=7&amp;number=0.00366&amp;sourceID=14","0.00366")</f>
        <v>0.00366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HYPERLINK("http://141.218.60.56/~jnz1568/getInfo.php?workbook=18_08.xlsx&amp;sheet=U0&amp;row=481&amp;col=6&amp;number=4.7&amp;sourceID=14","4.7")</f>
        <v>4.7</v>
      </c>
      <c r="G481" s="4" t="str">
        <f>HYPERLINK("http://141.218.60.56/~jnz1568/getInfo.php?workbook=18_08.xlsx&amp;sheet=U0&amp;row=481&amp;col=7&amp;number=0.00367&amp;sourceID=14","0.00367")</f>
        <v>0.00367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HYPERLINK("http://141.218.60.56/~jnz1568/getInfo.php?workbook=18_08.xlsx&amp;sheet=U0&amp;row=482&amp;col=6&amp;number=4.8&amp;sourceID=14","4.8")</f>
        <v>4.8</v>
      </c>
      <c r="G482" s="4" t="str">
        <f>HYPERLINK("http://141.218.60.56/~jnz1568/getInfo.php?workbook=18_08.xlsx&amp;sheet=U0&amp;row=482&amp;col=7&amp;number=0.00369&amp;sourceID=14","0.00369")</f>
        <v>0.00369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HYPERLINK("http://141.218.60.56/~jnz1568/getInfo.php?workbook=18_08.xlsx&amp;sheet=U0&amp;row=483&amp;col=6&amp;number=4.9&amp;sourceID=14","4.9")</f>
        <v>4.9</v>
      </c>
      <c r="G483" s="4" t="str">
        <f>HYPERLINK("http://141.218.60.56/~jnz1568/getInfo.php?workbook=18_08.xlsx&amp;sheet=U0&amp;row=483&amp;col=7&amp;number=0.00371&amp;sourceID=14","0.00371")</f>
        <v>0.00371</v>
      </c>
    </row>
    <row r="484" spans="1:7">
      <c r="A484" s="3">
        <v>18</v>
      </c>
      <c r="B484" s="3">
        <v>8</v>
      </c>
      <c r="C484" s="3" t="s">
        <v>47</v>
      </c>
      <c r="D484" s="3">
        <v>6</v>
      </c>
      <c r="E484" s="3">
        <v>1</v>
      </c>
      <c r="F484" s="4" t="str">
        <f>HYPERLINK("http://141.218.60.56/~jnz1568/getInfo.php?workbook=18_08.xlsx&amp;sheet=U0&amp;row=484&amp;col=6&amp;number=3&amp;sourceID=14","3")</f>
        <v>3</v>
      </c>
      <c r="G484" s="4" t="str">
        <f>HYPERLINK("http://141.218.60.56/~jnz1568/getInfo.php?workbook=18_08.xlsx&amp;sheet=U0&amp;row=484&amp;col=7&amp;number=0.00172&amp;sourceID=14","0.00172")</f>
        <v>0.00172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HYPERLINK("http://141.218.60.56/~jnz1568/getInfo.php?workbook=18_08.xlsx&amp;sheet=U0&amp;row=485&amp;col=6&amp;number=3.1&amp;sourceID=14","3.1")</f>
        <v>3.1</v>
      </c>
      <c r="G485" s="4" t="str">
        <f>HYPERLINK("http://141.218.60.56/~jnz1568/getInfo.php?workbook=18_08.xlsx&amp;sheet=U0&amp;row=485&amp;col=7&amp;number=0.00172&amp;sourceID=14","0.00172")</f>
        <v>0.00172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HYPERLINK("http://141.218.60.56/~jnz1568/getInfo.php?workbook=18_08.xlsx&amp;sheet=U0&amp;row=486&amp;col=6&amp;number=3.2&amp;sourceID=14","3.2")</f>
        <v>3.2</v>
      </c>
      <c r="G486" s="4" t="str">
        <f>HYPERLINK("http://141.218.60.56/~jnz1568/getInfo.php?workbook=18_08.xlsx&amp;sheet=U0&amp;row=486&amp;col=7&amp;number=0.00172&amp;sourceID=14","0.00172")</f>
        <v>0.00172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HYPERLINK("http://141.218.60.56/~jnz1568/getInfo.php?workbook=18_08.xlsx&amp;sheet=U0&amp;row=487&amp;col=6&amp;number=3.3&amp;sourceID=14","3.3")</f>
        <v>3.3</v>
      </c>
      <c r="G487" s="4" t="str">
        <f>HYPERLINK("http://141.218.60.56/~jnz1568/getInfo.php?workbook=18_08.xlsx&amp;sheet=U0&amp;row=487&amp;col=7&amp;number=0.00172&amp;sourceID=14","0.00172")</f>
        <v>0.00172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HYPERLINK("http://141.218.60.56/~jnz1568/getInfo.php?workbook=18_08.xlsx&amp;sheet=U0&amp;row=488&amp;col=6&amp;number=3.4&amp;sourceID=14","3.4")</f>
        <v>3.4</v>
      </c>
      <c r="G488" s="4" t="str">
        <f>HYPERLINK("http://141.218.60.56/~jnz1568/getInfo.php?workbook=18_08.xlsx&amp;sheet=U0&amp;row=488&amp;col=7&amp;number=0.00172&amp;sourceID=14","0.00172")</f>
        <v>0.00172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HYPERLINK("http://141.218.60.56/~jnz1568/getInfo.php?workbook=18_08.xlsx&amp;sheet=U0&amp;row=489&amp;col=6&amp;number=3.5&amp;sourceID=14","3.5")</f>
        <v>3.5</v>
      </c>
      <c r="G489" s="4" t="str">
        <f>HYPERLINK("http://141.218.60.56/~jnz1568/getInfo.php?workbook=18_08.xlsx&amp;sheet=U0&amp;row=489&amp;col=7&amp;number=0.00172&amp;sourceID=14","0.00172")</f>
        <v>0.00172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HYPERLINK("http://141.218.60.56/~jnz1568/getInfo.php?workbook=18_08.xlsx&amp;sheet=U0&amp;row=490&amp;col=6&amp;number=3.6&amp;sourceID=14","3.6")</f>
        <v>3.6</v>
      </c>
      <c r="G490" s="4" t="str">
        <f>HYPERLINK("http://141.218.60.56/~jnz1568/getInfo.php?workbook=18_08.xlsx&amp;sheet=U0&amp;row=490&amp;col=7&amp;number=0.00172&amp;sourceID=14","0.00172")</f>
        <v>0.00172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HYPERLINK("http://141.218.60.56/~jnz1568/getInfo.php?workbook=18_08.xlsx&amp;sheet=U0&amp;row=491&amp;col=6&amp;number=3.7&amp;sourceID=14","3.7")</f>
        <v>3.7</v>
      </c>
      <c r="G491" s="4" t="str">
        <f>HYPERLINK("http://141.218.60.56/~jnz1568/getInfo.php?workbook=18_08.xlsx&amp;sheet=U0&amp;row=491&amp;col=7&amp;number=0.00172&amp;sourceID=14","0.00172")</f>
        <v>0.00172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HYPERLINK("http://141.218.60.56/~jnz1568/getInfo.php?workbook=18_08.xlsx&amp;sheet=U0&amp;row=492&amp;col=6&amp;number=3.8&amp;sourceID=14","3.8")</f>
        <v>3.8</v>
      </c>
      <c r="G492" s="4" t="str">
        <f>HYPERLINK("http://141.218.60.56/~jnz1568/getInfo.php?workbook=18_08.xlsx&amp;sheet=U0&amp;row=492&amp;col=7&amp;number=0.00172&amp;sourceID=14","0.00172")</f>
        <v>0.00172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HYPERLINK("http://141.218.60.56/~jnz1568/getInfo.php?workbook=18_08.xlsx&amp;sheet=U0&amp;row=493&amp;col=6&amp;number=3.9&amp;sourceID=14","3.9")</f>
        <v>3.9</v>
      </c>
      <c r="G493" s="4" t="str">
        <f>HYPERLINK("http://141.218.60.56/~jnz1568/getInfo.php?workbook=18_08.xlsx&amp;sheet=U0&amp;row=493&amp;col=7&amp;number=0.00172&amp;sourceID=14","0.00172")</f>
        <v>0.00172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HYPERLINK("http://141.218.60.56/~jnz1568/getInfo.php?workbook=18_08.xlsx&amp;sheet=U0&amp;row=494&amp;col=6&amp;number=4&amp;sourceID=14","4")</f>
        <v>4</v>
      </c>
      <c r="G494" s="4" t="str">
        <f>HYPERLINK("http://141.218.60.56/~jnz1568/getInfo.php?workbook=18_08.xlsx&amp;sheet=U0&amp;row=494&amp;col=7&amp;number=0.00172&amp;sourceID=14","0.00172")</f>
        <v>0.00172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HYPERLINK("http://141.218.60.56/~jnz1568/getInfo.php?workbook=18_08.xlsx&amp;sheet=U0&amp;row=495&amp;col=6&amp;number=4.1&amp;sourceID=14","4.1")</f>
        <v>4.1</v>
      </c>
      <c r="G495" s="4" t="str">
        <f>HYPERLINK("http://141.218.60.56/~jnz1568/getInfo.php?workbook=18_08.xlsx&amp;sheet=U0&amp;row=495&amp;col=7&amp;number=0.00171&amp;sourceID=14","0.00171")</f>
        <v>0.00171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HYPERLINK("http://141.218.60.56/~jnz1568/getInfo.php?workbook=18_08.xlsx&amp;sheet=U0&amp;row=496&amp;col=6&amp;number=4.2&amp;sourceID=14","4.2")</f>
        <v>4.2</v>
      </c>
      <c r="G496" s="4" t="str">
        <f>HYPERLINK("http://141.218.60.56/~jnz1568/getInfo.php?workbook=18_08.xlsx&amp;sheet=U0&amp;row=496&amp;col=7&amp;number=0.00171&amp;sourceID=14","0.00171")</f>
        <v>0.00171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HYPERLINK("http://141.218.60.56/~jnz1568/getInfo.php?workbook=18_08.xlsx&amp;sheet=U0&amp;row=497&amp;col=6&amp;number=4.3&amp;sourceID=14","4.3")</f>
        <v>4.3</v>
      </c>
      <c r="G497" s="4" t="str">
        <f>HYPERLINK("http://141.218.60.56/~jnz1568/getInfo.php?workbook=18_08.xlsx&amp;sheet=U0&amp;row=497&amp;col=7&amp;number=0.00171&amp;sourceID=14","0.00171")</f>
        <v>0.00171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HYPERLINK("http://141.218.60.56/~jnz1568/getInfo.php?workbook=18_08.xlsx&amp;sheet=U0&amp;row=498&amp;col=6&amp;number=4.4&amp;sourceID=14","4.4")</f>
        <v>4.4</v>
      </c>
      <c r="G498" s="4" t="str">
        <f>HYPERLINK("http://141.218.60.56/~jnz1568/getInfo.php?workbook=18_08.xlsx&amp;sheet=U0&amp;row=498&amp;col=7&amp;number=0.00171&amp;sourceID=14","0.00171")</f>
        <v>0.00171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HYPERLINK("http://141.218.60.56/~jnz1568/getInfo.php?workbook=18_08.xlsx&amp;sheet=U0&amp;row=499&amp;col=6&amp;number=4.5&amp;sourceID=14","4.5")</f>
        <v>4.5</v>
      </c>
      <c r="G499" s="4" t="str">
        <f>HYPERLINK("http://141.218.60.56/~jnz1568/getInfo.php?workbook=18_08.xlsx&amp;sheet=U0&amp;row=499&amp;col=7&amp;number=0.00171&amp;sourceID=14","0.00171")</f>
        <v>0.00171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HYPERLINK("http://141.218.60.56/~jnz1568/getInfo.php?workbook=18_08.xlsx&amp;sheet=U0&amp;row=500&amp;col=6&amp;number=4.6&amp;sourceID=14","4.6")</f>
        <v>4.6</v>
      </c>
      <c r="G500" s="4" t="str">
        <f>HYPERLINK("http://141.218.60.56/~jnz1568/getInfo.php?workbook=18_08.xlsx&amp;sheet=U0&amp;row=500&amp;col=7&amp;number=0.00171&amp;sourceID=14","0.00171")</f>
        <v>0.00171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HYPERLINK("http://141.218.60.56/~jnz1568/getInfo.php?workbook=18_08.xlsx&amp;sheet=U0&amp;row=501&amp;col=6&amp;number=4.7&amp;sourceID=14","4.7")</f>
        <v>4.7</v>
      </c>
      <c r="G501" s="4" t="str">
        <f>HYPERLINK("http://141.218.60.56/~jnz1568/getInfo.php?workbook=18_08.xlsx&amp;sheet=U0&amp;row=501&amp;col=7&amp;number=0.0017&amp;sourceID=14","0.0017")</f>
        <v>0.0017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HYPERLINK("http://141.218.60.56/~jnz1568/getInfo.php?workbook=18_08.xlsx&amp;sheet=U0&amp;row=502&amp;col=6&amp;number=4.8&amp;sourceID=14","4.8")</f>
        <v>4.8</v>
      </c>
      <c r="G502" s="4" t="str">
        <f>HYPERLINK("http://141.218.60.56/~jnz1568/getInfo.php?workbook=18_08.xlsx&amp;sheet=U0&amp;row=502&amp;col=7&amp;number=0.0017&amp;sourceID=14","0.0017")</f>
        <v>0.0017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HYPERLINK("http://141.218.60.56/~jnz1568/getInfo.php?workbook=18_08.xlsx&amp;sheet=U0&amp;row=503&amp;col=6&amp;number=4.9&amp;sourceID=14","4.9")</f>
        <v>4.9</v>
      </c>
      <c r="G503" s="4" t="str">
        <f>HYPERLINK("http://141.218.60.56/~jnz1568/getInfo.php?workbook=18_08.xlsx&amp;sheet=U0&amp;row=503&amp;col=7&amp;number=0.0017&amp;sourceID=14","0.0017")</f>
        <v>0.0017</v>
      </c>
    </row>
    <row r="504" spans="1:7">
      <c r="A504" s="3">
        <v>18</v>
      </c>
      <c r="B504" s="3">
        <v>8</v>
      </c>
      <c r="C504" s="3" t="s">
        <v>47</v>
      </c>
      <c r="D504" s="3">
        <v>7</v>
      </c>
      <c r="E504" s="3">
        <v>1</v>
      </c>
      <c r="F504" s="4" t="str">
        <f>HYPERLINK("http://141.218.60.56/~jnz1568/getInfo.php?workbook=18_08.xlsx&amp;sheet=U0&amp;row=504&amp;col=6&amp;number=3&amp;sourceID=14","3")</f>
        <v>3</v>
      </c>
      <c r="G504" s="4" t="str">
        <f>HYPERLINK("http://141.218.60.56/~jnz1568/getInfo.php?workbook=18_08.xlsx&amp;sheet=U0&amp;row=504&amp;col=7&amp;number=0.00548&amp;sourceID=14","0.00548")</f>
        <v>0.00548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HYPERLINK("http://141.218.60.56/~jnz1568/getInfo.php?workbook=18_08.xlsx&amp;sheet=U0&amp;row=505&amp;col=6&amp;number=3.1&amp;sourceID=14","3.1")</f>
        <v>3.1</v>
      </c>
      <c r="G505" s="4" t="str">
        <f>HYPERLINK("http://141.218.60.56/~jnz1568/getInfo.php?workbook=18_08.xlsx&amp;sheet=U0&amp;row=505&amp;col=7&amp;number=0.00548&amp;sourceID=14","0.00548")</f>
        <v>0.00548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HYPERLINK("http://141.218.60.56/~jnz1568/getInfo.php?workbook=18_08.xlsx&amp;sheet=U0&amp;row=506&amp;col=6&amp;number=3.2&amp;sourceID=14","3.2")</f>
        <v>3.2</v>
      </c>
      <c r="G506" s="4" t="str">
        <f>HYPERLINK("http://141.218.60.56/~jnz1568/getInfo.php?workbook=18_08.xlsx&amp;sheet=U0&amp;row=506&amp;col=7&amp;number=0.00548&amp;sourceID=14","0.00548")</f>
        <v>0.00548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HYPERLINK("http://141.218.60.56/~jnz1568/getInfo.php?workbook=18_08.xlsx&amp;sheet=U0&amp;row=507&amp;col=6&amp;number=3.3&amp;sourceID=14","3.3")</f>
        <v>3.3</v>
      </c>
      <c r="G507" s="4" t="str">
        <f>HYPERLINK("http://141.218.60.56/~jnz1568/getInfo.php?workbook=18_08.xlsx&amp;sheet=U0&amp;row=507&amp;col=7&amp;number=0.00548&amp;sourceID=14","0.00548")</f>
        <v>0.00548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HYPERLINK("http://141.218.60.56/~jnz1568/getInfo.php?workbook=18_08.xlsx&amp;sheet=U0&amp;row=508&amp;col=6&amp;number=3.4&amp;sourceID=14","3.4")</f>
        <v>3.4</v>
      </c>
      <c r="G508" s="4" t="str">
        <f>HYPERLINK("http://141.218.60.56/~jnz1568/getInfo.php?workbook=18_08.xlsx&amp;sheet=U0&amp;row=508&amp;col=7&amp;number=0.00548&amp;sourceID=14","0.00548")</f>
        <v>0.00548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HYPERLINK("http://141.218.60.56/~jnz1568/getInfo.php?workbook=18_08.xlsx&amp;sheet=U0&amp;row=509&amp;col=6&amp;number=3.5&amp;sourceID=14","3.5")</f>
        <v>3.5</v>
      </c>
      <c r="G509" s="4" t="str">
        <f>HYPERLINK("http://141.218.60.56/~jnz1568/getInfo.php?workbook=18_08.xlsx&amp;sheet=U0&amp;row=509&amp;col=7&amp;number=0.00548&amp;sourceID=14","0.00548")</f>
        <v>0.00548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HYPERLINK("http://141.218.60.56/~jnz1568/getInfo.php?workbook=18_08.xlsx&amp;sheet=U0&amp;row=510&amp;col=6&amp;number=3.6&amp;sourceID=14","3.6")</f>
        <v>3.6</v>
      </c>
      <c r="G510" s="4" t="str">
        <f>HYPERLINK("http://141.218.60.56/~jnz1568/getInfo.php?workbook=18_08.xlsx&amp;sheet=U0&amp;row=510&amp;col=7&amp;number=0.00547&amp;sourceID=14","0.00547")</f>
        <v>0.00547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HYPERLINK("http://141.218.60.56/~jnz1568/getInfo.php?workbook=18_08.xlsx&amp;sheet=U0&amp;row=511&amp;col=6&amp;number=3.7&amp;sourceID=14","3.7")</f>
        <v>3.7</v>
      </c>
      <c r="G511" s="4" t="str">
        <f>HYPERLINK("http://141.218.60.56/~jnz1568/getInfo.php?workbook=18_08.xlsx&amp;sheet=U0&amp;row=511&amp;col=7&amp;number=0.00547&amp;sourceID=14","0.00547")</f>
        <v>0.00547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HYPERLINK("http://141.218.60.56/~jnz1568/getInfo.php?workbook=18_08.xlsx&amp;sheet=U0&amp;row=512&amp;col=6&amp;number=3.8&amp;sourceID=14","3.8")</f>
        <v>3.8</v>
      </c>
      <c r="G512" s="4" t="str">
        <f>HYPERLINK("http://141.218.60.56/~jnz1568/getInfo.php?workbook=18_08.xlsx&amp;sheet=U0&amp;row=512&amp;col=7&amp;number=0.00547&amp;sourceID=14","0.00547")</f>
        <v>0.00547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HYPERLINK("http://141.218.60.56/~jnz1568/getInfo.php?workbook=18_08.xlsx&amp;sheet=U0&amp;row=513&amp;col=6&amp;number=3.9&amp;sourceID=14","3.9")</f>
        <v>3.9</v>
      </c>
      <c r="G513" s="4" t="str">
        <f>HYPERLINK("http://141.218.60.56/~jnz1568/getInfo.php?workbook=18_08.xlsx&amp;sheet=U0&amp;row=513&amp;col=7&amp;number=0.00547&amp;sourceID=14","0.00547")</f>
        <v>0.00547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HYPERLINK("http://141.218.60.56/~jnz1568/getInfo.php?workbook=18_08.xlsx&amp;sheet=U0&amp;row=514&amp;col=6&amp;number=4&amp;sourceID=14","4")</f>
        <v>4</v>
      </c>
      <c r="G514" s="4" t="str">
        <f>HYPERLINK("http://141.218.60.56/~jnz1568/getInfo.php?workbook=18_08.xlsx&amp;sheet=U0&amp;row=514&amp;col=7&amp;number=0.00547&amp;sourceID=14","0.00547")</f>
        <v>0.00547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HYPERLINK("http://141.218.60.56/~jnz1568/getInfo.php?workbook=18_08.xlsx&amp;sheet=U0&amp;row=515&amp;col=6&amp;number=4.1&amp;sourceID=14","4.1")</f>
        <v>4.1</v>
      </c>
      <c r="G515" s="4" t="str">
        <f>HYPERLINK("http://141.218.60.56/~jnz1568/getInfo.php?workbook=18_08.xlsx&amp;sheet=U0&amp;row=515&amp;col=7&amp;number=0.00547&amp;sourceID=14","0.00547")</f>
        <v>0.00547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HYPERLINK("http://141.218.60.56/~jnz1568/getInfo.php?workbook=18_08.xlsx&amp;sheet=U0&amp;row=516&amp;col=6&amp;number=4.2&amp;sourceID=14","4.2")</f>
        <v>4.2</v>
      </c>
      <c r="G516" s="4" t="str">
        <f>HYPERLINK("http://141.218.60.56/~jnz1568/getInfo.php?workbook=18_08.xlsx&amp;sheet=U0&amp;row=516&amp;col=7&amp;number=0.00547&amp;sourceID=14","0.00547")</f>
        <v>0.00547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HYPERLINK("http://141.218.60.56/~jnz1568/getInfo.php?workbook=18_08.xlsx&amp;sheet=U0&amp;row=517&amp;col=6&amp;number=4.3&amp;sourceID=14","4.3")</f>
        <v>4.3</v>
      </c>
      <c r="G517" s="4" t="str">
        <f>HYPERLINK("http://141.218.60.56/~jnz1568/getInfo.php?workbook=18_08.xlsx&amp;sheet=U0&amp;row=517&amp;col=7&amp;number=0.00546&amp;sourceID=14","0.00546")</f>
        <v>0.00546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HYPERLINK("http://141.218.60.56/~jnz1568/getInfo.php?workbook=18_08.xlsx&amp;sheet=U0&amp;row=518&amp;col=6&amp;number=4.4&amp;sourceID=14","4.4")</f>
        <v>4.4</v>
      </c>
      <c r="G518" s="4" t="str">
        <f>HYPERLINK("http://141.218.60.56/~jnz1568/getInfo.php?workbook=18_08.xlsx&amp;sheet=U0&amp;row=518&amp;col=7&amp;number=0.00546&amp;sourceID=14","0.00546")</f>
        <v>0.00546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HYPERLINK("http://141.218.60.56/~jnz1568/getInfo.php?workbook=18_08.xlsx&amp;sheet=U0&amp;row=519&amp;col=6&amp;number=4.5&amp;sourceID=14","4.5")</f>
        <v>4.5</v>
      </c>
      <c r="G519" s="4" t="str">
        <f>HYPERLINK("http://141.218.60.56/~jnz1568/getInfo.php?workbook=18_08.xlsx&amp;sheet=U0&amp;row=519&amp;col=7&amp;number=0.00545&amp;sourceID=14","0.00545")</f>
        <v>0.00545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HYPERLINK("http://141.218.60.56/~jnz1568/getInfo.php?workbook=18_08.xlsx&amp;sheet=U0&amp;row=520&amp;col=6&amp;number=4.6&amp;sourceID=14","4.6")</f>
        <v>4.6</v>
      </c>
      <c r="G520" s="4" t="str">
        <f>HYPERLINK("http://141.218.60.56/~jnz1568/getInfo.php?workbook=18_08.xlsx&amp;sheet=U0&amp;row=520&amp;col=7&amp;number=0.00545&amp;sourceID=14","0.00545")</f>
        <v>0.00545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HYPERLINK("http://141.218.60.56/~jnz1568/getInfo.php?workbook=18_08.xlsx&amp;sheet=U0&amp;row=521&amp;col=6&amp;number=4.7&amp;sourceID=14","4.7")</f>
        <v>4.7</v>
      </c>
      <c r="G521" s="4" t="str">
        <f>HYPERLINK("http://141.218.60.56/~jnz1568/getInfo.php?workbook=18_08.xlsx&amp;sheet=U0&amp;row=521&amp;col=7&amp;number=0.00544&amp;sourceID=14","0.00544")</f>
        <v>0.00544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HYPERLINK("http://141.218.60.56/~jnz1568/getInfo.php?workbook=18_08.xlsx&amp;sheet=U0&amp;row=522&amp;col=6&amp;number=4.8&amp;sourceID=14","4.8")</f>
        <v>4.8</v>
      </c>
      <c r="G522" s="4" t="str">
        <f>HYPERLINK("http://141.218.60.56/~jnz1568/getInfo.php?workbook=18_08.xlsx&amp;sheet=U0&amp;row=522&amp;col=7&amp;number=0.00543&amp;sourceID=14","0.00543")</f>
        <v>0.00543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HYPERLINK("http://141.218.60.56/~jnz1568/getInfo.php?workbook=18_08.xlsx&amp;sheet=U0&amp;row=523&amp;col=6&amp;number=4.9&amp;sourceID=14","4.9")</f>
        <v>4.9</v>
      </c>
      <c r="G523" s="4" t="str">
        <f>HYPERLINK("http://141.218.60.56/~jnz1568/getInfo.php?workbook=18_08.xlsx&amp;sheet=U0&amp;row=523&amp;col=7&amp;number=0.00542&amp;sourceID=14","0.00542")</f>
        <v>0.00542</v>
      </c>
    </row>
    <row r="524" spans="1:7">
      <c r="A524" s="3">
        <v>18</v>
      </c>
      <c r="B524" s="3">
        <v>8</v>
      </c>
      <c r="C524" s="3" t="s">
        <v>47</v>
      </c>
      <c r="D524" s="3">
        <v>8</v>
      </c>
      <c r="E524" s="3">
        <v>1</v>
      </c>
      <c r="F524" s="4" t="str">
        <f>HYPERLINK("http://141.218.60.56/~jnz1568/getInfo.php?workbook=18_08.xlsx&amp;sheet=U0&amp;row=524&amp;col=6&amp;number=3&amp;sourceID=14","3")</f>
        <v>3</v>
      </c>
      <c r="G524" s="4" t="str">
        <f>HYPERLINK("http://141.218.60.56/~jnz1568/getInfo.php?workbook=18_08.xlsx&amp;sheet=U0&amp;row=524&amp;col=7&amp;number=0.00729&amp;sourceID=14","0.00729")</f>
        <v>0.00729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HYPERLINK("http://141.218.60.56/~jnz1568/getInfo.php?workbook=18_08.xlsx&amp;sheet=U0&amp;row=525&amp;col=6&amp;number=3.1&amp;sourceID=14","3.1")</f>
        <v>3.1</v>
      </c>
      <c r="G525" s="4" t="str">
        <f>HYPERLINK("http://141.218.60.56/~jnz1568/getInfo.php?workbook=18_08.xlsx&amp;sheet=U0&amp;row=525&amp;col=7&amp;number=0.00729&amp;sourceID=14","0.00729")</f>
        <v>0.00729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HYPERLINK("http://141.218.60.56/~jnz1568/getInfo.php?workbook=18_08.xlsx&amp;sheet=U0&amp;row=526&amp;col=6&amp;number=3.2&amp;sourceID=14","3.2")</f>
        <v>3.2</v>
      </c>
      <c r="G526" s="4" t="str">
        <f>HYPERLINK("http://141.218.60.56/~jnz1568/getInfo.php?workbook=18_08.xlsx&amp;sheet=U0&amp;row=526&amp;col=7&amp;number=0.00729&amp;sourceID=14","0.00729")</f>
        <v>0.00729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HYPERLINK("http://141.218.60.56/~jnz1568/getInfo.php?workbook=18_08.xlsx&amp;sheet=U0&amp;row=527&amp;col=6&amp;number=3.3&amp;sourceID=14","3.3")</f>
        <v>3.3</v>
      </c>
      <c r="G527" s="4" t="str">
        <f>HYPERLINK("http://141.218.60.56/~jnz1568/getInfo.php?workbook=18_08.xlsx&amp;sheet=U0&amp;row=527&amp;col=7&amp;number=0.00729&amp;sourceID=14","0.00729")</f>
        <v>0.00729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HYPERLINK("http://141.218.60.56/~jnz1568/getInfo.php?workbook=18_08.xlsx&amp;sheet=U0&amp;row=528&amp;col=6&amp;number=3.4&amp;sourceID=14","3.4")</f>
        <v>3.4</v>
      </c>
      <c r="G528" s="4" t="str">
        <f>HYPERLINK("http://141.218.60.56/~jnz1568/getInfo.php?workbook=18_08.xlsx&amp;sheet=U0&amp;row=528&amp;col=7&amp;number=0.00729&amp;sourceID=14","0.00729")</f>
        <v>0.00729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HYPERLINK("http://141.218.60.56/~jnz1568/getInfo.php?workbook=18_08.xlsx&amp;sheet=U0&amp;row=529&amp;col=6&amp;number=3.5&amp;sourceID=14","3.5")</f>
        <v>3.5</v>
      </c>
      <c r="G529" s="4" t="str">
        <f>HYPERLINK("http://141.218.60.56/~jnz1568/getInfo.php?workbook=18_08.xlsx&amp;sheet=U0&amp;row=529&amp;col=7&amp;number=0.00729&amp;sourceID=14","0.00729")</f>
        <v>0.00729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HYPERLINK("http://141.218.60.56/~jnz1568/getInfo.php?workbook=18_08.xlsx&amp;sheet=U0&amp;row=530&amp;col=6&amp;number=3.6&amp;sourceID=14","3.6")</f>
        <v>3.6</v>
      </c>
      <c r="G530" s="4" t="str">
        <f>HYPERLINK("http://141.218.60.56/~jnz1568/getInfo.php?workbook=18_08.xlsx&amp;sheet=U0&amp;row=530&amp;col=7&amp;number=0.00729&amp;sourceID=14","0.00729")</f>
        <v>0.00729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HYPERLINK("http://141.218.60.56/~jnz1568/getInfo.php?workbook=18_08.xlsx&amp;sheet=U0&amp;row=531&amp;col=6&amp;number=3.7&amp;sourceID=14","3.7")</f>
        <v>3.7</v>
      </c>
      <c r="G531" s="4" t="str">
        <f>HYPERLINK("http://141.218.60.56/~jnz1568/getInfo.php?workbook=18_08.xlsx&amp;sheet=U0&amp;row=531&amp;col=7&amp;number=0.00729&amp;sourceID=14","0.00729")</f>
        <v>0.00729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HYPERLINK("http://141.218.60.56/~jnz1568/getInfo.php?workbook=18_08.xlsx&amp;sheet=U0&amp;row=532&amp;col=6&amp;number=3.8&amp;sourceID=14","3.8")</f>
        <v>3.8</v>
      </c>
      <c r="G532" s="4" t="str">
        <f>HYPERLINK("http://141.218.60.56/~jnz1568/getInfo.php?workbook=18_08.xlsx&amp;sheet=U0&amp;row=532&amp;col=7&amp;number=0.00729&amp;sourceID=14","0.00729")</f>
        <v>0.00729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HYPERLINK("http://141.218.60.56/~jnz1568/getInfo.php?workbook=18_08.xlsx&amp;sheet=U0&amp;row=533&amp;col=6&amp;number=3.9&amp;sourceID=14","3.9")</f>
        <v>3.9</v>
      </c>
      <c r="G533" s="4" t="str">
        <f>HYPERLINK("http://141.218.60.56/~jnz1568/getInfo.php?workbook=18_08.xlsx&amp;sheet=U0&amp;row=533&amp;col=7&amp;number=0.00729&amp;sourceID=14","0.00729")</f>
        <v>0.00729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HYPERLINK("http://141.218.60.56/~jnz1568/getInfo.php?workbook=18_08.xlsx&amp;sheet=U0&amp;row=534&amp;col=6&amp;number=4&amp;sourceID=14","4")</f>
        <v>4</v>
      </c>
      <c r="G534" s="4" t="str">
        <f>HYPERLINK("http://141.218.60.56/~jnz1568/getInfo.php?workbook=18_08.xlsx&amp;sheet=U0&amp;row=534&amp;col=7&amp;number=0.00729&amp;sourceID=14","0.00729")</f>
        <v>0.00729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HYPERLINK("http://141.218.60.56/~jnz1568/getInfo.php?workbook=18_08.xlsx&amp;sheet=U0&amp;row=535&amp;col=6&amp;number=4.1&amp;sourceID=14","4.1")</f>
        <v>4.1</v>
      </c>
      <c r="G535" s="4" t="str">
        <f>HYPERLINK("http://141.218.60.56/~jnz1568/getInfo.php?workbook=18_08.xlsx&amp;sheet=U0&amp;row=535&amp;col=7&amp;number=0.00728&amp;sourceID=14","0.00728")</f>
        <v>0.00728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HYPERLINK("http://141.218.60.56/~jnz1568/getInfo.php?workbook=18_08.xlsx&amp;sheet=U0&amp;row=536&amp;col=6&amp;number=4.2&amp;sourceID=14","4.2")</f>
        <v>4.2</v>
      </c>
      <c r="G536" s="4" t="str">
        <f>HYPERLINK("http://141.218.60.56/~jnz1568/getInfo.php?workbook=18_08.xlsx&amp;sheet=U0&amp;row=536&amp;col=7&amp;number=0.00728&amp;sourceID=14","0.00728")</f>
        <v>0.00728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HYPERLINK("http://141.218.60.56/~jnz1568/getInfo.php?workbook=18_08.xlsx&amp;sheet=U0&amp;row=537&amp;col=6&amp;number=4.3&amp;sourceID=14","4.3")</f>
        <v>4.3</v>
      </c>
      <c r="G537" s="4" t="str">
        <f>HYPERLINK("http://141.218.60.56/~jnz1568/getInfo.php?workbook=18_08.xlsx&amp;sheet=U0&amp;row=537&amp;col=7&amp;number=0.00728&amp;sourceID=14","0.00728")</f>
        <v>0.00728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HYPERLINK("http://141.218.60.56/~jnz1568/getInfo.php?workbook=18_08.xlsx&amp;sheet=U0&amp;row=538&amp;col=6&amp;number=4.4&amp;sourceID=14","4.4")</f>
        <v>4.4</v>
      </c>
      <c r="G538" s="4" t="str">
        <f>HYPERLINK("http://141.218.60.56/~jnz1568/getInfo.php?workbook=18_08.xlsx&amp;sheet=U0&amp;row=538&amp;col=7&amp;number=0.00728&amp;sourceID=14","0.00728")</f>
        <v>0.00728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HYPERLINK("http://141.218.60.56/~jnz1568/getInfo.php?workbook=18_08.xlsx&amp;sheet=U0&amp;row=539&amp;col=6&amp;number=4.5&amp;sourceID=14","4.5")</f>
        <v>4.5</v>
      </c>
      <c r="G539" s="4" t="str">
        <f>HYPERLINK("http://141.218.60.56/~jnz1568/getInfo.php?workbook=18_08.xlsx&amp;sheet=U0&amp;row=539&amp;col=7&amp;number=0.00727&amp;sourceID=14","0.00727")</f>
        <v>0.00727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HYPERLINK("http://141.218.60.56/~jnz1568/getInfo.php?workbook=18_08.xlsx&amp;sheet=U0&amp;row=540&amp;col=6&amp;number=4.6&amp;sourceID=14","4.6")</f>
        <v>4.6</v>
      </c>
      <c r="G540" s="4" t="str">
        <f>HYPERLINK("http://141.218.60.56/~jnz1568/getInfo.php?workbook=18_08.xlsx&amp;sheet=U0&amp;row=540&amp;col=7&amp;number=0.00727&amp;sourceID=14","0.00727")</f>
        <v>0.00727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HYPERLINK("http://141.218.60.56/~jnz1568/getInfo.php?workbook=18_08.xlsx&amp;sheet=U0&amp;row=541&amp;col=6&amp;number=4.7&amp;sourceID=14","4.7")</f>
        <v>4.7</v>
      </c>
      <c r="G541" s="4" t="str">
        <f>HYPERLINK("http://141.218.60.56/~jnz1568/getInfo.php?workbook=18_08.xlsx&amp;sheet=U0&amp;row=541&amp;col=7&amp;number=0.00726&amp;sourceID=14","0.00726")</f>
        <v>0.00726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HYPERLINK("http://141.218.60.56/~jnz1568/getInfo.php?workbook=18_08.xlsx&amp;sheet=U0&amp;row=542&amp;col=6&amp;number=4.8&amp;sourceID=14","4.8")</f>
        <v>4.8</v>
      </c>
      <c r="G542" s="4" t="str">
        <f>HYPERLINK("http://141.218.60.56/~jnz1568/getInfo.php?workbook=18_08.xlsx&amp;sheet=U0&amp;row=542&amp;col=7&amp;number=0.00725&amp;sourceID=14","0.00725")</f>
        <v>0.00725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HYPERLINK("http://141.218.60.56/~jnz1568/getInfo.php?workbook=18_08.xlsx&amp;sheet=U0&amp;row=543&amp;col=6&amp;number=4.9&amp;sourceID=14","4.9")</f>
        <v>4.9</v>
      </c>
      <c r="G543" s="4" t="str">
        <f>HYPERLINK("http://141.218.60.56/~jnz1568/getInfo.php?workbook=18_08.xlsx&amp;sheet=U0&amp;row=543&amp;col=7&amp;number=0.00724&amp;sourceID=14","0.00724")</f>
        <v>0.00724</v>
      </c>
    </row>
    <row r="544" spans="1:7">
      <c r="A544" s="3">
        <v>18</v>
      </c>
      <c r="B544" s="3">
        <v>8</v>
      </c>
      <c r="C544" s="3" t="s">
        <v>47</v>
      </c>
      <c r="D544" s="3">
        <v>9</v>
      </c>
      <c r="E544" s="3">
        <v>1</v>
      </c>
      <c r="F544" s="4" t="str">
        <f>HYPERLINK("http://141.218.60.56/~jnz1568/getInfo.php?workbook=18_08.xlsx&amp;sheet=U0&amp;row=544&amp;col=6&amp;number=3&amp;sourceID=14","3")</f>
        <v>3</v>
      </c>
      <c r="G544" s="4" t="str">
        <f>HYPERLINK("http://141.218.60.56/~jnz1568/getInfo.php?workbook=18_08.xlsx&amp;sheet=U0&amp;row=544&amp;col=7&amp;number=0.0126&amp;sourceID=14","0.0126")</f>
        <v>0.0126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HYPERLINK("http://141.218.60.56/~jnz1568/getInfo.php?workbook=18_08.xlsx&amp;sheet=U0&amp;row=545&amp;col=6&amp;number=3.1&amp;sourceID=14","3.1")</f>
        <v>3.1</v>
      </c>
      <c r="G545" s="4" t="str">
        <f>HYPERLINK("http://141.218.60.56/~jnz1568/getInfo.php?workbook=18_08.xlsx&amp;sheet=U0&amp;row=545&amp;col=7&amp;number=0.0126&amp;sourceID=14","0.0126")</f>
        <v>0.0126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HYPERLINK("http://141.218.60.56/~jnz1568/getInfo.php?workbook=18_08.xlsx&amp;sheet=U0&amp;row=546&amp;col=6&amp;number=3.2&amp;sourceID=14","3.2")</f>
        <v>3.2</v>
      </c>
      <c r="G546" s="4" t="str">
        <f>HYPERLINK("http://141.218.60.56/~jnz1568/getInfo.php?workbook=18_08.xlsx&amp;sheet=U0&amp;row=546&amp;col=7&amp;number=0.0126&amp;sourceID=14","0.0126")</f>
        <v>0.0126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HYPERLINK("http://141.218.60.56/~jnz1568/getInfo.php?workbook=18_08.xlsx&amp;sheet=U0&amp;row=547&amp;col=6&amp;number=3.3&amp;sourceID=14","3.3")</f>
        <v>3.3</v>
      </c>
      <c r="G547" s="4" t="str">
        <f>HYPERLINK("http://141.218.60.56/~jnz1568/getInfo.php?workbook=18_08.xlsx&amp;sheet=U0&amp;row=547&amp;col=7&amp;number=0.0126&amp;sourceID=14","0.0126")</f>
        <v>0.0126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HYPERLINK("http://141.218.60.56/~jnz1568/getInfo.php?workbook=18_08.xlsx&amp;sheet=U0&amp;row=548&amp;col=6&amp;number=3.4&amp;sourceID=14","3.4")</f>
        <v>3.4</v>
      </c>
      <c r="G548" s="4" t="str">
        <f>HYPERLINK("http://141.218.60.56/~jnz1568/getInfo.php?workbook=18_08.xlsx&amp;sheet=U0&amp;row=548&amp;col=7&amp;number=0.0126&amp;sourceID=14","0.0126")</f>
        <v>0.0126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HYPERLINK("http://141.218.60.56/~jnz1568/getInfo.php?workbook=18_08.xlsx&amp;sheet=U0&amp;row=549&amp;col=6&amp;number=3.5&amp;sourceID=14","3.5")</f>
        <v>3.5</v>
      </c>
      <c r="G549" s="4" t="str">
        <f>HYPERLINK("http://141.218.60.56/~jnz1568/getInfo.php?workbook=18_08.xlsx&amp;sheet=U0&amp;row=549&amp;col=7&amp;number=0.0126&amp;sourceID=14","0.0126")</f>
        <v>0.0126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HYPERLINK("http://141.218.60.56/~jnz1568/getInfo.php?workbook=18_08.xlsx&amp;sheet=U0&amp;row=550&amp;col=6&amp;number=3.6&amp;sourceID=14","3.6")</f>
        <v>3.6</v>
      </c>
      <c r="G550" s="4" t="str">
        <f>HYPERLINK("http://141.218.60.56/~jnz1568/getInfo.php?workbook=18_08.xlsx&amp;sheet=U0&amp;row=550&amp;col=7&amp;number=0.0126&amp;sourceID=14","0.0126")</f>
        <v>0.0126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HYPERLINK("http://141.218.60.56/~jnz1568/getInfo.php?workbook=18_08.xlsx&amp;sheet=U0&amp;row=551&amp;col=6&amp;number=3.7&amp;sourceID=14","3.7")</f>
        <v>3.7</v>
      </c>
      <c r="G551" s="4" t="str">
        <f>HYPERLINK("http://141.218.60.56/~jnz1568/getInfo.php?workbook=18_08.xlsx&amp;sheet=U0&amp;row=551&amp;col=7&amp;number=0.0126&amp;sourceID=14","0.0126")</f>
        <v>0.0126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HYPERLINK("http://141.218.60.56/~jnz1568/getInfo.php?workbook=18_08.xlsx&amp;sheet=U0&amp;row=552&amp;col=6&amp;number=3.8&amp;sourceID=14","3.8")</f>
        <v>3.8</v>
      </c>
      <c r="G552" s="4" t="str">
        <f>HYPERLINK("http://141.218.60.56/~jnz1568/getInfo.php?workbook=18_08.xlsx&amp;sheet=U0&amp;row=552&amp;col=7&amp;number=0.0126&amp;sourceID=14","0.0126")</f>
        <v>0.0126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HYPERLINK("http://141.218.60.56/~jnz1568/getInfo.php?workbook=18_08.xlsx&amp;sheet=U0&amp;row=553&amp;col=6&amp;number=3.9&amp;sourceID=14","3.9")</f>
        <v>3.9</v>
      </c>
      <c r="G553" s="4" t="str">
        <f>HYPERLINK("http://141.218.60.56/~jnz1568/getInfo.php?workbook=18_08.xlsx&amp;sheet=U0&amp;row=553&amp;col=7&amp;number=0.0126&amp;sourceID=14","0.0126")</f>
        <v>0.0126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HYPERLINK("http://141.218.60.56/~jnz1568/getInfo.php?workbook=18_08.xlsx&amp;sheet=U0&amp;row=554&amp;col=6&amp;number=4&amp;sourceID=14","4")</f>
        <v>4</v>
      </c>
      <c r="G554" s="4" t="str">
        <f>HYPERLINK("http://141.218.60.56/~jnz1568/getInfo.php?workbook=18_08.xlsx&amp;sheet=U0&amp;row=554&amp;col=7&amp;number=0.0126&amp;sourceID=14","0.0126")</f>
        <v>0.0126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HYPERLINK("http://141.218.60.56/~jnz1568/getInfo.php?workbook=18_08.xlsx&amp;sheet=U0&amp;row=555&amp;col=6&amp;number=4.1&amp;sourceID=14","4.1")</f>
        <v>4.1</v>
      </c>
      <c r="G555" s="4" t="str">
        <f>HYPERLINK("http://141.218.60.56/~jnz1568/getInfo.php?workbook=18_08.xlsx&amp;sheet=U0&amp;row=555&amp;col=7&amp;number=0.0126&amp;sourceID=14","0.0126")</f>
        <v>0.0126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HYPERLINK("http://141.218.60.56/~jnz1568/getInfo.php?workbook=18_08.xlsx&amp;sheet=U0&amp;row=556&amp;col=6&amp;number=4.2&amp;sourceID=14","4.2")</f>
        <v>4.2</v>
      </c>
      <c r="G556" s="4" t="str">
        <f>HYPERLINK("http://141.218.60.56/~jnz1568/getInfo.php?workbook=18_08.xlsx&amp;sheet=U0&amp;row=556&amp;col=7&amp;number=0.0126&amp;sourceID=14","0.0126")</f>
        <v>0.0126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HYPERLINK("http://141.218.60.56/~jnz1568/getInfo.php?workbook=18_08.xlsx&amp;sheet=U0&amp;row=557&amp;col=6&amp;number=4.3&amp;sourceID=14","4.3")</f>
        <v>4.3</v>
      </c>
      <c r="G557" s="4" t="str">
        <f>HYPERLINK("http://141.218.60.56/~jnz1568/getInfo.php?workbook=18_08.xlsx&amp;sheet=U0&amp;row=557&amp;col=7&amp;number=0.0126&amp;sourceID=14","0.0126")</f>
        <v>0.0126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HYPERLINK("http://141.218.60.56/~jnz1568/getInfo.php?workbook=18_08.xlsx&amp;sheet=U0&amp;row=558&amp;col=6&amp;number=4.4&amp;sourceID=14","4.4")</f>
        <v>4.4</v>
      </c>
      <c r="G558" s="4" t="str">
        <f>HYPERLINK("http://141.218.60.56/~jnz1568/getInfo.php?workbook=18_08.xlsx&amp;sheet=U0&amp;row=558&amp;col=7&amp;number=0.0126&amp;sourceID=14","0.0126")</f>
        <v>0.0126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HYPERLINK("http://141.218.60.56/~jnz1568/getInfo.php?workbook=18_08.xlsx&amp;sheet=U0&amp;row=559&amp;col=6&amp;number=4.5&amp;sourceID=14","4.5")</f>
        <v>4.5</v>
      </c>
      <c r="G559" s="4" t="str">
        <f>HYPERLINK("http://141.218.60.56/~jnz1568/getInfo.php?workbook=18_08.xlsx&amp;sheet=U0&amp;row=559&amp;col=7&amp;number=0.0126&amp;sourceID=14","0.0126")</f>
        <v>0.0126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HYPERLINK("http://141.218.60.56/~jnz1568/getInfo.php?workbook=18_08.xlsx&amp;sheet=U0&amp;row=560&amp;col=6&amp;number=4.6&amp;sourceID=14","4.6")</f>
        <v>4.6</v>
      </c>
      <c r="G560" s="4" t="str">
        <f>HYPERLINK("http://141.218.60.56/~jnz1568/getInfo.php?workbook=18_08.xlsx&amp;sheet=U0&amp;row=560&amp;col=7&amp;number=0.0126&amp;sourceID=14","0.0126")</f>
        <v>0.0126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HYPERLINK("http://141.218.60.56/~jnz1568/getInfo.php?workbook=18_08.xlsx&amp;sheet=U0&amp;row=561&amp;col=6&amp;number=4.7&amp;sourceID=14","4.7")</f>
        <v>4.7</v>
      </c>
      <c r="G561" s="4" t="str">
        <f>HYPERLINK("http://141.218.60.56/~jnz1568/getInfo.php?workbook=18_08.xlsx&amp;sheet=U0&amp;row=561&amp;col=7&amp;number=0.0125&amp;sourceID=14","0.0125")</f>
        <v>0.0125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HYPERLINK("http://141.218.60.56/~jnz1568/getInfo.php?workbook=18_08.xlsx&amp;sheet=U0&amp;row=562&amp;col=6&amp;number=4.8&amp;sourceID=14","4.8")</f>
        <v>4.8</v>
      </c>
      <c r="G562" s="4" t="str">
        <f>HYPERLINK("http://141.218.60.56/~jnz1568/getInfo.php?workbook=18_08.xlsx&amp;sheet=U0&amp;row=562&amp;col=7&amp;number=0.0125&amp;sourceID=14","0.0125")</f>
        <v>0.0125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HYPERLINK("http://141.218.60.56/~jnz1568/getInfo.php?workbook=18_08.xlsx&amp;sheet=U0&amp;row=563&amp;col=6&amp;number=4.9&amp;sourceID=14","4.9")</f>
        <v>4.9</v>
      </c>
      <c r="G563" s="4" t="str">
        <f>HYPERLINK("http://141.218.60.56/~jnz1568/getInfo.php?workbook=18_08.xlsx&amp;sheet=U0&amp;row=563&amp;col=7&amp;number=0.0125&amp;sourceID=14","0.0125")</f>
        <v>0.0125</v>
      </c>
    </row>
    <row r="564" spans="1:7">
      <c r="A564" s="3">
        <v>18</v>
      </c>
      <c r="B564" s="3">
        <v>8</v>
      </c>
      <c r="C564" s="3" t="s">
        <v>48</v>
      </c>
      <c r="D564" s="3">
        <v>0</v>
      </c>
      <c r="E564" s="3">
        <v>1</v>
      </c>
      <c r="F564" s="4" t="str">
        <f>HYPERLINK("http://141.218.60.56/~jnz1568/getInfo.php?workbook=18_08.xlsx&amp;sheet=U0&amp;row=564&amp;col=6&amp;number=3&amp;sourceID=14","3")</f>
        <v>3</v>
      </c>
      <c r="G564" s="4" t="str">
        <f>HYPERLINK("http://141.218.60.56/~jnz1568/getInfo.php?workbook=18_08.xlsx&amp;sheet=U0&amp;row=564&amp;col=7&amp;number=0.00478&amp;sourceID=14","0.00478")</f>
        <v>0.00478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HYPERLINK("http://141.218.60.56/~jnz1568/getInfo.php?workbook=18_08.xlsx&amp;sheet=U0&amp;row=565&amp;col=6&amp;number=3.1&amp;sourceID=14","3.1")</f>
        <v>3.1</v>
      </c>
      <c r="G565" s="4" t="str">
        <f>HYPERLINK("http://141.218.60.56/~jnz1568/getInfo.php?workbook=18_08.xlsx&amp;sheet=U0&amp;row=565&amp;col=7&amp;number=0.00478&amp;sourceID=14","0.00478")</f>
        <v>0.00478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HYPERLINK("http://141.218.60.56/~jnz1568/getInfo.php?workbook=18_08.xlsx&amp;sheet=U0&amp;row=566&amp;col=6&amp;number=3.2&amp;sourceID=14","3.2")</f>
        <v>3.2</v>
      </c>
      <c r="G566" s="4" t="str">
        <f>HYPERLINK("http://141.218.60.56/~jnz1568/getInfo.php?workbook=18_08.xlsx&amp;sheet=U0&amp;row=566&amp;col=7&amp;number=0.00478&amp;sourceID=14","0.00478")</f>
        <v>0.00478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HYPERLINK("http://141.218.60.56/~jnz1568/getInfo.php?workbook=18_08.xlsx&amp;sheet=U0&amp;row=567&amp;col=6&amp;number=3.3&amp;sourceID=14","3.3")</f>
        <v>3.3</v>
      </c>
      <c r="G567" s="4" t="str">
        <f>HYPERLINK("http://141.218.60.56/~jnz1568/getInfo.php?workbook=18_08.xlsx&amp;sheet=U0&amp;row=567&amp;col=7&amp;number=0.00478&amp;sourceID=14","0.00478")</f>
        <v>0.00478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HYPERLINK("http://141.218.60.56/~jnz1568/getInfo.php?workbook=18_08.xlsx&amp;sheet=U0&amp;row=568&amp;col=6&amp;number=3.4&amp;sourceID=14","3.4")</f>
        <v>3.4</v>
      </c>
      <c r="G568" s="4" t="str">
        <f>HYPERLINK("http://141.218.60.56/~jnz1568/getInfo.php?workbook=18_08.xlsx&amp;sheet=U0&amp;row=568&amp;col=7&amp;number=0.00478&amp;sourceID=14","0.00478")</f>
        <v>0.00478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HYPERLINK("http://141.218.60.56/~jnz1568/getInfo.php?workbook=18_08.xlsx&amp;sheet=U0&amp;row=569&amp;col=6&amp;number=3.5&amp;sourceID=14","3.5")</f>
        <v>3.5</v>
      </c>
      <c r="G569" s="4" t="str">
        <f>HYPERLINK("http://141.218.60.56/~jnz1568/getInfo.php?workbook=18_08.xlsx&amp;sheet=U0&amp;row=569&amp;col=7&amp;number=0.00478&amp;sourceID=14","0.00478")</f>
        <v>0.00478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HYPERLINK("http://141.218.60.56/~jnz1568/getInfo.php?workbook=18_08.xlsx&amp;sheet=U0&amp;row=570&amp;col=6&amp;number=3.6&amp;sourceID=14","3.6")</f>
        <v>3.6</v>
      </c>
      <c r="G570" s="4" t="str">
        <f>HYPERLINK("http://141.218.60.56/~jnz1568/getInfo.php?workbook=18_08.xlsx&amp;sheet=U0&amp;row=570&amp;col=7&amp;number=0.00477&amp;sourceID=14","0.00477")</f>
        <v>0.00477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HYPERLINK("http://141.218.60.56/~jnz1568/getInfo.php?workbook=18_08.xlsx&amp;sheet=U0&amp;row=571&amp;col=6&amp;number=3.7&amp;sourceID=14","3.7")</f>
        <v>3.7</v>
      </c>
      <c r="G571" s="4" t="str">
        <f>HYPERLINK("http://141.218.60.56/~jnz1568/getInfo.php?workbook=18_08.xlsx&amp;sheet=U0&amp;row=571&amp;col=7&amp;number=0.00477&amp;sourceID=14","0.00477")</f>
        <v>0.00477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HYPERLINK("http://141.218.60.56/~jnz1568/getInfo.php?workbook=18_08.xlsx&amp;sheet=U0&amp;row=572&amp;col=6&amp;number=3.8&amp;sourceID=14","3.8")</f>
        <v>3.8</v>
      </c>
      <c r="G572" s="4" t="str">
        <f>HYPERLINK("http://141.218.60.56/~jnz1568/getInfo.php?workbook=18_08.xlsx&amp;sheet=U0&amp;row=572&amp;col=7&amp;number=0.00477&amp;sourceID=14","0.00477")</f>
        <v>0.00477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HYPERLINK("http://141.218.60.56/~jnz1568/getInfo.php?workbook=18_08.xlsx&amp;sheet=U0&amp;row=573&amp;col=6&amp;number=3.9&amp;sourceID=14","3.9")</f>
        <v>3.9</v>
      </c>
      <c r="G573" s="4" t="str">
        <f>HYPERLINK("http://141.218.60.56/~jnz1568/getInfo.php?workbook=18_08.xlsx&amp;sheet=U0&amp;row=573&amp;col=7&amp;number=0.00477&amp;sourceID=14","0.00477")</f>
        <v>0.00477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HYPERLINK("http://141.218.60.56/~jnz1568/getInfo.php?workbook=18_08.xlsx&amp;sheet=U0&amp;row=574&amp;col=6&amp;number=4&amp;sourceID=14","4")</f>
        <v>4</v>
      </c>
      <c r="G574" s="4" t="str">
        <f>HYPERLINK("http://141.218.60.56/~jnz1568/getInfo.php?workbook=18_08.xlsx&amp;sheet=U0&amp;row=574&amp;col=7&amp;number=0.00477&amp;sourceID=14","0.00477")</f>
        <v>0.00477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HYPERLINK("http://141.218.60.56/~jnz1568/getInfo.php?workbook=18_08.xlsx&amp;sheet=U0&amp;row=575&amp;col=6&amp;number=4.1&amp;sourceID=14","4.1")</f>
        <v>4.1</v>
      </c>
      <c r="G575" s="4" t="str">
        <f>HYPERLINK("http://141.218.60.56/~jnz1568/getInfo.php?workbook=18_08.xlsx&amp;sheet=U0&amp;row=575&amp;col=7&amp;number=0.00477&amp;sourceID=14","0.00477")</f>
        <v>0.00477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HYPERLINK("http://141.218.60.56/~jnz1568/getInfo.php?workbook=18_08.xlsx&amp;sheet=U0&amp;row=576&amp;col=6&amp;number=4.2&amp;sourceID=14","4.2")</f>
        <v>4.2</v>
      </c>
      <c r="G576" s="4" t="str">
        <f>HYPERLINK("http://141.218.60.56/~jnz1568/getInfo.php?workbook=18_08.xlsx&amp;sheet=U0&amp;row=576&amp;col=7&amp;number=0.00477&amp;sourceID=14","0.00477")</f>
        <v>0.00477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HYPERLINK("http://141.218.60.56/~jnz1568/getInfo.php?workbook=18_08.xlsx&amp;sheet=U0&amp;row=577&amp;col=6&amp;number=4.3&amp;sourceID=14","4.3")</f>
        <v>4.3</v>
      </c>
      <c r="G577" s="4" t="str">
        <f>HYPERLINK("http://141.218.60.56/~jnz1568/getInfo.php?workbook=18_08.xlsx&amp;sheet=U0&amp;row=577&amp;col=7&amp;number=0.00476&amp;sourceID=14","0.00476")</f>
        <v>0.00476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HYPERLINK("http://141.218.60.56/~jnz1568/getInfo.php?workbook=18_08.xlsx&amp;sheet=U0&amp;row=578&amp;col=6&amp;number=4.4&amp;sourceID=14","4.4")</f>
        <v>4.4</v>
      </c>
      <c r="G578" s="4" t="str">
        <f>HYPERLINK("http://141.218.60.56/~jnz1568/getInfo.php?workbook=18_08.xlsx&amp;sheet=U0&amp;row=578&amp;col=7&amp;number=0.00476&amp;sourceID=14","0.00476")</f>
        <v>0.00476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HYPERLINK("http://141.218.60.56/~jnz1568/getInfo.php?workbook=18_08.xlsx&amp;sheet=U0&amp;row=579&amp;col=6&amp;number=4.5&amp;sourceID=14","4.5")</f>
        <v>4.5</v>
      </c>
      <c r="G579" s="4" t="str">
        <f>HYPERLINK("http://141.218.60.56/~jnz1568/getInfo.php?workbook=18_08.xlsx&amp;sheet=U0&amp;row=579&amp;col=7&amp;number=0.00475&amp;sourceID=14","0.00475")</f>
        <v>0.00475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HYPERLINK("http://141.218.60.56/~jnz1568/getInfo.php?workbook=18_08.xlsx&amp;sheet=U0&amp;row=580&amp;col=6&amp;number=4.6&amp;sourceID=14","4.6")</f>
        <v>4.6</v>
      </c>
      <c r="G580" s="4" t="str">
        <f>HYPERLINK("http://141.218.60.56/~jnz1568/getInfo.php?workbook=18_08.xlsx&amp;sheet=U0&amp;row=580&amp;col=7&amp;number=0.00475&amp;sourceID=14","0.00475")</f>
        <v>0.00475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HYPERLINK("http://141.218.60.56/~jnz1568/getInfo.php?workbook=18_08.xlsx&amp;sheet=U0&amp;row=581&amp;col=6&amp;number=4.7&amp;sourceID=14","4.7")</f>
        <v>4.7</v>
      </c>
      <c r="G581" s="4" t="str">
        <f>HYPERLINK("http://141.218.60.56/~jnz1568/getInfo.php?workbook=18_08.xlsx&amp;sheet=U0&amp;row=581&amp;col=7&amp;number=0.00474&amp;sourceID=14","0.00474")</f>
        <v>0.00474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HYPERLINK("http://141.218.60.56/~jnz1568/getInfo.php?workbook=18_08.xlsx&amp;sheet=U0&amp;row=582&amp;col=6&amp;number=4.8&amp;sourceID=14","4.8")</f>
        <v>4.8</v>
      </c>
      <c r="G582" s="4" t="str">
        <f>HYPERLINK("http://141.218.60.56/~jnz1568/getInfo.php?workbook=18_08.xlsx&amp;sheet=U0&amp;row=582&amp;col=7&amp;number=0.00473&amp;sourceID=14","0.00473")</f>
        <v>0.00473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HYPERLINK("http://141.218.60.56/~jnz1568/getInfo.php?workbook=18_08.xlsx&amp;sheet=U0&amp;row=583&amp;col=6&amp;number=4.9&amp;sourceID=14","4.9")</f>
        <v>4.9</v>
      </c>
      <c r="G583" s="4" t="str">
        <f>HYPERLINK("http://141.218.60.56/~jnz1568/getInfo.php?workbook=18_08.xlsx&amp;sheet=U0&amp;row=583&amp;col=7&amp;number=0.00472&amp;sourceID=14","0.00472")</f>
        <v>0.00472</v>
      </c>
    </row>
    <row r="584" spans="1:7">
      <c r="A584" s="3">
        <v>18</v>
      </c>
      <c r="B584" s="3">
        <v>8</v>
      </c>
      <c r="C584" s="3" t="s">
        <v>48</v>
      </c>
      <c r="D584" s="3">
        <v>1</v>
      </c>
      <c r="E584" s="3">
        <v>1</v>
      </c>
      <c r="F584" s="4" t="str">
        <f>HYPERLINK("http://141.218.60.56/~jnz1568/getInfo.php?workbook=18_08.xlsx&amp;sheet=U0&amp;row=584&amp;col=6&amp;number=3&amp;sourceID=14","3")</f>
        <v>3</v>
      </c>
      <c r="G584" s="4" t="str">
        <f>HYPERLINK("http://141.218.60.56/~jnz1568/getInfo.php?workbook=18_08.xlsx&amp;sheet=U0&amp;row=584&amp;col=7&amp;number=0.00436&amp;sourceID=14","0.00436")</f>
        <v>0.00436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HYPERLINK("http://141.218.60.56/~jnz1568/getInfo.php?workbook=18_08.xlsx&amp;sheet=U0&amp;row=585&amp;col=6&amp;number=3.1&amp;sourceID=14","3.1")</f>
        <v>3.1</v>
      </c>
      <c r="G585" s="4" t="str">
        <f>HYPERLINK("http://141.218.60.56/~jnz1568/getInfo.php?workbook=18_08.xlsx&amp;sheet=U0&amp;row=585&amp;col=7&amp;number=0.00436&amp;sourceID=14","0.00436")</f>
        <v>0.00436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HYPERLINK("http://141.218.60.56/~jnz1568/getInfo.php?workbook=18_08.xlsx&amp;sheet=U0&amp;row=586&amp;col=6&amp;number=3.2&amp;sourceID=14","3.2")</f>
        <v>3.2</v>
      </c>
      <c r="G586" s="4" t="str">
        <f>HYPERLINK("http://141.218.60.56/~jnz1568/getInfo.php?workbook=18_08.xlsx&amp;sheet=U0&amp;row=586&amp;col=7&amp;number=0.00436&amp;sourceID=14","0.00436")</f>
        <v>0.00436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HYPERLINK("http://141.218.60.56/~jnz1568/getInfo.php?workbook=18_08.xlsx&amp;sheet=U0&amp;row=587&amp;col=6&amp;number=3.3&amp;sourceID=14","3.3")</f>
        <v>3.3</v>
      </c>
      <c r="G587" s="4" t="str">
        <f>HYPERLINK("http://141.218.60.56/~jnz1568/getInfo.php?workbook=18_08.xlsx&amp;sheet=U0&amp;row=587&amp;col=7&amp;number=0.00436&amp;sourceID=14","0.00436")</f>
        <v>0.00436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HYPERLINK("http://141.218.60.56/~jnz1568/getInfo.php?workbook=18_08.xlsx&amp;sheet=U0&amp;row=588&amp;col=6&amp;number=3.4&amp;sourceID=14","3.4")</f>
        <v>3.4</v>
      </c>
      <c r="G588" s="4" t="str">
        <f>HYPERLINK("http://141.218.60.56/~jnz1568/getInfo.php?workbook=18_08.xlsx&amp;sheet=U0&amp;row=588&amp;col=7&amp;number=0.00436&amp;sourceID=14","0.00436")</f>
        <v>0.00436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HYPERLINK("http://141.218.60.56/~jnz1568/getInfo.php?workbook=18_08.xlsx&amp;sheet=U0&amp;row=589&amp;col=6&amp;number=3.5&amp;sourceID=14","3.5")</f>
        <v>3.5</v>
      </c>
      <c r="G589" s="4" t="str">
        <f>HYPERLINK("http://141.218.60.56/~jnz1568/getInfo.php?workbook=18_08.xlsx&amp;sheet=U0&amp;row=589&amp;col=7&amp;number=0.00436&amp;sourceID=14","0.00436")</f>
        <v>0.00436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HYPERLINK("http://141.218.60.56/~jnz1568/getInfo.php?workbook=18_08.xlsx&amp;sheet=U0&amp;row=590&amp;col=6&amp;number=3.6&amp;sourceID=14","3.6")</f>
        <v>3.6</v>
      </c>
      <c r="G590" s="4" t="str">
        <f>HYPERLINK("http://141.218.60.56/~jnz1568/getInfo.php?workbook=18_08.xlsx&amp;sheet=U0&amp;row=590&amp;col=7&amp;number=0.00436&amp;sourceID=14","0.00436")</f>
        <v>0.00436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HYPERLINK("http://141.218.60.56/~jnz1568/getInfo.php?workbook=18_08.xlsx&amp;sheet=U0&amp;row=591&amp;col=6&amp;number=3.7&amp;sourceID=14","3.7")</f>
        <v>3.7</v>
      </c>
      <c r="G591" s="4" t="str">
        <f>HYPERLINK("http://141.218.60.56/~jnz1568/getInfo.php?workbook=18_08.xlsx&amp;sheet=U0&amp;row=591&amp;col=7&amp;number=0.00436&amp;sourceID=14","0.00436")</f>
        <v>0.00436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HYPERLINK("http://141.218.60.56/~jnz1568/getInfo.php?workbook=18_08.xlsx&amp;sheet=U0&amp;row=592&amp;col=6&amp;number=3.8&amp;sourceID=14","3.8")</f>
        <v>3.8</v>
      </c>
      <c r="G592" s="4" t="str">
        <f>HYPERLINK("http://141.218.60.56/~jnz1568/getInfo.php?workbook=18_08.xlsx&amp;sheet=U0&amp;row=592&amp;col=7&amp;number=0.00436&amp;sourceID=14","0.00436")</f>
        <v>0.00436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HYPERLINK("http://141.218.60.56/~jnz1568/getInfo.php?workbook=18_08.xlsx&amp;sheet=U0&amp;row=593&amp;col=6&amp;number=3.9&amp;sourceID=14","3.9")</f>
        <v>3.9</v>
      </c>
      <c r="G593" s="4" t="str">
        <f>HYPERLINK("http://141.218.60.56/~jnz1568/getInfo.php?workbook=18_08.xlsx&amp;sheet=U0&amp;row=593&amp;col=7&amp;number=0.00436&amp;sourceID=14","0.00436")</f>
        <v>0.00436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HYPERLINK("http://141.218.60.56/~jnz1568/getInfo.php?workbook=18_08.xlsx&amp;sheet=U0&amp;row=594&amp;col=6&amp;number=4&amp;sourceID=14","4")</f>
        <v>4</v>
      </c>
      <c r="G594" s="4" t="str">
        <f>HYPERLINK("http://141.218.60.56/~jnz1568/getInfo.php?workbook=18_08.xlsx&amp;sheet=U0&amp;row=594&amp;col=7&amp;number=0.00436&amp;sourceID=14","0.00436")</f>
        <v>0.00436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HYPERLINK("http://141.218.60.56/~jnz1568/getInfo.php?workbook=18_08.xlsx&amp;sheet=U0&amp;row=595&amp;col=6&amp;number=4.1&amp;sourceID=14","4.1")</f>
        <v>4.1</v>
      </c>
      <c r="G595" s="4" t="str">
        <f>HYPERLINK("http://141.218.60.56/~jnz1568/getInfo.php?workbook=18_08.xlsx&amp;sheet=U0&amp;row=595&amp;col=7&amp;number=0.00436&amp;sourceID=14","0.00436")</f>
        <v>0.00436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HYPERLINK("http://141.218.60.56/~jnz1568/getInfo.php?workbook=18_08.xlsx&amp;sheet=U0&amp;row=596&amp;col=6&amp;number=4.2&amp;sourceID=14","4.2")</f>
        <v>4.2</v>
      </c>
      <c r="G596" s="4" t="str">
        <f>HYPERLINK("http://141.218.60.56/~jnz1568/getInfo.php?workbook=18_08.xlsx&amp;sheet=U0&amp;row=596&amp;col=7&amp;number=0.00435&amp;sourceID=14","0.00435")</f>
        <v>0.00435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HYPERLINK("http://141.218.60.56/~jnz1568/getInfo.php?workbook=18_08.xlsx&amp;sheet=U0&amp;row=597&amp;col=6&amp;number=4.3&amp;sourceID=14","4.3")</f>
        <v>4.3</v>
      </c>
      <c r="G597" s="4" t="str">
        <f>HYPERLINK("http://141.218.60.56/~jnz1568/getInfo.php?workbook=18_08.xlsx&amp;sheet=U0&amp;row=597&amp;col=7&amp;number=0.00435&amp;sourceID=14","0.00435")</f>
        <v>0.00435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HYPERLINK("http://141.218.60.56/~jnz1568/getInfo.php?workbook=18_08.xlsx&amp;sheet=U0&amp;row=598&amp;col=6&amp;number=4.4&amp;sourceID=14","4.4")</f>
        <v>4.4</v>
      </c>
      <c r="G598" s="4" t="str">
        <f>HYPERLINK("http://141.218.60.56/~jnz1568/getInfo.php?workbook=18_08.xlsx&amp;sheet=U0&amp;row=598&amp;col=7&amp;number=0.00435&amp;sourceID=14","0.00435")</f>
        <v>0.00435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HYPERLINK("http://141.218.60.56/~jnz1568/getInfo.php?workbook=18_08.xlsx&amp;sheet=U0&amp;row=599&amp;col=6&amp;number=4.5&amp;sourceID=14","4.5")</f>
        <v>4.5</v>
      </c>
      <c r="G599" s="4" t="str">
        <f>HYPERLINK("http://141.218.60.56/~jnz1568/getInfo.php?workbook=18_08.xlsx&amp;sheet=U0&amp;row=599&amp;col=7&amp;number=0.00434&amp;sourceID=14","0.00434")</f>
        <v>0.00434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HYPERLINK("http://141.218.60.56/~jnz1568/getInfo.php?workbook=18_08.xlsx&amp;sheet=U0&amp;row=600&amp;col=6&amp;number=4.6&amp;sourceID=14","4.6")</f>
        <v>4.6</v>
      </c>
      <c r="G600" s="4" t="str">
        <f>HYPERLINK("http://141.218.60.56/~jnz1568/getInfo.php?workbook=18_08.xlsx&amp;sheet=U0&amp;row=600&amp;col=7&amp;number=0.00433&amp;sourceID=14","0.00433")</f>
        <v>0.00433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HYPERLINK("http://141.218.60.56/~jnz1568/getInfo.php?workbook=18_08.xlsx&amp;sheet=U0&amp;row=601&amp;col=6&amp;number=4.7&amp;sourceID=14","4.7")</f>
        <v>4.7</v>
      </c>
      <c r="G601" s="4" t="str">
        <f>HYPERLINK("http://141.218.60.56/~jnz1568/getInfo.php?workbook=18_08.xlsx&amp;sheet=U0&amp;row=601&amp;col=7&amp;number=0.00433&amp;sourceID=14","0.00433")</f>
        <v>0.00433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HYPERLINK("http://141.218.60.56/~jnz1568/getInfo.php?workbook=18_08.xlsx&amp;sheet=U0&amp;row=602&amp;col=6&amp;number=4.8&amp;sourceID=14","4.8")</f>
        <v>4.8</v>
      </c>
      <c r="G602" s="4" t="str">
        <f>HYPERLINK("http://141.218.60.56/~jnz1568/getInfo.php?workbook=18_08.xlsx&amp;sheet=U0&amp;row=602&amp;col=7&amp;number=0.00432&amp;sourceID=14","0.00432")</f>
        <v>0.00432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HYPERLINK("http://141.218.60.56/~jnz1568/getInfo.php?workbook=18_08.xlsx&amp;sheet=U0&amp;row=603&amp;col=6&amp;number=4.9&amp;sourceID=14","4.9")</f>
        <v>4.9</v>
      </c>
      <c r="G603" s="4" t="str">
        <f>HYPERLINK("http://141.218.60.56/~jnz1568/getInfo.php?workbook=18_08.xlsx&amp;sheet=U0&amp;row=603&amp;col=7&amp;number=0.0043&amp;sourceID=14","0.0043")</f>
        <v>0.0043</v>
      </c>
    </row>
    <row r="604" spans="1:7">
      <c r="A604" s="3">
        <v>18</v>
      </c>
      <c r="B604" s="3">
        <v>8</v>
      </c>
      <c r="C604" s="3" t="s">
        <v>48</v>
      </c>
      <c r="D604" s="3">
        <v>2</v>
      </c>
      <c r="E604" s="3">
        <v>1</v>
      </c>
      <c r="F604" s="4" t="str">
        <f>HYPERLINK("http://141.218.60.56/~jnz1568/getInfo.php?workbook=18_08.xlsx&amp;sheet=U0&amp;row=604&amp;col=6&amp;number=3&amp;sourceID=14","3")</f>
        <v>3</v>
      </c>
      <c r="G604" s="4" t="str">
        <f>HYPERLINK("http://141.218.60.56/~jnz1568/getInfo.php?workbook=18_08.xlsx&amp;sheet=U0&amp;row=604&amp;col=7&amp;number=0.00905&amp;sourceID=14","0.00905")</f>
        <v>0.00905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HYPERLINK("http://141.218.60.56/~jnz1568/getInfo.php?workbook=18_08.xlsx&amp;sheet=U0&amp;row=605&amp;col=6&amp;number=3.1&amp;sourceID=14","3.1")</f>
        <v>3.1</v>
      </c>
      <c r="G605" s="4" t="str">
        <f>HYPERLINK("http://141.218.60.56/~jnz1568/getInfo.php?workbook=18_08.xlsx&amp;sheet=U0&amp;row=605&amp;col=7&amp;number=0.00905&amp;sourceID=14","0.00905")</f>
        <v>0.00905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HYPERLINK("http://141.218.60.56/~jnz1568/getInfo.php?workbook=18_08.xlsx&amp;sheet=U0&amp;row=606&amp;col=6&amp;number=3.2&amp;sourceID=14","3.2")</f>
        <v>3.2</v>
      </c>
      <c r="G606" s="4" t="str">
        <f>HYPERLINK("http://141.218.60.56/~jnz1568/getInfo.php?workbook=18_08.xlsx&amp;sheet=U0&amp;row=606&amp;col=7&amp;number=0.00905&amp;sourceID=14","0.00905")</f>
        <v>0.00905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HYPERLINK("http://141.218.60.56/~jnz1568/getInfo.php?workbook=18_08.xlsx&amp;sheet=U0&amp;row=607&amp;col=6&amp;number=3.3&amp;sourceID=14","3.3")</f>
        <v>3.3</v>
      </c>
      <c r="G607" s="4" t="str">
        <f>HYPERLINK("http://141.218.60.56/~jnz1568/getInfo.php?workbook=18_08.xlsx&amp;sheet=U0&amp;row=607&amp;col=7&amp;number=0.00905&amp;sourceID=14","0.00905")</f>
        <v>0.00905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HYPERLINK("http://141.218.60.56/~jnz1568/getInfo.php?workbook=18_08.xlsx&amp;sheet=U0&amp;row=608&amp;col=6&amp;number=3.4&amp;sourceID=14","3.4")</f>
        <v>3.4</v>
      </c>
      <c r="G608" s="4" t="str">
        <f>HYPERLINK("http://141.218.60.56/~jnz1568/getInfo.php?workbook=18_08.xlsx&amp;sheet=U0&amp;row=608&amp;col=7&amp;number=0.00905&amp;sourceID=14","0.00905")</f>
        <v>0.00905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HYPERLINK("http://141.218.60.56/~jnz1568/getInfo.php?workbook=18_08.xlsx&amp;sheet=U0&amp;row=609&amp;col=6&amp;number=3.5&amp;sourceID=14","3.5")</f>
        <v>3.5</v>
      </c>
      <c r="G609" s="4" t="str">
        <f>HYPERLINK("http://141.218.60.56/~jnz1568/getInfo.php?workbook=18_08.xlsx&amp;sheet=U0&amp;row=609&amp;col=7&amp;number=0.00905&amp;sourceID=14","0.00905")</f>
        <v>0.00905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HYPERLINK("http://141.218.60.56/~jnz1568/getInfo.php?workbook=18_08.xlsx&amp;sheet=U0&amp;row=610&amp;col=6&amp;number=3.6&amp;sourceID=14","3.6")</f>
        <v>3.6</v>
      </c>
      <c r="G610" s="4" t="str">
        <f>HYPERLINK("http://141.218.60.56/~jnz1568/getInfo.php?workbook=18_08.xlsx&amp;sheet=U0&amp;row=610&amp;col=7&amp;number=0.00905&amp;sourceID=14","0.00905")</f>
        <v>0.00905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HYPERLINK("http://141.218.60.56/~jnz1568/getInfo.php?workbook=18_08.xlsx&amp;sheet=U0&amp;row=611&amp;col=6&amp;number=3.7&amp;sourceID=14","3.7")</f>
        <v>3.7</v>
      </c>
      <c r="G611" s="4" t="str">
        <f>HYPERLINK("http://141.218.60.56/~jnz1568/getInfo.php?workbook=18_08.xlsx&amp;sheet=U0&amp;row=611&amp;col=7&amp;number=0.00905&amp;sourceID=14","0.00905")</f>
        <v>0.00905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HYPERLINK("http://141.218.60.56/~jnz1568/getInfo.php?workbook=18_08.xlsx&amp;sheet=U0&amp;row=612&amp;col=6&amp;number=3.8&amp;sourceID=14","3.8")</f>
        <v>3.8</v>
      </c>
      <c r="G612" s="4" t="str">
        <f>HYPERLINK("http://141.218.60.56/~jnz1568/getInfo.php?workbook=18_08.xlsx&amp;sheet=U0&amp;row=612&amp;col=7&amp;number=0.00905&amp;sourceID=14","0.00905")</f>
        <v>0.00905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HYPERLINK("http://141.218.60.56/~jnz1568/getInfo.php?workbook=18_08.xlsx&amp;sheet=U0&amp;row=613&amp;col=6&amp;number=3.9&amp;sourceID=14","3.9")</f>
        <v>3.9</v>
      </c>
      <c r="G613" s="4" t="str">
        <f>HYPERLINK("http://141.218.60.56/~jnz1568/getInfo.php?workbook=18_08.xlsx&amp;sheet=U0&amp;row=613&amp;col=7&amp;number=0.00904&amp;sourceID=14","0.00904")</f>
        <v>0.00904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HYPERLINK("http://141.218.60.56/~jnz1568/getInfo.php?workbook=18_08.xlsx&amp;sheet=U0&amp;row=614&amp;col=6&amp;number=4&amp;sourceID=14","4")</f>
        <v>4</v>
      </c>
      <c r="G614" s="4" t="str">
        <f>HYPERLINK("http://141.218.60.56/~jnz1568/getInfo.php?workbook=18_08.xlsx&amp;sheet=U0&amp;row=614&amp;col=7&amp;number=0.00904&amp;sourceID=14","0.00904")</f>
        <v>0.00904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HYPERLINK("http://141.218.60.56/~jnz1568/getInfo.php?workbook=18_08.xlsx&amp;sheet=U0&amp;row=615&amp;col=6&amp;number=4.1&amp;sourceID=14","4.1")</f>
        <v>4.1</v>
      </c>
      <c r="G615" s="4" t="str">
        <f>HYPERLINK("http://141.218.60.56/~jnz1568/getInfo.php?workbook=18_08.xlsx&amp;sheet=U0&amp;row=615&amp;col=7&amp;number=0.00904&amp;sourceID=14","0.00904")</f>
        <v>0.00904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HYPERLINK("http://141.218.60.56/~jnz1568/getInfo.php?workbook=18_08.xlsx&amp;sheet=U0&amp;row=616&amp;col=6&amp;number=4.2&amp;sourceID=14","4.2")</f>
        <v>4.2</v>
      </c>
      <c r="G616" s="4" t="str">
        <f>HYPERLINK("http://141.218.60.56/~jnz1568/getInfo.php?workbook=18_08.xlsx&amp;sheet=U0&amp;row=616&amp;col=7&amp;number=0.00903&amp;sourceID=14","0.00903")</f>
        <v>0.00903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HYPERLINK("http://141.218.60.56/~jnz1568/getInfo.php?workbook=18_08.xlsx&amp;sheet=U0&amp;row=617&amp;col=6&amp;number=4.3&amp;sourceID=14","4.3")</f>
        <v>4.3</v>
      </c>
      <c r="G617" s="4" t="str">
        <f>HYPERLINK("http://141.218.60.56/~jnz1568/getInfo.php?workbook=18_08.xlsx&amp;sheet=U0&amp;row=617&amp;col=7&amp;number=0.00903&amp;sourceID=14","0.00903")</f>
        <v>0.00903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HYPERLINK("http://141.218.60.56/~jnz1568/getInfo.php?workbook=18_08.xlsx&amp;sheet=U0&amp;row=618&amp;col=6&amp;number=4.4&amp;sourceID=14","4.4")</f>
        <v>4.4</v>
      </c>
      <c r="G618" s="4" t="str">
        <f>HYPERLINK("http://141.218.60.56/~jnz1568/getInfo.php?workbook=18_08.xlsx&amp;sheet=U0&amp;row=618&amp;col=7&amp;number=0.00902&amp;sourceID=14","0.00902")</f>
        <v>0.00902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HYPERLINK("http://141.218.60.56/~jnz1568/getInfo.php?workbook=18_08.xlsx&amp;sheet=U0&amp;row=619&amp;col=6&amp;number=4.5&amp;sourceID=14","4.5")</f>
        <v>4.5</v>
      </c>
      <c r="G619" s="4" t="str">
        <f>HYPERLINK("http://141.218.60.56/~jnz1568/getInfo.php?workbook=18_08.xlsx&amp;sheet=U0&amp;row=619&amp;col=7&amp;number=0.00901&amp;sourceID=14","0.00901")</f>
        <v>0.00901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HYPERLINK("http://141.218.60.56/~jnz1568/getInfo.php?workbook=18_08.xlsx&amp;sheet=U0&amp;row=620&amp;col=6&amp;number=4.6&amp;sourceID=14","4.6")</f>
        <v>4.6</v>
      </c>
      <c r="G620" s="4" t="str">
        <f>HYPERLINK("http://141.218.60.56/~jnz1568/getInfo.php?workbook=18_08.xlsx&amp;sheet=U0&amp;row=620&amp;col=7&amp;number=0.009&amp;sourceID=14","0.009")</f>
        <v>0.009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HYPERLINK("http://141.218.60.56/~jnz1568/getInfo.php?workbook=18_08.xlsx&amp;sheet=U0&amp;row=621&amp;col=6&amp;number=4.7&amp;sourceID=14","4.7")</f>
        <v>4.7</v>
      </c>
      <c r="G621" s="4" t="str">
        <f>HYPERLINK("http://141.218.60.56/~jnz1568/getInfo.php?workbook=18_08.xlsx&amp;sheet=U0&amp;row=621&amp;col=7&amp;number=0.00899&amp;sourceID=14","0.00899")</f>
        <v>0.00899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HYPERLINK("http://141.218.60.56/~jnz1568/getInfo.php?workbook=18_08.xlsx&amp;sheet=U0&amp;row=622&amp;col=6&amp;number=4.8&amp;sourceID=14","4.8")</f>
        <v>4.8</v>
      </c>
      <c r="G622" s="4" t="str">
        <f>HYPERLINK("http://141.218.60.56/~jnz1568/getInfo.php?workbook=18_08.xlsx&amp;sheet=U0&amp;row=622&amp;col=7&amp;number=0.00897&amp;sourceID=14","0.00897")</f>
        <v>0.00897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HYPERLINK("http://141.218.60.56/~jnz1568/getInfo.php?workbook=18_08.xlsx&amp;sheet=U0&amp;row=623&amp;col=6&amp;number=4.9&amp;sourceID=14","4.9")</f>
        <v>4.9</v>
      </c>
      <c r="G623" s="4" t="str">
        <f>HYPERLINK("http://141.218.60.56/~jnz1568/getInfo.php?workbook=18_08.xlsx&amp;sheet=U0&amp;row=623&amp;col=7&amp;number=0.00895&amp;sourceID=14","0.00895")</f>
        <v>0.00895</v>
      </c>
    </row>
    <row r="624" spans="1:7">
      <c r="A624" s="3">
        <v>18</v>
      </c>
      <c r="B624" s="3">
        <v>8</v>
      </c>
      <c r="C624" s="3" t="s">
        <v>48</v>
      </c>
      <c r="D624" s="3">
        <v>3</v>
      </c>
      <c r="E624" s="3">
        <v>1</v>
      </c>
      <c r="F624" s="4" t="str">
        <f>HYPERLINK("http://141.218.60.56/~jnz1568/getInfo.php?workbook=18_08.xlsx&amp;sheet=U0&amp;row=624&amp;col=6&amp;number=3&amp;sourceID=14","3")</f>
        <v>3</v>
      </c>
      <c r="G624" s="4" t="str">
        <f>HYPERLINK("http://141.218.60.56/~jnz1568/getInfo.php?workbook=18_08.xlsx&amp;sheet=U0&amp;row=624&amp;col=7&amp;number=0.0198&amp;sourceID=14","0.0198")</f>
        <v>0.0198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HYPERLINK("http://141.218.60.56/~jnz1568/getInfo.php?workbook=18_08.xlsx&amp;sheet=U0&amp;row=625&amp;col=6&amp;number=3.1&amp;sourceID=14","3.1")</f>
        <v>3.1</v>
      </c>
      <c r="G625" s="4" t="str">
        <f>HYPERLINK("http://141.218.60.56/~jnz1568/getInfo.php?workbook=18_08.xlsx&amp;sheet=U0&amp;row=625&amp;col=7&amp;number=0.0198&amp;sourceID=14","0.0198")</f>
        <v>0.0198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HYPERLINK("http://141.218.60.56/~jnz1568/getInfo.php?workbook=18_08.xlsx&amp;sheet=U0&amp;row=626&amp;col=6&amp;number=3.2&amp;sourceID=14","3.2")</f>
        <v>3.2</v>
      </c>
      <c r="G626" s="4" t="str">
        <f>HYPERLINK("http://141.218.60.56/~jnz1568/getInfo.php?workbook=18_08.xlsx&amp;sheet=U0&amp;row=626&amp;col=7&amp;number=0.0198&amp;sourceID=14","0.0198")</f>
        <v>0.0198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HYPERLINK("http://141.218.60.56/~jnz1568/getInfo.php?workbook=18_08.xlsx&amp;sheet=U0&amp;row=627&amp;col=6&amp;number=3.3&amp;sourceID=14","3.3")</f>
        <v>3.3</v>
      </c>
      <c r="G627" s="4" t="str">
        <f>HYPERLINK("http://141.218.60.56/~jnz1568/getInfo.php?workbook=18_08.xlsx&amp;sheet=U0&amp;row=627&amp;col=7&amp;number=0.0198&amp;sourceID=14","0.0198")</f>
        <v>0.0198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HYPERLINK("http://141.218.60.56/~jnz1568/getInfo.php?workbook=18_08.xlsx&amp;sheet=U0&amp;row=628&amp;col=6&amp;number=3.4&amp;sourceID=14","3.4")</f>
        <v>3.4</v>
      </c>
      <c r="G628" s="4" t="str">
        <f>HYPERLINK("http://141.218.60.56/~jnz1568/getInfo.php?workbook=18_08.xlsx&amp;sheet=U0&amp;row=628&amp;col=7&amp;number=0.0198&amp;sourceID=14","0.0198")</f>
        <v>0.0198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HYPERLINK("http://141.218.60.56/~jnz1568/getInfo.php?workbook=18_08.xlsx&amp;sheet=U0&amp;row=629&amp;col=6&amp;number=3.5&amp;sourceID=14","3.5")</f>
        <v>3.5</v>
      </c>
      <c r="G629" s="4" t="str">
        <f>HYPERLINK("http://141.218.60.56/~jnz1568/getInfo.php?workbook=18_08.xlsx&amp;sheet=U0&amp;row=629&amp;col=7&amp;number=0.0198&amp;sourceID=14","0.0198")</f>
        <v>0.0198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HYPERLINK("http://141.218.60.56/~jnz1568/getInfo.php?workbook=18_08.xlsx&amp;sheet=U0&amp;row=630&amp;col=6&amp;number=3.6&amp;sourceID=14","3.6")</f>
        <v>3.6</v>
      </c>
      <c r="G630" s="4" t="str">
        <f>HYPERLINK("http://141.218.60.56/~jnz1568/getInfo.php?workbook=18_08.xlsx&amp;sheet=U0&amp;row=630&amp;col=7&amp;number=0.0198&amp;sourceID=14","0.0198")</f>
        <v>0.0198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HYPERLINK("http://141.218.60.56/~jnz1568/getInfo.php?workbook=18_08.xlsx&amp;sheet=U0&amp;row=631&amp;col=6&amp;number=3.7&amp;sourceID=14","3.7")</f>
        <v>3.7</v>
      </c>
      <c r="G631" s="4" t="str">
        <f>HYPERLINK("http://141.218.60.56/~jnz1568/getInfo.php?workbook=18_08.xlsx&amp;sheet=U0&amp;row=631&amp;col=7&amp;number=0.0198&amp;sourceID=14","0.0198")</f>
        <v>0.0198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HYPERLINK("http://141.218.60.56/~jnz1568/getInfo.php?workbook=18_08.xlsx&amp;sheet=U0&amp;row=632&amp;col=6&amp;number=3.8&amp;sourceID=14","3.8")</f>
        <v>3.8</v>
      </c>
      <c r="G632" s="4" t="str">
        <f>HYPERLINK("http://141.218.60.56/~jnz1568/getInfo.php?workbook=18_08.xlsx&amp;sheet=U0&amp;row=632&amp;col=7&amp;number=0.0198&amp;sourceID=14","0.0198")</f>
        <v>0.0198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HYPERLINK("http://141.218.60.56/~jnz1568/getInfo.php?workbook=18_08.xlsx&amp;sheet=U0&amp;row=633&amp;col=6&amp;number=3.9&amp;sourceID=14","3.9")</f>
        <v>3.9</v>
      </c>
      <c r="G633" s="4" t="str">
        <f>HYPERLINK("http://141.218.60.56/~jnz1568/getInfo.php?workbook=18_08.xlsx&amp;sheet=U0&amp;row=633&amp;col=7&amp;number=0.0198&amp;sourceID=14","0.0198")</f>
        <v>0.0198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HYPERLINK("http://141.218.60.56/~jnz1568/getInfo.php?workbook=18_08.xlsx&amp;sheet=U0&amp;row=634&amp;col=6&amp;number=4&amp;sourceID=14","4")</f>
        <v>4</v>
      </c>
      <c r="G634" s="4" t="str">
        <f>HYPERLINK("http://141.218.60.56/~jnz1568/getInfo.php?workbook=18_08.xlsx&amp;sheet=U0&amp;row=634&amp;col=7&amp;number=0.0198&amp;sourceID=14","0.0198")</f>
        <v>0.0198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HYPERLINK("http://141.218.60.56/~jnz1568/getInfo.php?workbook=18_08.xlsx&amp;sheet=U0&amp;row=635&amp;col=6&amp;number=4.1&amp;sourceID=14","4.1")</f>
        <v>4.1</v>
      </c>
      <c r="G635" s="4" t="str">
        <f>HYPERLINK("http://141.218.60.56/~jnz1568/getInfo.php?workbook=18_08.xlsx&amp;sheet=U0&amp;row=635&amp;col=7&amp;number=0.0198&amp;sourceID=14","0.0198")</f>
        <v>0.0198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HYPERLINK("http://141.218.60.56/~jnz1568/getInfo.php?workbook=18_08.xlsx&amp;sheet=U0&amp;row=636&amp;col=6&amp;number=4.2&amp;sourceID=14","4.2")</f>
        <v>4.2</v>
      </c>
      <c r="G636" s="4" t="str">
        <f>HYPERLINK("http://141.218.60.56/~jnz1568/getInfo.php?workbook=18_08.xlsx&amp;sheet=U0&amp;row=636&amp;col=7&amp;number=0.0198&amp;sourceID=14","0.0198")</f>
        <v>0.0198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HYPERLINK("http://141.218.60.56/~jnz1568/getInfo.php?workbook=18_08.xlsx&amp;sheet=U0&amp;row=637&amp;col=6&amp;number=4.3&amp;sourceID=14","4.3")</f>
        <v>4.3</v>
      </c>
      <c r="G637" s="4" t="str">
        <f>HYPERLINK("http://141.218.60.56/~jnz1568/getInfo.php?workbook=18_08.xlsx&amp;sheet=U0&amp;row=637&amp;col=7&amp;number=0.0198&amp;sourceID=14","0.0198")</f>
        <v>0.0198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HYPERLINK("http://141.218.60.56/~jnz1568/getInfo.php?workbook=18_08.xlsx&amp;sheet=U0&amp;row=638&amp;col=6&amp;number=4.4&amp;sourceID=14","4.4")</f>
        <v>4.4</v>
      </c>
      <c r="G638" s="4" t="str">
        <f>HYPERLINK("http://141.218.60.56/~jnz1568/getInfo.php?workbook=18_08.xlsx&amp;sheet=U0&amp;row=638&amp;col=7&amp;number=0.0198&amp;sourceID=14","0.0198")</f>
        <v>0.0198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HYPERLINK("http://141.218.60.56/~jnz1568/getInfo.php?workbook=18_08.xlsx&amp;sheet=U0&amp;row=639&amp;col=6&amp;number=4.5&amp;sourceID=14","4.5")</f>
        <v>4.5</v>
      </c>
      <c r="G639" s="4" t="str">
        <f>HYPERLINK("http://141.218.60.56/~jnz1568/getInfo.php?workbook=18_08.xlsx&amp;sheet=U0&amp;row=639&amp;col=7&amp;number=0.0198&amp;sourceID=14","0.0198")</f>
        <v>0.0198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HYPERLINK("http://141.218.60.56/~jnz1568/getInfo.php?workbook=18_08.xlsx&amp;sheet=U0&amp;row=640&amp;col=6&amp;number=4.6&amp;sourceID=14","4.6")</f>
        <v>4.6</v>
      </c>
      <c r="G640" s="4" t="str">
        <f>HYPERLINK("http://141.218.60.56/~jnz1568/getInfo.php?workbook=18_08.xlsx&amp;sheet=U0&amp;row=640&amp;col=7&amp;number=0.0197&amp;sourceID=14","0.0197")</f>
        <v>0.0197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HYPERLINK("http://141.218.60.56/~jnz1568/getInfo.php?workbook=18_08.xlsx&amp;sheet=U0&amp;row=641&amp;col=6&amp;number=4.7&amp;sourceID=14","4.7")</f>
        <v>4.7</v>
      </c>
      <c r="G641" s="4" t="str">
        <f>HYPERLINK("http://141.218.60.56/~jnz1568/getInfo.php?workbook=18_08.xlsx&amp;sheet=U0&amp;row=641&amp;col=7&amp;number=0.0197&amp;sourceID=14","0.0197")</f>
        <v>0.0197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HYPERLINK("http://141.218.60.56/~jnz1568/getInfo.php?workbook=18_08.xlsx&amp;sheet=U0&amp;row=642&amp;col=6&amp;number=4.8&amp;sourceID=14","4.8")</f>
        <v>4.8</v>
      </c>
      <c r="G642" s="4" t="str">
        <f>HYPERLINK("http://141.218.60.56/~jnz1568/getInfo.php?workbook=18_08.xlsx&amp;sheet=U0&amp;row=642&amp;col=7&amp;number=0.0197&amp;sourceID=14","0.0197")</f>
        <v>0.0197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HYPERLINK("http://141.218.60.56/~jnz1568/getInfo.php?workbook=18_08.xlsx&amp;sheet=U0&amp;row=643&amp;col=6&amp;number=4.9&amp;sourceID=14","4.9")</f>
        <v>4.9</v>
      </c>
      <c r="G643" s="4" t="str">
        <f>HYPERLINK("http://141.218.60.56/~jnz1568/getInfo.php?workbook=18_08.xlsx&amp;sheet=U0&amp;row=643&amp;col=7&amp;number=0.0197&amp;sourceID=14","0.0197")</f>
        <v>0.0197</v>
      </c>
    </row>
    <row r="644" spans="1:7">
      <c r="A644" s="3">
        <v>18</v>
      </c>
      <c r="B644" s="3">
        <v>8</v>
      </c>
      <c r="C644" s="3" t="s">
        <v>48</v>
      </c>
      <c r="D644" s="3">
        <v>4</v>
      </c>
      <c r="E644" s="3">
        <v>1</v>
      </c>
      <c r="F644" s="4" t="str">
        <f>HYPERLINK("http://141.218.60.56/~jnz1568/getInfo.php?workbook=18_08.xlsx&amp;sheet=U0&amp;row=644&amp;col=6&amp;number=3&amp;sourceID=14","3")</f>
        <v>3</v>
      </c>
      <c r="G644" s="4" t="str">
        <f>HYPERLINK("http://141.218.60.56/~jnz1568/getInfo.php?workbook=18_08.xlsx&amp;sheet=U0&amp;row=644&amp;col=7&amp;number=0.0114&amp;sourceID=14","0.0114")</f>
        <v>0.0114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HYPERLINK("http://141.218.60.56/~jnz1568/getInfo.php?workbook=18_08.xlsx&amp;sheet=U0&amp;row=645&amp;col=6&amp;number=3.1&amp;sourceID=14","3.1")</f>
        <v>3.1</v>
      </c>
      <c r="G645" s="4" t="str">
        <f>HYPERLINK("http://141.218.60.56/~jnz1568/getInfo.php?workbook=18_08.xlsx&amp;sheet=U0&amp;row=645&amp;col=7&amp;number=0.0114&amp;sourceID=14","0.0114")</f>
        <v>0.0114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HYPERLINK("http://141.218.60.56/~jnz1568/getInfo.php?workbook=18_08.xlsx&amp;sheet=U0&amp;row=646&amp;col=6&amp;number=3.2&amp;sourceID=14","3.2")</f>
        <v>3.2</v>
      </c>
      <c r="G646" s="4" t="str">
        <f>HYPERLINK("http://141.218.60.56/~jnz1568/getInfo.php?workbook=18_08.xlsx&amp;sheet=U0&amp;row=646&amp;col=7&amp;number=0.0114&amp;sourceID=14","0.0114")</f>
        <v>0.0114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HYPERLINK("http://141.218.60.56/~jnz1568/getInfo.php?workbook=18_08.xlsx&amp;sheet=U0&amp;row=647&amp;col=6&amp;number=3.3&amp;sourceID=14","3.3")</f>
        <v>3.3</v>
      </c>
      <c r="G647" s="4" t="str">
        <f>HYPERLINK("http://141.218.60.56/~jnz1568/getInfo.php?workbook=18_08.xlsx&amp;sheet=U0&amp;row=647&amp;col=7&amp;number=0.0114&amp;sourceID=14","0.0114")</f>
        <v>0.0114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HYPERLINK("http://141.218.60.56/~jnz1568/getInfo.php?workbook=18_08.xlsx&amp;sheet=U0&amp;row=648&amp;col=6&amp;number=3.4&amp;sourceID=14","3.4")</f>
        <v>3.4</v>
      </c>
      <c r="G648" s="4" t="str">
        <f>HYPERLINK("http://141.218.60.56/~jnz1568/getInfo.php?workbook=18_08.xlsx&amp;sheet=U0&amp;row=648&amp;col=7&amp;number=0.0114&amp;sourceID=14","0.0114")</f>
        <v>0.0114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HYPERLINK("http://141.218.60.56/~jnz1568/getInfo.php?workbook=18_08.xlsx&amp;sheet=U0&amp;row=649&amp;col=6&amp;number=3.5&amp;sourceID=14","3.5")</f>
        <v>3.5</v>
      </c>
      <c r="G649" s="4" t="str">
        <f>HYPERLINK("http://141.218.60.56/~jnz1568/getInfo.php?workbook=18_08.xlsx&amp;sheet=U0&amp;row=649&amp;col=7&amp;number=0.0114&amp;sourceID=14","0.0114")</f>
        <v>0.0114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HYPERLINK("http://141.218.60.56/~jnz1568/getInfo.php?workbook=18_08.xlsx&amp;sheet=U0&amp;row=650&amp;col=6&amp;number=3.6&amp;sourceID=14","3.6")</f>
        <v>3.6</v>
      </c>
      <c r="G650" s="4" t="str">
        <f>HYPERLINK("http://141.218.60.56/~jnz1568/getInfo.php?workbook=18_08.xlsx&amp;sheet=U0&amp;row=650&amp;col=7&amp;number=0.0114&amp;sourceID=14","0.0114")</f>
        <v>0.0114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HYPERLINK("http://141.218.60.56/~jnz1568/getInfo.php?workbook=18_08.xlsx&amp;sheet=U0&amp;row=651&amp;col=6&amp;number=3.7&amp;sourceID=14","3.7")</f>
        <v>3.7</v>
      </c>
      <c r="G651" s="4" t="str">
        <f>HYPERLINK("http://141.218.60.56/~jnz1568/getInfo.php?workbook=18_08.xlsx&amp;sheet=U0&amp;row=651&amp;col=7&amp;number=0.0114&amp;sourceID=14","0.0114")</f>
        <v>0.0114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HYPERLINK("http://141.218.60.56/~jnz1568/getInfo.php?workbook=18_08.xlsx&amp;sheet=U0&amp;row=652&amp;col=6&amp;number=3.8&amp;sourceID=14","3.8")</f>
        <v>3.8</v>
      </c>
      <c r="G652" s="4" t="str">
        <f>HYPERLINK("http://141.218.60.56/~jnz1568/getInfo.php?workbook=18_08.xlsx&amp;sheet=U0&amp;row=652&amp;col=7&amp;number=0.0114&amp;sourceID=14","0.0114")</f>
        <v>0.0114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HYPERLINK("http://141.218.60.56/~jnz1568/getInfo.php?workbook=18_08.xlsx&amp;sheet=U0&amp;row=653&amp;col=6&amp;number=3.9&amp;sourceID=14","3.9")</f>
        <v>3.9</v>
      </c>
      <c r="G653" s="4" t="str">
        <f>HYPERLINK("http://141.218.60.56/~jnz1568/getInfo.php?workbook=18_08.xlsx&amp;sheet=U0&amp;row=653&amp;col=7&amp;number=0.0114&amp;sourceID=14","0.0114")</f>
        <v>0.0114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HYPERLINK("http://141.218.60.56/~jnz1568/getInfo.php?workbook=18_08.xlsx&amp;sheet=U0&amp;row=654&amp;col=6&amp;number=4&amp;sourceID=14","4")</f>
        <v>4</v>
      </c>
      <c r="G654" s="4" t="str">
        <f>HYPERLINK("http://141.218.60.56/~jnz1568/getInfo.php?workbook=18_08.xlsx&amp;sheet=U0&amp;row=654&amp;col=7&amp;number=0.0114&amp;sourceID=14","0.0114")</f>
        <v>0.0114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HYPERLINK("http://141.218.60.56/~jnz1568/getInfo.php?workbook=18_08.xlsx&amp;sheet=U0&amp;row=655&amp;col=6&amp;number=4.1&amp;sourceID=14","4.1")</f>
        <v>4.1</v>
      </c>
      <c r="G655" s="4" t="str">
        <f>HYPERLINK("http://141.218.60.56/~jnz1568/getInfo.php?workbook=18_08.xlsx&amp;sheet=U0&amp;row=655&amp;col=7&amp;number=0.0114&amp;sourceID=14","0.0114")</f>
        <v>0.0114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HYPERLINK("http://141.218.60.56/~jnz1568/getInfo.php?workbook=18_08.xlsx&amp;sheet=U0&amp;row=656&amp;col=6&amp;number=4.2&amp;sourceID=14","4.2")</f>
        <v>4.2</v>
      </c>
      <c r="G656" s="4" t="str">
        <f>HYPERLINK("http://141.218.60.56/~jnz1568/getInfo.php?workbook=18_08.xlsx&amp;sheet=U0&amp;row=656&amp;col=7&amp;number=0.0114&amp;sourceID=14","0.0114")</f>
        <v>0.0114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HYPERLINK("http://141.218.60.56/~jnz1568/getInfo.php?workbook=18_08.xlsx&amp;sheet=U0&amp;row=657&amp;col=6&amp;number=4.3&amp;sourceID=14","4.3")</f>
        <v>4.3</v>
      </c>
      <c r="G657" s="4" t="str">
        <f>HYPERLINK("http://141.218.60.56/~jnz1568/getInfo.php?workbook=18_08.xlsx&amp;sheet=U0&amp;row=657&amp;col=7&amp;number=0.0114&amp;sourceID=14","0.0114")</f>
        <v>0.0114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HYPERLINK("http://141.218.60.56/~jnz1568/getInfo.php?workbook=18_08.xlsx&amp;sheet=U0&amp;row=658&amp;col=6&amp;number=4.4&amp;sourceID=14","4.4")</f>
        <v>4.4</v>
      </c>
      <c r="G658" s="4" t="str">
        <f>HYPERLINK("http://141.218.60.56/~jnz1568/getInfo.php?workbook=18_08.xlsx&amp;sheet=U0&amp;row=658&amp;col=7&amp;number=0.0114&amp;sourceID=14","0.0114")</f>
        <v>0.0114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HYPERLINK("http://141.218.60.56/~jnz1568/getInfo.php?workbook=18_08.xlsx&amp;sheet=U0&amp;row=659&amp;col=6&amp;number=4.5&amp;sourceID=14","4.5")</f>
        <v>4.5</v>
      </c>
      <c r="G659" s="4" t="str">
        <f>HYPERLINK("http://141.218.60.56/~jnz1568/getInfo.php?workbook=18_08.xlsx&amp;sheet=U0&amp;row=659&amp;col=7&amp;number=0.0114&amp;sourceID=14","0.0114")</f>
        <v>0.0114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HYPERLINK("http://141.218.60.56/~jnz1568/getInfo.php?workbook=18_08.xlsx&amp;sheet=U0&amp;row=660&amp;col=6&amp;number=4.6&amp;sourceID=14","4.6")</f>
        <v>4.6</v>
      </c>
      <c r="G660" s="4" t="str">
        <f>HYPERLINK("http://141.218.60.56/~jnz1568/getInfo.php?workbook=18_08.xlsx&amp;sheet=U0&amp;row=660&amp;col=7&amp;number=0.0114&amp;sourceID=14","0.0114")</f>
        <v>0.0114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HYPERLINK("http://141.218.60.56/~jnz1568/getInfo.php?workbook=18_08.xlsx&amp;sheet=U0&amp;row=661&amp;col=6&amp;number=4.7&amp;sourceID=14","4.7")</f>
        <v>4.7</v>
      </c>
      <c r="G661" s="4" t="str">
        <f>HYPERLINK("http://141.218.60.56/~jnz1568/getInfo.php?workbook=18_08.xlsx&amp;sheet=U0&amp;row=661&amp;col=7&amp;number=0.0113&amp;sourceID=14","0.0113")</f>
        <v>0.0113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HYPERLINK("http://141.218.60.56/~jnz1568/getInfo.php?workbook=18_08.xlsx&amp;sheet=U0&amp;row=662&amp;col=6&amp;number=4.8&amp;sourceID=14","4.8")</f>
        <v>4.8</v>
      </c>
      <c r="G662" s="4" t="str">
        <f>HYPERLINK("http://141.218.60.56/~jnz1568/getInfo.php?workbook=18_08.xlsx&amp;sheet=U0&amp;row=662&amp;col=7&amp;number=0.0113&amp;sourceID=14","0.0113")</f>
        <v>0.0113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HYPERLINK("http://141.218.60.56/~jnz1568/getInfo.php?workbook=18_08.xlsx&amp;sheet=U0&amp;row=663&amp;col=6&amp;number=4.9&amp;sourceID=14","4.9")</f>
        <v>4.9</v>
      </c>
      <c r="G663" s="4" t="str">
        <f>HYPERLINK("http://141.218.60.56/~jnz1568/getInfo.php?workbook=18_08.xlsx&amp;sheet=U0&amp;row=663&amp;col=7&amp;number=0.0113&amp;sourceID=14","0.0113")</f>
        <v>0.0113</v>
      </c>
    </row>
    <row r="664" spans="1:7">
      <c r="A664" s="3">
        <v>18</v>
      </c>
      <c r="B664" s="3">
        <v>8</v>
      </c>
      <c r="C664" s="3" t="s">
        <v>48</v>
      </c>
      <c r="D664" s="3">
        <v>5</v>
      </c>
      <c r="E664" s="3">
        <v>1</v>
      </c>
      <c r="F664" s="4" t="str">
        <f>HYPERLINK("http://141.218.60.56/~jnz1568/getInfo.php?workbook=18_08.xlsx&amp;sheet=U0&amp;row=664&amp;col=6&amp;number=3&amp;sourceID=14","3")</f>
        <v>3</v>
      </c>
      <c r="G664" s="4" t="str">
        <f>HYPERLINK("http://141.218.60.56/~jnz1568/getInfo.php?workbook=18_08.xlsx&amp;sheet=U0&amp;row=664&amp;col=7&amp;number=0.001&amp;sourceID=14","0.001")</f>
        <v>0.001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HYPERLINK("http://141.218.60.56/~jnz1568/getInfo.php?workbook=18_08.xlsx&amp;sheet=U0&amp;row=665&amp;col=6&amp;number=3.1&amp;sourceID=14","3.1")</f>
        <v>3.1</v>
      </c>
      <c r="G665" s="4" t="str">
        <f>HYPERLINK("http://141.218.60.56/~jnz1568/getInfo.php?workbook=18_08.xlsx&amp;sheet=U0&amp;row=665&amp;col=7&amp;number=0.001&amp;sourceID=14","0.001")</f>
        <v>0.001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HYPERLINK("http://141.218.60.56/~jnz1568/getInfo.php?workbook=18_08.xlsx&amp;sheet=U0&amp;row=666&amp;col=6&amp;number=3.2&amp;sourceID=14","3.2")</f>
        <v>3.2</v>
      </c>
      <c r="G666" s="4" t="str">
        <f>HYPERLINK("http://141.218.60.56/~jnz1568/getInfo.php?workbook=18_08.xlsx&amp;sheet=U0&amp;row=666&amp;col=7&amp;number=0.001&amp;sourceID=14","0.001")</f>
        <v>0.001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HYPERLINK("http://141.218.60.56/~jnz1568/getInfo.php?workbook=18_08.xlsx&amp;sheet=U0&amp;row=667&amp;col=6&amp;number=3.3&amp;sourceID=14","3.3")</f>
        <v>3.3</v>
      </c>
      <c r="G667" s="4" t="str">
        <f>HYPERLINK("http://141.218.60.56/~jnz1568/getInfo.php?workbook=18_08.xlsx&amp;sheet=U0&amp;row=667&amp;col=7&amp;number=0.001&amp;sourceID=14","0.001")</f>
        <v>0.001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HYPERLINK("http://141.218.60.56/~jnz1568/getInfo.php?workbook=18_08.xlsx&amp;sheet=U0&amp;row=668&amp;col=6&amp;number=3.4&amp;sourceID=14","3.4")</f>
        <v>3.4</v>
      </c>
      <c r="G668" s="4" t="str">
        <f>HYPERLINK("http://141.218.60.56/~jnz1568/getInfo.php?workbook=18_08.xlsx&amp;sheet=U0&amp;row=668&amp;col=7&amp;number=0.001&amp;sourceID=14","0.001")</f>
        <v>0.001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HYPERLINK("http://141.218.60.56/~jnz1568/getInfo.php?workbook=18_08.xlsx&amp;sheet=U0&amp;row=669&amp;col=6&amp;number=3.5&amp;sourceID=14","3.5")</f>
        <v>3.5</v>
      </c>
      <c r="G669" s="4" t="str">
        <f>HYPERLINK("http://141.218.60.56/~jnz1568/getInfo.php?workbook=18_08.xlsx&amp;sheet=U0&amp;row=669&amp;col=7&amp;number=0.001&amp;sourceID=14","0.001")</f>
        <v>0.001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HYPERLINK("http://141.218.60.56/~jnz1568/getInfo.php?workbook=18_08.xlsx&amp;sheet=U0&amp;row=670&amp;col=6&amp;number=3.6&amp;sourceID=14","3.6")</f>
        <v>3.6</v>
      </c>
      <c r="G670" s="4" t="str">
        <f>HYPERLINK("http://141.218.60.56/~jnz1568/getInfo.php?workbook=18_08.xlsx&amp;sheet=U0&amp;row=670&amp;col=7&amp;number=0.001&amp;sourceID=14","0.001")</f>
        <v>0.001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HYPERLINK("http://141.218.60.56/~jnz1568/getInfo.php?workbook=18_08.xlsx&amp;sheet=U0&amp;row=671&amp;col=6&amp;number=3.7&amp;sourceID=14","3.7")</f>
        <v>3.7</v>
      </c>
      <c r="G671" s="4" t="str">
        <f>HYPERLINK("http://141.218.60.56/~jnz1568/getInfo.php?workbook=18_08.xlsx&amp;sheet=U0&amp;row=671&amp;col=7&amp;number=0.001&amp;sourceID=14","0.001")</f>
        <v>0.001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HYPERLINK("http://141.218.60.56/~jnz1568/getInfo.php?workbook=18_08.xlsx&amp;sheet=U0&amp;row=672&amp;col=6&amp;number=3.8&amp;sourceID=14","3.8")</f>
        <v>3.8</v>
      </c>
      <c r="G672" s="4" t="str">
        <f>HYPERLINK("http://141.218.60.56/~jnz1568/getInfo.php?workbook=18_08.xlsx&amp;sheet=U0&amp;row=672&amp;col=7&amp;number=0.001&amp;sourceID=14","0.001")</f>
        <v>0.001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HYPERLINK("http://141.218.60.56/~jnz1568/getInfo.php?workbook=18_08.xlsx&amp;sheet=U0&amp;row=673&amp;col=6&amp;number=3.9&amp;sourceID=14","3.9")</f>
        <v>3.9</v>
      </c>
      <c r="G673" s="4" t="str">
        <f>HYPERLINK("http://141.218.60.56/~jnz1568/getInfo.php?workbook=18_08.xlsx&amp;sheet=U0&amp;row=673&amp;col=7&amp;number=0.001&amp;sourceID=14","0.001")</f>
        <v>0.001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HYPERLINK("http://141.218.60.56/~jnz1568/getInfo.php?workbook=18_08.xlsx&amp;sheet=U0&amp;row=674&amp;col=6&amp;number=4&amp;sourceID=14","4")</f>
        <v>4</v>
      </c>
      <c r="G674" s="4" t="str">
        <f>HYPERLINK("http://141.218.60.56/~jnz1568/getInfo.php?workbook=18_08.xlsx&amp;sheet=U0&amp;row=674&amp;col=7&amp;number=0.001&amp;sourceID=14","0.001")</f>
        <v>0.001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HYPERLINK("http://141.218.60.56/~jnz1568/getInfo.php?workbook=18_08.xlsx&amp;sheet=U0&amp;row=675&amp;col=6&amp;number=4.1&amp;sourceID=14","4.1")</f>
        <v>4.1</v>
      </c>
      <c r="G675" s="4" t="str">
        <f>HYPERLINK("http://141.218.60.56/~jnz1568/getInfo.php?workbook=18_08.xlsx&amp;sheet=U0&amp;row=675&amp;col=7&amp;number=0.001&amp;sourceID=14","0.001")</f>
        <v>0.001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HYPERLINK("http://141.218.60.56/~jnz1568/getInfo.php?workbook=18_08.xlsx&amp;sheet=U0&amp;row=676&amp;col=6&amp;number=4.2&amp;sourceID=14","4.2")</f>
        <v>4.2</v>
      </c>
      <c r="G676" s="4" t="str">
        <f>HYPERLINK("http://141.218.60.56/~jnz1568/getInfo.php?workbook=18_08.xlsx&amp;sheet=U0&amp;row=676&amp;col=7&amp;number=0.001&amp;sourceID=14","0.001")</f>
        <v>0.001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HYPERLINK("http://141.218.60.56/~jnz1568/getInfo.php?workbook=18_08.xlsx&amp;sheet=U0&amp;row=677&amp;col=6&amp;number=4.3&amp;sourceID=14","4.3")</f>
        <v>4.3</v>
      </c>
      <c r="G677" s="4" t="str">
        <f>HYPERLINK("http://141.218.60.56/~jnz1568/getInfo.php?workbook=18_08.xlsx&amp;sheet=U0&amp;row=677&amp;col=7&amp;number=0.001&amp;sourceID=14","0.001")</f>
        <v>0.001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HYPERLINK("http://141.218.60.56/~jnz1568/getInfo.php?workbook=18_08.xlsx&amp;sheet=U0&amp;row=678&amp;col=6&amp;number=4.4&amp;sourceID=14","4.4")</f>
        <v>4.4</v>
      </c>
      <c r="G678" s="4" t="str">
        <f>HYPERLINK("http://141.218.60.56/~jnz1568/getInfo.php?workbook=18_08.xlsx&amp;sheet=U0&amp;row=678&amp;col=7&amp;number=0.001&amp;sourceID=14","0.001")</f>
        <v>0.001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HYPERLINK("http://141.218.60.56/~jnz1568/getInfo.php?workbook=18_08.xlsx&amp;sheet=U0&amp;row=679&amp;col=6&amp;number=4.5&amp;sourceID=14","4.5")</f>
        <v>4.5</v>
      </c>
      <c r="G679" s="4" t="str">
        <f>HYPERLINK("http://141.218.60.56/~jnz1568/getInfo.php?workbook=18_08.xlsx&amp;sheet=U0&amp;row=679&amp;col=7&amp;number=0.001&amp;sourceID=14","0.001")</f>
        <v>0.001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HYPERLINK("http://141.218.60.56/~jnz1568/getInfo.php?workbook=18_08.xlsx&amp;sheet=U0&amp;row=680&amp;col=6&amp;number=4.6&amp;sourceID=14","4.6")</f>
        <v>4.6</v>
      </c>
      <c r="G680" s="4" t="str">
        <f>HYPERLINK("http://141.218.60.56/~jnz1568/getInfo.php?workbook=18_08.xlsx&amp;sheet=U0&amp;row=680&amp;col=7&amp;number=0.001&amp;sourceID=14","0.001")</f>
        <v>0.001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HYPERLINK("http://141.218.60.56/~jnz1568/getInfo.php?workbook=18_08.xlsx&amp;sheet=U0&amp;row=681&amp;col=6&amp;number=4.7&amp;sourceID=14","4.7")</f>
        <v>4.7</v>
      </c>
      <c r="G681" s="4" t="str">
        <f>HYPERLINK("http://141.218.60.56/~jnz1568/getInfo.php?workbook=18_08.xlsx&amp;sheet=U0&amp;row=681&amp;col=7&amp;number=0.001&amp;sourceID=14","0.001")</f>
        <v>0.001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HYPERLINK("http://141.218.60.56/~jnz1568/getInfo.php?workbook=18_08.xlsx&amp;sheet=U0&amp;row=682&amp;col=6&amp;number=4.8&amp;sourceID=14","4.8")</f>
        <v>4.8</v>
      </c>
      <c r="G682" s="4" t="str">
        <f>HYPERLINK("http://141.218.60.56/~jnz1568/getInfo.php?workbook=18_08.xlsx&amp;sheet=U0&amp;row=682&amp;col=7&amp;number=0.001&amp;sourceID=14","0.001")</f>
        <v>0.001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HYPERLINK("http://141.218.60.56/~jnz1568/getInfo.php?workbook=18_08.xlsx&amp;sheet=U0&amp;row=683&amp;col=6&amp;number=4.9&amp;sourceID=14","4.9")</f>
        <v>4.9</v>
      </c>
      <c r="G683" s="4" t="str">
        <f>HYPERLINK("http://141.218.60.56/~jnz1568/getInfo.php?workbook=18_08.xlsx&amp;sheet=U0&amp;row=683&amp;col=7&amp;number=0.00101&amp;sourceID=14","0.00101")</f>
        <v>0.00101</v>
      </c>
    </row>
    <row r="684" spans="1:7">
      <c r="A684" s="3">
        <v>18</v>
      </c>
      <c r="B684" s="3">
        <v>8</v>
      </c>
      <c r="C684" s="3" t="s">
        <v>48</v>
      </c>
      <c r="D684" s="3">
        <v>6</v>
      </c>
      <c r="E684" s="3">
        <v>1</v>
      </c>
      <c r="F684" s="4" t="str">
        <f>HYPERLINK("http://141.218.60.56/~jnz1568/getInfo.php?workbook=18_08.xlsx&amp;sheet=U0&amp;row=684&amp;col=6&amp;number=3&amp;sourceID=14","3")</f>
        <v>3</v>
      </c>
      <c r="G684" s="4" t="str">
        <f>HYPERLINK("http://141.218.60.56/~jnz1568/getInfo.php?workbook=18_08.xlsx&amp;sheet=U0&amp;row=684&amp;col=7&amp;number=0.0041&amp;sourceID=14","0.0041")</f>
        <v>0.0041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HYPERLINK("http://141.218.60.56/~jnz1568/getInfo.php?workbook=18_08.xlsx&amp;sheet=U0&amp;row=685&amp;col=6&amp;number=3.1&amp;sourceID=14","3.1")</f>
        <v>3.1</v>
      </c>
      <c r="G685" s="4" t="str">
        <f>HYPERLINK("http://141.218.60.56/~jnz1568/getInfo.php?workbook=18_08.xlsx&amp;sheet=U0&amp;row=685&amp;col=7&amp;number=0.0041&amp;sourceID=14","0.0041")</f>
        <v>0.0041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HYPERLINK("http://141.218.60.56/~jnz1568/getInfo.php?workbook=18_08.xlsx&amp;sheet=U0&amp;row=686&amp;col=6&amp;number=3.2&amp;sourceID=14","3.2")</f>
        <v>3.2</v>
      </c>
      <c r="G686" s="4" t="str">
        <f>HYPERLINK("http://141.218.60.56/~jnz1568/getInfo.php?workbook=18_08.xlsx&amp;sheet=U0&amp;row=686&amp;col=7&amp;number=0.0041&amp;sourceID=14","0.0041")</f>
        <v>0.0041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HYPERLINK("http://141.218.60.56/~jnz1568/getInfo.php?workbook=18_08.xlsx&amp;sheet=U0&amp;row=687&amp;col=6&amp;number=3.3&amp;sourceID=14","3.3")</f>
        <v>3.3</v>
      </c>
      <c r="G687" s="4" t="str">
        <f>HYPERLINK("http://141.218.60.56/~jnz1568/getInfo.php?workbook=18_08.xlsx&amp;sheet=U0&amp;row=687&amp;col=7&amp;number=0.0041&amp;sourceID=14","0.0041")</f>
        <v>0.0041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HYPERLINK("http://141.218.60.56/~jnz1568/getInfo.php?workbook=18_08.xlsx&amp;sheet=U0&amp;row=688&amp;col=6&amp;number=3.4&amp;sourceID=14","3.4")</f>
        <v>3.4</v>
      </c>
      <c r="G688" s="4" t="str">
        <f>HYPERLINK("http://141.218.60.56/~jnz1568/getInfo.php?workbook=18_08.xlsx&amp;sheet=U0&amp;row=688&amp;col=7&amp;number=0.0041&amp;sourceID=14","0.0041")</f>
        <v>0.0041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HYPERLINK("http://141.218.60.56/~jnz1568/getInfo.php?workbook=18_08.xlsx&amp;sheet=U0&amp;row=689&amp;col=6&amp;number=3.5&amp;sourceID=14","3.5")</f>
        <v>3.5</v>
      </c>
      <c r="G689" s="4" t="str">
        <f>HYPERLINK("http://141.218.60.56/~jnz1568/getInfo.php?workbook=18_08.xlsx&amp;sheet=U0&amp;row=689&amp;col=7&amp;number=0.0041&amp;sourceID=14","0.0041")</f>
        <v>0.0041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HYPERLINK("http://141.218.60.56/~jnz1568/getInfo.php?workbook=18_08.xlsx&amp;sheet=U0&amp;row=690&amp;col=6&amp;number=3.6&amp;sourceID=14","3.6")</f>
        <v>3.6</v>
      </c>
      <c r="G690" s="4" t="str">
        <f>HYPERLINK("http://141.218.60.56/~jnz1568/getInfo.php?workbook=18_08.xlsx&amp;sheet=U0&amp;row=690&amp;col=7&amp;number=0.0041&amp;sourceID=14","0.0041")</f>
        <v>0.0041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HYPERLINK("http://141.218.60.56/~jnz1568/getInfo.php?workbook=18_08.xlsx&amp;sheet=U0&amp;row=691&amp;col=6&amp;number=3.7&amp;sourceID=14","3.7")</f>
        <v>3.7</v>
      </c>
      <c r="G691" s="4" t="str">
        <f>HYPERLINK("http://141.218.60.56/~jnz1568/getInfo.php?workbook=18_08.xlsx&amp;sheet=U0&amp;row=691&amp;col=7&amp;number=0.0041&amp;sourceID=14","0.0041")</f>
        <v>0.0041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HYPERLINK("http://141.218.60.56/~jnz1568/getInfo.php?workbook=18_08.xlsx&amp;sheet=U0&amp;row=692&amp;col=6&amp;number=3.8&amp;sourceID=14","3.8")</f>
        <v>3.8</v>
      </c>
      <c r="G692" s="4" t="str">
        <f>HYPERLINK("http://141.218.60.56/~jnz1568/getInfo.php?workbook=18_08.xlsx&amp;sheet=U0&amp;row=692&amp;col=7&amp;number=0.0041&amp;sourceID=14","0.0041")</f>
        <v>0.0041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HYPERLINK("http://141.218.60.56/~jnz1568/getInfo.php?workbook=18_08.xlsx&amp;sheet=U0&amp;row=693&amp;col=6&amp;number=3.9&amp;sourceID=14","3.9")</f>
        <v>3.9</v>
      </c>
      <c r="G693" s="4" t="str">
        <f>HYPERLINK("http://141.218.60.56/~jnz1568/getInfo.php?workbook=18_08.xlsx&amp;sheet=U0&amp;row=693&amp;col=7&amp;number=0.0041&amp;sourceID=14","0.0041")</f>
        <v>0.0041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HYPERLINK("http://141.218.60.56/~jnz1568/getInfo.php?workbook=18_08.xlsx&amp;sheet=U0&amp;row=694&amp;col=6&amp;number=4&amp;sourceID=14","4")</f>
        <v>4</v>
      </c>
      <c r="G694" s="4" t="str">
        <f>HYPERLINK("http://141.218.60.56/~jnz1568/getInfo.php?workbook=18_08.xlsx&amp;sheet=U0&amp;row=694&amp;col=7&amp;number=0.0041&amp;sourceID=14","0.0041")</f>
        <v>0.0041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HYPERLINK("http://141.218.60.56/~jnz1568/getInfo.php?workbook=18_08.xlsx&amp;sheet=U0&amp;row=695&amp;col=6&amp;number=4.1&amp;sourceID=14","4.1")</f>
        <v>4.1</v>
      </c>
      <c r="G695" s="4" t="str">
        <f>HYPERLINK("http://141.218.60.56/~jnz1568/getInfo.php?workbook=18_08.xlsx&amp;sheet=U0&amp;row=695&amp;col=7&amp;number=0.0041&amp;sourceID=14","0.0041")</f>
        <v>0.0041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HYPERLINK("http://141.218.60.56/~jnz1568/getInfo.php?workbook=18_08.xlsx&amp;sheet=U0&amp;row=696&amp;col=6&amp;number=4.2&amp;sourceID=14","4.2")</f>
        <v>4.2</v>
      </c>
      <c r="G696" s="4" t="str">
        <f>HYPERLINK("http://141.218.60.56/~jnz1568/getInfo.php?workbook=18_08.xlsx&amp;sheet=U0&amp;row=696&amp;col=7&amp;number=0.0041&amp;sourceID=14","0.0041")</f>
        <v>0.0041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HYPERLINK("http://141.218.60.56/~jnz1568/getInfo.php?workbook=18_08.xlsx&amp;sheet=U0&amp;row=697&amp;col=6&amp;number=4.3&amp;sourceID=14","4.3")</f>
        <v>4.3</v>
      </c>
      <c r="G697" s="4" t="str">
        <f>HYPERLINK("http://141.218.60.56/~jnz1568/getInfo.php?workbook=18_08.xlsx&amp;sheet=U0&amp;row=697&amp;col=7&amp;number=0.0041&amp;sourceID=14","0.0041")</f>
        <v>0.0041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HYPERLINK("http://141.218.60.56/~jnz1568/getInfo.php?workbook=18_08.xlsx&amp;sheet=U0&amp;row=698&amp;col=6&amp;number=4.4&amp;sourceID=14","4.4")</f>
        <v>4.4</v>
      </c>
      <c r="G698" s="4" t="str">
        <f>HYPERLINK("http://141.218.60.56/~jnz1568/getInfo.php?workbook=18_08.xlsx&amp;sheet=U0&amp;row=698&amp;col=7&amp;number=0.00409&amp;sourceID=14","0.00409")</f>
        <v>0.00409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HYPERLINK("http://141.218.60.56/~jnz1568/getInfo.php?workbook=18_08.xlsx&amp;sheet=U0&amp;row=699&amp;col=6&amp;number=4.5&amp;sourceID=14","4.5")</f>
        <v>4.5</v>
      </c>
      <c r="G699" s="4" t="str">
        <f>HYPERLINK("http://141.218.60.56/~jnz1568/getInfo.php?workbook=18_08.xlsx&amp;sheet=U0&amp;row=699&amp;col=7&amp;number=0.00409&amp;sourceID=14","0.00409")</f>
        <v>0.00409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HYPERLINK("http://141.218.60.56/~jnz1568/getInfo.php?workbook=18_08.xlsx&amp;sheet=U0&amp;row=700&amp;col=6&amp;number=4.6&amp;sourceID=14","4.6")</f>
        <v>4.6</v>
      </c>
      <c r="G700" s="4" t="str">
        <f>HYPERLINK("http://141.218.60.56/~jnz1568/getInfo.php?workbook=18_08.xlsx&amp;sheet=U0&amp;row=700&amp;col=7&amp;number=0.00409&amp;sourceID=14","0.00409")</f>
        <v>0.00409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HYPERLINK("http://141.218.60.56/~jnz1568/getInfo.php?workbook=18_08.xlsx&amp;sheet=U0&amp;row=701&amp;col=6&amp;number=4.7&amp;sourceID=14","4.7")</f>
        <v>4.7</v>
      </c>
      <c r="G701" s="4" t="str">
        <f>HYPERLINK("http://141.218.60.56/~jnz1568/getInfo.php?workbook=18_08.xlsx&amp;sheet=U0&amp;row=701&amp;col=7&amp;number=0.00409&amp;sourceID=14","0.00409")</f>
        <v>0.00409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HYPERLINK("http://141.218.60.56/~jnz1568/getInfo.php?workbook=18_08.xlsx&amp;sheet=U0&amp;row=702&amp;col=6&amp;number=4.8&amp;sourceID=14","4.8")</f>
        <v>4.8</v>
      </c>
      <c r="G702" s="4" t="str">
        <f>HYPERLINK("http://141.218.60.56/~jnz1568/getInfo.php?workbook=18_08.xlsx&amp;sheet=U0&amp;row=702&amp;col=7&amp;number=0.00408&amp;sourceID=14","0.00408")</f>
        <v>0.00408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HYPERLINK("http://141.218.60.56/~jnz1568/getInfo.php?workbook=18_08.xlsx&amp;sheet=U0&amp;row=703&amp;col=6&amp;number=4.9&amp;sourceID=14","4.9")</f>
        <v>4.9</v>
      </c>
      <c r="G703" s="4" t="str">
        <f>HYPERLINK("http://141.218.60.56/~jnz1568/getInfo.php?workbook=18_08.xlsx&amp;sheet=U0&amp;row=703&amp;col=7&amp;number=0.00408&amp;sourceID=14","0.00408")</f>
        <v>0.00408</v>
      </c>
    </row>
    <row r="704" spans="1:7">
      <c r="A704" s="3">
        <v>18</v>
      </c>
      <c r="B704" s="3">
        <v>8</v>
      </c>
      <c r="C704" s="3" t="s">
        <v>48</v>
      </c>
      <c r="D704" s="3">
        <v>7</v>
      </c>
      <c r="E704" s="3">
        <v>1</v>
      </c>
      <c r="F704" s="4" t="str">
        <f>HYPERLINK("http://141.218.60.56/~jnz1568/getInfo.php?workbook=18_08.xlsx&amp;sheet=U0&amp;row=704&amp;col=6&amp;number=3&amp;sourceID=14","3")</f>
        <v>3</v>
      </c>
      <c r="G704" s="4" t="str">
        <f>HYPERLINK("http://141.218.60.56/~jnz1568/getInfo.php?workbook=18_08.xlsx&amp;sheet=U0&amp;row=704&amp;col=7&amp;number=0.185&amp;sourceID=14","0.185")</f>
        <v>0.185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HYPERLINK("http://141.218.60.56/~jnz1568/getInfo.php?workbook=18_08.xlsx&amp;sheet=U0&amp;row=705&amp;col=6&amp;number=3.1&amp;sourceID=14","3.1")</f>
        <v>3.1</v>
      </c>
      <c r="G705" s="4" t="str">
        <f>HYPERLINK("http://141.218.60.56/~jnz1568/getInfo.php?workbook=18_08.xlsx&amp;sheet=U0&amp;row=705&amp;col=7&amp;number=0.185&amp;sourceID=14","0.185")</f>
        <v>0.185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HYPERLINK("http://141.218.60.56/~jnz1568/getInfo.php?workbook=18_08.xlsx&amp;sheet=U0&amp;row=706&amp;col=6&amp;number=3.2&amp;sourceID=14","3.2")</f>
        <v>3.2</v>
      </c>
      <c r="G706" s="4" t="str">
        <f>HYPERLINK("http://141.218.60.56/~jnz1568/getInfo.php?workbook=18_08.xlsx&amp;sheet=U0&amp;row=706&amp;col=7&amp;number=0.185&amp;sourceID=14","0.185")</f>
        <v>0.185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HYPERLINK("http://141.218.60.56/~jnz1568/getInfo.php?workbook=18_08.xlsx&amp;sheet=U0&amp;row=707&amp;col=6&amp;number=3.3&amp;sourceID=14","3.3")</f>
        <v>3.3</v>
      </c>
      <c r="G707" s="4" t="str">
        <f>HYPERLINK("http://141.218.60.56/~jnz1568/getInfo.php?workbook=18_08.xlsx&amp;sheet=U0&amp;row=707&amp;col=7&amp;number=0.185&amp;sourceID=14","0.185")</f>
        <v>0.185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HYPERLINK("http://141.218.60.56/~jnz1568/getInfo.php?workbook=18_08.xlsx&amp;sheet=U0&amp;row=708&amp;col=6&amp;number=3.4&amp;sourceID=14","3.4")</f>
        <v>3.4</v>
      </c>
      <c r="G708" s="4" t="str">
        <f>HYPERLINK("http://141.218.60.56/~jnz1568/getInfo.php?workbook=18_08.xlsx&amp;sheet=U0&amp;row=708&amp;col=7&amp;number=0.185&amp;sourceID=14","0.185")</f>
        <v>0.185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HYPERLINK("http://141.218.60.56/~jnz1568/getInfo.php?workbook=18_08.xlsx&amp;sheet=U0&amp;row=709&amp;col=6&amp;number=3.5&amp;sourceID=14","3.5")</f>
        <v>3.5</v>
      </c>
      <c r="G709" s="4" t="str">
        <f>HYPERLINK("http://141.218.60.56/~jnz1568/getInfo.php?workbook=18_08.xlsx&amp;sheet=U0&amp;row=709&amp;col=7&amp;number=0.185&amp;sourceID=14","0.185")</f>
        <v>0.185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HYPERLINK("http://141.218.60.56/~jnz1568/getInfo.php?workbook=18_08.xlsx&amp;sheet=U0&amp;row=710&amp;col=6&amp;number=3.6&amp;sourceID=14","3.6")</f>
        <v>3.6</v>
      </c>
      <c r="G710" s="4" t="str">
        <f>HYPERLINK("http://141.218.60.56/~jnz1568/getInfo.php?workbook=18_08.xlsx&amp;sheet=U0&amp;row=710&amp;col=7&amp;number=0.185&amp;sourceID=14","0.185")</f>
        <v>0.185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HYPERLINK("http://141.218.60.56/~jnz1568/getInfo.php?workbook=18_08.xlsx&amp;sheet=U0&amp;row=711&amp;col=6&amp;number=3.7&amp;sourceID=14","3.7")</f>
        <v>3.7</v>
      </c>
      <c r="G711" s="4" t="str">
        <f>HYPERLINK("http://141.218.60.56/~jnz1568/getInfo.php?workbook=18_08.xlsx&amp;sheet=U0&amp;row=711&amp;col=7&amp;number=0.185&amp;sourceID=14","0.185")</f>
        <v>0.185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HYPERLINK("http://141.218.60.56/~jnz1568/getInfo.php?workbook=18_08.xlsx&amp;sheet=U0&amp;row=712&amp;col=6&amp;number=3.8&amp;sourceID=14","3.8")</f>
        <v>3.8</v>
      </c>
      <c r="G712" s="4" t="str">
        <f>HYPERLINK("http://141.218.60.56/~jnz1568/getInfo.php?workbook=18_08.xlsx&amp;sheet=U0&amp;row=712&amp;col=7&amp;number=0.185&amp;sourceID=14","0.185")</f>
        <v>0.185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HYPERLINK("http://141.218.60.56/~jnz1568/getInfo.php?workbook=18_08.xlsx&amp;sheet=U0&amp;row=713&amp;col=6&amp;number=3.9&amp;sourceID=14","3.9")</f>
        <v>3.9</v>
      </c>
      <c r="G713" s="4" t="str">
        <f>HYPERLINK("http://141.218.60.56/~jnz1568/getInfo.php?workbook=18_08.xlsx&amp;sheet=U0&amp;row=713&amp;col=7&amp;number=0.185&amp;sourceID=14","0.185")</f>
        <v>0.185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HYPERLINK("http://141.218.60.56/~jnz1568/getInfo.php?workbook=18_08.xlsx&amp;sheet=U0&amp;row=714&amp;col=6&amp;number=4&amp;sourceID=14","4")</f>
        <v>4</v>
      </c>
      <c r="G714" s="4" t="str">
        <f>HYPERLINK("http://141.218.60.56/~jnz1568/getInfo.php?workbook=18_08.xlsx&amp;sheet=U0&amp;row=714&amp;col=7&amp;number=0.185&amp;sourceID=14","0.185")</f>
        <v>0.185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HYPERLINK("http://141.218.60.56/~jnz1568/getInfo.php?workbook=18_08.xlsx&amp;sheet=U0&amp;row=715&amp;col=6&amp;number=4.1&amp;sourceID=14","4.1")</f>
        <v>4.1</v>
      </c>
      <c r="G715" s="4" t="str">
        <f>HYPERLINK("http://141.218.60.56/~jnz1568/getInfo.php?workbook=18_08.xlsx&amp;sheet=U0&amp;row=715&amp;col=7&amp;number=0.185&amp;sourceID=14","0.185")</f>
        <v>0.185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HYPERLINK("http://141.218.60.56/~jnz1568/getInfo.php?workbook=18_08.xlsx&amp;sheet=U0&amp;row=716&amp;col=6&amp;number=4.2&amp;sourceID=14","4.2")</f>
        <v>4.2</v>
      </c>
      <c r="G716" s="4" t="str">
        <f>HYPERLINK("http://141.218.60.56/~jnz1568/getInfo.php?workbook=18_08.xlsx&amp;sheet=U0&amp;row=716&amp;col=7&amp;number=0.186&amp;sourceID=14","0.186")</f>
        <v>0.186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HYPERLINK("http://141.218.60.56/~jnz1568/getInfo.php?workbook=18_08.xlsx&amp;sheet=U0&amp;row=717&amp;col=6&amp;number=4.3&amp;sourceID=14","4.3")</f>
        <v>4.3</v>
      </c>
      <c r="G717" s="4" t="str">
        <f>HYPERLINK("http://141.218.60.56/~jnz1568/getInfo.php?workbook=18_08.xlsx&amp;sheet=U0&amp;row=717&amp;col=7&amp;number=0.186&amp;sourceID=14","0.186")</f>
        <v>0.186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HYPERLINK("http://141.218.60.56/~jnz1568/getInfo.php?workbook=18_08.xlsx&amp;sheet=U0&amp;row=718&amp;col=6&amp;number=4.4&amp;sourceID=14","4.4")</f>
        <v>4.4</v>
      </c>
      <c r="G718" s="4" t="str">
        <f>HYPERLINK("http://141.218.60.56/~jnz1568/getInfo.php?workbook=18_08.xlsx&amp;sheet=U0&amp;row=718&amp;col=7&amp;number=0.186&amp;sourceID=14","0.186")</f>
        <v>0.186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HYPERLINK("http://141.218.60.56/~jnz1568/getInfo.php?workbook=18_08.xlsx&amp;sheet=U0&amp;row=719&amp;col=6&amp;number=4.5&amp;sourceID=14","4.5")</f>
        <v>4.5</v>
      </c>
      <c r="G719" s="4" t="str">
        <f>HYPERLINK("http://141.218.60.56/~jnz1568/getInfo.php?workbook=18_08.xlsx&amp;sheet=U0&amp;row=719&amp;col=7&amp;number=0.186&amp;sourceID=14","0.186")</f>
        <v>0.186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HYPERLINK("http://141.218.60.56/~jnz1568/getInfo.php?workbook=18_08.xlsx&amp;sheet=U0&amp;row=720&amp;col=6&amp;number=4.6&amp;sourceID=14","4.6")</f>
        <v>4.6</v>
      </c>
      <c r="G720" s="4" t="str">
        <f>HYPERLINK("http://141.218.60.56/~jnz1568/getInfo.php?workbook=18_08.xlsx&amp;sheet=U0&amp;row=720&amp;col=7&amp;number=0.186&amp;sourceID=14","0.186")</f>
        <v>0.186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HYPERLINK("http://141.218.60.56/~jnz1568/getInfo.php?workbook=18_08.xlsx&amp;sheet=U0&amp;row=721&amp;col=6&amp;number=4.7&amp;sourceID=14","4.7")</f>
        <v>4.7</v>
      </c>
      <c r="G721" s="4" t="str">
        <f>HYPERLINK("http://141.218.60.56/~jnz1568/getInfo.php?workbook=18_08.xlsx&amp;sheet=U0&amp;row=721&amp;col=7&amp;number=0.186&amp;sourceID=14","0.186")</f>
        <v>0.186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HYPERLINK("http://141.218.60.56/~jnz1568/getInfo.php?workbook=18_08.xlsx&amp;sheet=U0&amp;row=722&amp;col=6&amp;number=4.8&amp;sourceID=14","4.8")</f>
        <v>4.8</v>
      </c>
      <c r="G722" s="4" t="str">
        <f>HYPERLINK("http://141.218.60.56/~jnz1568/getInfo.php?workbook=18_08.xlsx&amp;sheet=U0&amp;row=722&amp;col=7&amp;number=0.186&amp;sourceID=14","0.186")</f>
        <v>0.186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HYPERLINK("http://141.218.60.56/~jnz1568/getInfo.php?workbook=18_08.xlsx&amp;sheet=U0&amp;row=723&amp;col=6&amp;number=4.9&amp;sourceID=14","4.9")</f>
        <v>4.9</v>
      </c>
      <c r="G723" s="4" t="str">
        <f>HYPERLINK("http://141.218.60.56/~jnz1568/getInfo.php?workbook=18_08.xlsx&amp;sheet=U0&amp;row=723&amp;col=7&amp;number=0.186&amp;sourceID=14","0.186")</f>
        <v>0.186</v>
      </c>
    </row>
    <row r="724" spans="1:7">
      <c r="A724" s="3">
        <v>18</v>
      </c>
      <c r="B724" s="3">
        <v>8</v>
      </c>
      <c r="C724" s="3" t="s">
        <v>48</v>
      </c>
      <c r="D724" s="3">
        <v>8</v>
      </c>
      <c r="E724" s="3">
        <v>1</v>
      </c>
      <c r="F724" s="4" t="str">
        <f>HYPERLINK("http://141.218.60.56/~jnz1568/getInfo.php?workbook=18_08.xlsx&amp;sheet=U0&amp;row=724&amp;col=6&amp;number=3&amp;sourceID=14","3")</f>
        <v>3</v>
      </c>
      <c r="G724" s="4" t="str">
        <f>HYPERLINK("http://141.218.60.56/~jnz1568/getInfo.php?workbook=18_08.xlsx&amp;sheet=U0&amp;row=724&amp;col=7&amp;number=0.00376&amp;sourceID=14","0.00376")</f>
        <v>0.00376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HYPERLINK("http://141.218.60.56/~jnz1568/getInfo.php?workbook=18_08.xlsx&amp;sheet=U0&amp;row=725&amp;col=6&amp;number=3.1&amp;sourceID=14","3.1")</f>
        <v>3.1</v>
      </c>
      <c r="G725" s="4" t="str">
        <f>HYPERLINK("http://141.218.60.56/~jnz1568/getInfo.php?workbook=18_08.xlsx&amp;sheet=U0&amp;row=725&amp;col=7&amp;number=0.00376&amp;sourceID=14","0.00376")</f>
        <v>0.00376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HYPERLINK("http://141.218.60.56/~jnz1568/getInfo.php?workbook=18_08.xlsx&amp;sheet=U0&amp;row=726&amp;col=6&amp;number=3.2&amp;sourceID=14","3.2")</f>
        <v>3.2</v>
      </c>
      <c r="G726" s="4" t="str">
        <f>HYPERLINK("http://141.218.60.56/~jnz1568/getInfo.php?workbook=18_08.xlsx&amp;sheet=U0&amp;row=726&amp;col=7&amp;number=0.00376&amp;sourceID=14","0.00376")</f>
        <v>0.00376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HYPERLINK("http://141.218.60.56/~jnz1568/getInfo.php?workbook=18_08.xlsx&amp;sheet=U0&amp;row=727&amp;col=6&amp;number=3.3&amp;sourceID=14","3.3")</f>
        <v>3.3</v>
      </c>
      <c r="G727" s="4" t="str">
        <f>HYPERLINK("http://141.218.60.56/~jnz1568/getInfo.php?workbook=18_08.xlsx&amp;sheet=U0&amp;row=727&amp;col=7&amp;number=0.00376&amp;sourceID=14","0.00376")</f>
        <v>0.00376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HYPERLINK("http://141.218.60.56/~jnz1568/getInfo.php?workbook=18_08.xlsx&amp;sheet=U0&amp;row=728&amp;col=6&amp;number=3.4&amp;sourceID=14","3.4")</f>
        <v>3.4</v>
      </c>
      <c r="G728" s="4" t="str">
        <f>HYPERLINK("http://141.218.60.56/~jnz1568/getInfo.php?workbook=18_08.xlsx&amp;sheet=U0&amp;row=728&amp;col=7&amp;number=0.00376&amp;sourceID=14","0.00376")</f>
        <v>0.00376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HYPERLINK("http://141.218.60.56/~jnz1568/getInfo.php?workbook=18_08.xlsx&amp;sheet=U0&amp;row=729&amp;col=6&amp;number=3.5&amp;sourceID=14","3.5")</f>
        <v>3.5</v>
      </c>
      <c r="G729" s="4" t="str">
        <f>HYPERLINK("http://141.218.60.56/~jnz1568/getInfo.php?workbook=18_08.xlsx&amp;sheet=U0&amp;row=729&amp;col=7&amp;number=0.00376&amp;sourceID=14","0.00376")</f>
        <v>0.00376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HYPERLINK("http://141.218.60.56/~jnz1568/getInfo.php?workbook=18_08.xlsx&amp;sheet=U0&amp;row=730&amp;col=6&amp;number=3.6&amp;sourceID=14","3.6")</f>
        <v>3.6</v>
      </c>
      <c r="G730" s="4" t="str">
        <f>HYPERLINK("http://141.218.60.56/~jnz1568/getInfo.php?workbook=18_08.xlsx&amp;sheet=U0&amp;row=730&amp;col=7&amp;number=0.00376&amp;sourceID=14","0.00376")</f>
        <v>0.00376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HYPERLINK("http://141.218.60.56/~jnz1568/getInfo.php?workbook=18_08.xlsx&amp;sheet=U0&amp;row=731&amp;col=6&amp;number=3.7&amp;sourceID=14","3.7")</f>
        <v>3.7</v>
      </c>
      <c r="G731" s="4" t="str">
        <f>HYPERLINK("http://141.218.60.56/~jnz1568/getInfo.php?workbook=18_08.xlsx&amp;sheet=U0&amp;row=731&amp;col=7&amp;number=0.00376&amp;sourceID=14","0.00376")</f>
        <v>0.00376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HYPERLINK("http://141.218.60.56/~jnz1568/getInfo.php?workbook=18_08.xlsx&amp;sheet=U0&amp;row=732&amp;col=6&amp;number=3.8&amp;sourceID=14","3.8")</f>
        <v>3.8</v>
      </c>
      <c r="G732" s="4" t="str">
        <f>HYPERLINK("http://141.218.60.56/~jnz1568/getInfo.php?workbook=18_08.xlsx&amp;sheet=U0&amp;row=732&amp;col=7&amp;number=0.00376&amp;sourceID=14","0.00376")</f>
        <v>0.00376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HYPERLINK("http://141.218.60.56/~jnz1568/getInfo.php?workbook=18_08.xlsx&amp;sheet=U0&amp;row=733&amp;col=6&amp;number=3.9&amp;sourceID=14","3.9")</f>
        <v>3.9</v>
      </c>
      <c r="G733" s="4" t="str">
        <f>HYPERLINK("http://141.218.60.56/~jnz1568/getInfo.php?workbook=18_08.xlsx&amp;sheet=U0&amp;row=733&amp;col=7&amp;number=0.00376&amp;sourceID=14","0.00376")</f>
        <v>0.00376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HYPERLINK("http://141.218.60.56/~jnz1568/getInfo.php?workbook=18_08.xlsx&amp;sheet=U0&amp;row=734&amp;col=6&amp;number=4&amp;sourceID=14","4")</f>
        <v>4</v>
      </c>
      <c r="G734" s="4" t="str">
        <f>HYPERLINK("http://141.218.60.56/~jnz1568/getInfo.php?workbook=18_08.xlsx&amp;sheet=U0&amp;row=734&amp;col=7&amp;number=0.00375&amp;sourceID=14","0.00375")</f>
        <v>0.00375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HYPERLINK("http://141.218.60.56/~jnz1568/getInfo.php?workbook=18_08.xlsx&amp;sheet=U0&amp;row=735&amp;col=6&amp;number=4.1&amp;sourceID=14","4.1")</f>
        <v>4.1</v>
      </c>
      <c r="G735" s="4" t="str">
        <f>HYPERLINK("http://141.218.60.56/~jnz1568/getInfo.php?workbook=18_08.xlsx&amp;sheet=U0&amp;row=735&amp;col=7&amp;number=0.00375&amp;sourceID=14","0.00375")</f>
        <v>0.00375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HYPERLINK("http://141.218.60.56/~jnz1568/getInfo.php?workbook=18_08.xlsx&amp;sheet=U0&amp;row=736&amp;col=6&amp;number=4.2&amp;sourceID=14","4.2")</f>
        <v>4.2</v>
      </c>
      <c r="G736" s="4" t="str">
        <f>HYPERLINK("http://141.218.60.56/~jnz1568/getInfo.php?workbook=18_08.xlsx&amp;sheet=U0&amp;row=736&amp;col=7&amp;number=0.00374&amp;sourceID=14","0.00374")</f>
        <v>0.00374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HYPERLINK("http://141.218.60.56/~jnz1568/getInfo.php?workbook=18_08.xlsx&amp;sheet=U0&amp;row=737&amp;col=6&amp;number=4.3&amp;sourceID=14","4.3")</f>
        <v>4.3</v>
      </c>
      <c r="G737" s="4" t="str">
        <f>HYPERLINK("http://141.218.60.56/~jnz1568/getInfo.php?workbook=18_08.xlsx&amp;sheet=U0&amp;row=737&amp;col=7&amp;number=0.00374&amp;sourceID=14","0.00374")</f>
        <v>0.00374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HYPERLINK("http://141.218.60.56/~jnz1568/getInfo.php?workbook=18_08.xlsx&amp;sheet=U0&amp;row=738&amp;col=6&amp;number=4.4&amp;sourceID=14","4.4")</f>
        <v>4.4</v>
      </c>
      <c r="G738" s="4" t="str">
        <f>HYPERLINK("http://141.218.60.56/~jnz1568/getInfo.php?workbook=18_08.xlsx&amp;sheet=U0&amp;row=738&amp;col=7&amp;number=0.00373&amp;sourceID=14","0.00373")</f>
        <v>0.00373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HYPERLINK("http://141.218.60.56/~jnz1568/getInfo.php?workbook=18_08.xlsx&amp;sheet=U0&amp;row=739&amp;col=6&amp;number=4.5&amp;sourceID=14","4.5")</f>
        <v>4.5</v>
      </c>
      <c r="G739" s="4" t="str">
        <f>HYPERLINK("http://141.218.60.56/~jnz1568/getInfo.php?workbook=18_08.xlsx&amp;sheet=U0&amp;row=739&amp;col=7&amp;number=0.00372&amp;sourceID=14","0.00372")</f>
        <v>0.00372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HYPERLINK("http://141.218.60.56/~jnz1568/getInfo.php?workbook=18_08.xlsx&amp;sheet=U0&amp;row=740&amp;col=6&amp;number=4.6&amp;sourceID=14","4.6")</f>
        <v>4.6</v>
      </c>
      <c r="G740" s="4" t="str">
        <f>HYPERLINK("http://141.218.60.56/~jnz1568/getInfo.php?workbook=18_08.xlsx&amp;sheet=U0&amp;row=740&amp;col=7&amp;number=0.00371&amp;sourceID=14","0.00371")</f>
        <v>0.00371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HYPERLINK("http://141.218.60.56/~jnz1568/getInfo.php?workbook=18_08.xlsx&amp;sheet=U0&amp;row=741&amp;col=6&amp;number=4.7&amp;sourceID=14","4.7")</f>
        <v>4.7</v>
      </c>
      <c r="G741" s="4" t="str">
        <f>HYPERLINK("http://141.218.60.56/~jnz1568/getInfo.php?workbook=18_08.xlsx&amp;sheet=U0&amp;row=741&amp;col=7&amp;number=0.0037&amp;sourceID=14","0.0037")</f>
        <v>0.0037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HYPERLINK("http://141.218.60.56/~jnz1568/getInfo.php?workbook=18_08.xlsx&amp;sheet=U0&amp;row=742&amp;col=6&amp;number=4.8&amp;sourceID=14","4.8")</f>
        <v>4.8</v>
      </c>
      <c r="G742" s="4" t="str">
        <f>HYPERLINK("http://141.218.60.56/~jnz1568/getInfo.php?workbook=18_08.xlsx&amp;sheet=U0&amp;row=742&amp;col=7&amp;number=0.00368&amp;sourceID=14","0.00368")</f>
        <v>0.00368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HYPERLINK("http://141.218.60.56/~jnz1568/getInfo.php?workbook=18_08.xlsx&amp;sheet=U0&amp;row=743&amp;col=6&amp;number=4.9&amp;sourceID=14","4.9")</f>
        <v>4.9</v>
      </c>
      <c r="G743" s="4" t="str">
        <f>HYPERLINK("http://141.218.60.56/~jnz1568/getInfo.php?workbook=18_08.xlsx&amp;sheet=U0&amp;row=743&amp;col=7&amp;number=0.00366&amp;sourceID=14","0.00366")</f>
        <v>0.00366</v>
      </c>
    </row>
    <row r="744" spans="1:7">
      <c r="A744" s="3">
        <v>18</v>
      </c>
      <c r="B744" s="3">
        <v>8</v>
      </c>
      <c r="C744" s="3" t="s">
        <v>48</v>
      </c>
      <c r="D744" s="3">
        <v>9</v>
      </c>
      <c r="E744" s="3">
        <v>1</v>
      </c>
      <c r="F744" s="4" t="str">
        <f>HYPERLINK("http://141.218.60.56/~jnz1568/getInfo.php?workbook=18_08.xlsx&amp;sheet=U0&amp;row=744&amp;col=6&amp;number=3&amp;sourceID=14","3")</f>
        <v>3</v>
      </c>
      <c r="G744" s="4" t="str">
        <f>HYPERLINK("http://141.218.60.56/~jnz1568/getInfo.php?workbook=18_08.xlsx&amp;sheet=U0&amp;row=744&amp;col=7&amp;number=0.0102&amp;sourceID=14","0.0102")</f>
        <v>0.0102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HYPERLINK("http://141.218.60.56/~jnz1568/getInfo.php?workbook=18_08.xlsx&amp;sheet=U0&amp;row=745&amp;col=6&amp;number=3.1&amp;sourceID=14","3.1")</f>
        <v>3.1</v>
      </c>
      <c r="G745" s="4" t="str">
        <f>HYPERLINK("http://141.218.60.56/~jnz1568/getInfo.php?workbook=18_08.xlsx&amp;sheet=U0&amp;row=745&amp;col=7&amp;number=0.0102&amp;sourceID=14","0.0102")</f>
        <v>0.0102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HYPERLINK("http://141.218.60.56/~jnz1568/getInfo.php?workbook=18_08.xlsx&amp;sheet=U0&amp;row=746&amp;col=6&amp;number=3.2&amp;sourceID=14","3.2")</f>
        <v>3.2</v>
      </c>
      <c r="G746" s="4" t="str">
        <f>HYPERLINK("http://141.218.60.56/~jnz1568/getInfo.php?workbook=18_08.xlsx&amp;sheet=U0&amp;row=746&amp;col=7&amp;number=0.0102&amp;sourceID=14","0.0102")</f>
        <v>0.0102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HYPERLINK("http://141.218.60.56/~jnz1568/getInfo.php?workbook=18_08.xlsx&amp;sheet=U0&amp;row=747&amp;col=6&amp;number=3.3&amp;sourceID=14","3.3")</f>
        <v>3.3</v>
      </c>
      <c r="G747" s="4" t="str">
        <f>HYPERLINK("http://141.218.60.56/~jnz1568/getInfo.php?workbook=18_08.xlsx&amp;sheet=U0&amp;row=747&amp;col=7&amp;number=0.0102&amp;sourceID=14","0.0102")</f>
        <v>0.0102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HYPERLINK("http://141.218.60.56/~jnz1568/getInfo.php?workbook=18_08.xlsx&amp;sheet=U0&amp;row=748&amp;col=6&amp;number=3.4&amp;sourceID=14","3.4")</f>
        <v>3.4</v>
      </c>
      <c r="G748" s="4" t="str">
        <f>HYPERLINK("http://141.218.60.56/~jnz1568/getInfo.php?workbook=18_08.xlsx&amp;sheet=U0&amp;row=748&amp;col=7&amp;number=0.0102&amp;sourceID=14","0.0102")</f>
        <v>0.0102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HYPERLINK("http://141.218.60.56/~jnz1568/getInfo.php?workbook=18_08.xlsx&amp;sheet=U0&amp;row=749&amp;col=6&amp;number=3.5&amp;sourceID=14","3.5")</f>
        <v>3.5</v>
      </c>
      <c r="G749" s="4" t="str">
        <f>HYPERLINK("http://141.218.60.56/~jnz1568/getInfo.php?workbook=18_08.xlsx&amp;sheet=U0&amp;row=749&amp;col=7&amp;number=0.0102&amp;sourceID=14","0.0102")</f>
        <v>0.0102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HYPERLINK("http://141.218.60.56/~jnz1568/getInfo.php?workbook=18_08.xlsx&amp;sheet=U0&amp;row=750&amp;col=6&amp;number=3.6&amp;sourceID=14","3.6")</f>
        <v>3.6</v>
      </c>
      <c r="G750" s="4" t="str">
        <f>HYPERLINK("http://141.218.60.56/~jnz1568/getInfo.php?workbook=18_08.xlsx&amp;sheet=U0&amp;row=750&amp;col=7&amp;number=0.0102&amp;sourceID=14","0.0102")</f>
        <v>0.0102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HYPERLINK("http://141.218.60.56/~jnz1568/getInfo.php?workbook=18_08.xlsx&amp;sheet=U0&amp;row=751&amp;col=6&amp;number=3.7&amp;sourceID=14","3.7")</f>
        <v>3.7</v>
      </c>
      <c r="G751" s="4" t="str">
        <f>HYPERLINK("http://141.218.60.56/~jnz1568/getInfo.php?workbook=18_08.xlsx&amp;sheet=U0&amp;row=751&amp;col=7&amp;number=0.0102&amp;sourceID=14","0.0102")</f>
        <v>0.0102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HYPERLINK("http://141.218.60.56/~jnz1568/getInfo.php?workbook=18_08.xlsx&amp;sheet=U0&amp;row=752&amp;col=6&amp;number=3.8&amp;sourceID=14","3.8")</f>
        <v>3.8</v>
      </c>
      <c r="G752" s="4" t="str">
        <f>HYPERLINK("http://141.218.60.56/~jnz1568/getInfo.php?workbook=18_08.xlsx&amp;sheet=U0&amp;row=752&amp;col=7&amp;number=0.0102&amp;sourceID=14","0.0102")</f>
        <v>0.0102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HYPERLINK("http://141.218.60.56/~jnz1568/getInfo.php?workbook=18_08.xlsx&amp;sheet=U0&amp;row=753&amp;col=6&amp;number=3.9&amp;sourceID=14","3.9")</f>
        <v>3.9</v>
      </c>
      <c r="G753" s="4" t="str">
        <f>HYPERLINK("http://141.218.60.56/~jnz1568/getInfo.php?workbook=18_08.xlsx&amp;sheet=U0&amp;row=753&amp;col=7&amp;number=0.0102&amp;sourceID=14","0.0102")</f>
        <v>0.0102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HYPERLINK("http://141.218.60.56/~jnz1568/getInfo.php?workbook=18_08.xlsx&amp;sheet=U0&amp;row=754&amp;col=6&amp;number=4&amp;sourceID=14","4")</f>
        <v>4</v>
      </c>
      <c r="G754" s="4" t="str">
        <f>HYPERLINK("http://141.218.60.56/~jnz1568/getInfo.php?workbook=18_08.xlsx&amp;sheet=U0&amp;row=754&amp;col=7&amp;number=0.0102&amp;sourceID=14","0.0102")</f>
        <v>0.0102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HYPERLINK("http://141.218.60.56/~jnz1568/getInfo.php?workbook=18_08.xlsx&amp;sheet=U0&amp;row=755&amp;col=6&amp;number=4.1&amp;sourceID=14","4.1")</f>
        <v>4.1</v>
      </c>
      <c r="G755" s="4" t="str">
        <f>HYPERLINK("http://141.218.60.56/~jnz1568/getInfo.php?workbook=18_08.xlsx&amp;sheet=U0&amp;row=755&amp;col=7&amp;number=0.0102&amp;sourceID=14","0.0102")</f>
        <v>0.0102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HYPERLINK("http://141.218.60.56/~jnz1568/getInfo.php?workbook=18_08.xlsx&amp;sheet=U0&amp;row=756&amp;col=6&amp;number=4.2&amp;sourceID=14","4.2")</f>
        <v>4.2</v>
      </c>
      <c r="G756" s="4" t="str">
        <f>HYPERLINK("http://141.218.60.56/~jnz1568/getInfo.php?workbook=18_08.xlsx&amp;sheet=U0&amp;row=756&amp;col=7&amp;number=0.0102&amp;sourceID=14","0.0102")</f>
        <v>0.0102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HYPERLINK("http://141.218.60.56/~jnz1568/getInfo.php?workbook=18_08.xlsx&amp;sheet=U0&amp;row=757&amp;col=6&amp;number=4.3&amp;sourceID=14","4.3")</f>
        <v>4.3</v>
      </c>
      <c r="G757" s="4" t="str">
        <f>HYPERLINK("http://141.218.60.56/~jnz1568/getInfo.php?workbook=18_08.xlsx&amp;sheet=U0&amp;row=757&amp;col=7&amp;number=0.0102&amp;sourceID=14","0.0102")</f>
        <v>0.0102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HYPERLINK("http://141.218.60.56/~jnz1568/getInfo.php?workbook=18_08.xlsx&amp;sheet=U0&amp;row=758&amp;col=6&amp;number=4.4&amp;sourceID=14","4.4")</f>
        <v>4.4</v>
      </c>
      <c r="G758" s="4" t="str">
        <f>HYPERLINK("http://141.218.60.56/~jnz1568/getInfo.php?workbook=18_08.xlsx&amp;sheet=U0&amp;row=758&amp;col=7&amp;number=0.0102&amp;sourceID=14","0.0102")</f>
        <v>0.0102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HYPERLINK("http://141.218.60.56/~jnz1568/getInfo.php?workbook=18_08.xlsx&amp;sheet=U0&amp;row=759&amp;col=6&amp;number=4.5&amp;sourceID=14","4.5")</f>
        <v>4.5</v>
      </c>
      <c r="G759" s="4" t="str">
        <f>HYPERLINK("http://141.218.60.56/~jnz1568/getInfo.php?workbook=18_08.xlsx&amp;sheet=U0&amp;row=759&amp;col=7&amp;number=0.0102&amp;sourceID=14","0.0102")</f>
        <v>0.0102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HYPERLINK("http://141.218.60.56/~jnz1568/getInfo.php?workbook=18_08.xlsx&amp;sheet=U0&amp;row=760&amp;col=6&amp;number=4.6&amp;sourceID=14","4.6")</f>
        <v>4.6</v>
      </c>
      <c r="G760" s="4" t="str">
        <f>HYPERLINK("http://141.218.60.56/~jnz1568/getInfo.php?workbook=18_08.xlsx&amp;sheet=U0&amp;row=760&amp;col=7&amp;number=0.0101&amp;sourceID=14","0.0101")</f>
        <v>0.0101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HYPERLINK("http://141.218.60.56/~jnz1568/getInfo.php?workbook=18_08.xlsx&amp;sheet=U0&amp;row=761&amp;col=6&amp;number=4.7&amp;sourceID=14","4.7")</f>
        <v>4.7</v>
      </c>
      <c r="G761" s="4" t="str">
        <f>HYPERLINK("http://141.218.60.56/~jnz1568/getInfo.php?workbook=18_08.xlsx&amp;sheet=U0&amp;row=761&amp;col=7&amp;number=0.0101&amp;sourceID=14","0.0101")</f>
        <v>0.0101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HYPERLINK("http://141.218.60.56/~jnz1568/getInfo.php?workbook=18_08.xlsx&amp;sheet=U0&amp;row=762&amp;col=6&amp;number=4.8&amp;sourceID=14","4.8")</f>
        <v>4.8</v>
      </c>
      <c r="G762" s="4" t="str">
        <f>HYPERLINK("http://141.218.60.56/~jnz1568/getInfo.php?workbook=18_08.xlsx&amp;sheet=U0&amp;row=762&amp;col=7&amp;number=0.0101&amp;sourceID=14","0.0101")</f>
        <v>0.0101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HYPERLINK("http://141.218.60.56/~jnz1568/getInfo.php?workbook=18_08.xlsx&amp;sheet=U0&amp;row=763&amp;col=6&amp;number=4.9&amp;sourceID=14","4.9")</f>
        <v>4.9</v>
      </c>
      <c r="G763" s="4" t="str">
        <f>HYPERLINK("http://141.218.60.56/~jnz1568/getInfo.php?workbook=18_08.xlsx&amp;sheet=U0&amp;row=763&amp;col=7&amp;number=0.0101&amp;sourceID=14","0.0101")</f>
        <v>0.0101</v>
      </c>
    </row>
    <row r="764" spans="1:7">
      <c r="A764" s="3">
        <v>18</v>
      </c>
      <c r="B764" s="3">
        <v>8</v>
      </c>
      <c r="C764" s="3" t="s">
        <v>49</v>
      </c>
      <c r="D764" s="3">
        <v>0</v>
      </c>
      <c r="E764" s="3">
        <v>1</v>
      </c>
      <c r="F764" s="4" t="str">
        <f>HYPERLINK("http://141.218.60.56/~jnz1568/getInfo.php?workbook=18_08.xlsx&amp;sheet=U0&amp;row=764&amp;col=6&amp;number=3&amp;sourceID=14","3")</f>
        <v>3</v>
      </c>
      <c r="G764" s="4" t="str">
        <f>HYPERLINK("http://141.218.60.56/~jnz1568/getInfo.php?workbook=18_08.xlsx&amp;sheet=U0&amp;row=764&amp;col=7&amp;number=0.0181&amp;sourceID=14","0.0181")</f>
        <v>0.0181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HYPERLINK("http://141.218.60.56/~jnz1568/getInfo.php?workbook=18_08.xlsx&amp;sheet=U0&amp;row=765&amp;col=6&amp;number=3.1&amp;sourceID=14","3.1")</f>
        <v>3.1</v>
      </c>
      <c r="G765" s="4" t="str">
        <f>HYPERLINK("http://141.218.60.56/~jnz1568/getInfo.php?workbook=18_08.xlsx&amp;sheet=U0&amp;row=765&amp;col=7&amp;number=0.0181&amp;sourceID=14","0.0181")</f>
        <v>0.0181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HYPERLINK("http://141.218.60.56/~jnz1568/getInfo.php?workbook=18_08.xlsx&amp;sheet=U0&amp;row=766&amp;col=6&amp;number=3.2&amp;sourceID=14","3.2")</f>
        <v>3.2</v>
      </c>
      <c r="G766" s="4" t="str">
        <f>HYPERLINK("http://141.218.60.56/~jnz1568/getInfo.php?workbook=18_08.xlsx&amp;sheet=U0&amp;row=766&amp;col=7&amp;number=0.0181&amp;sourceID=14","0.0181")</f>
        <v>0.0181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HYPERLINK("http://141.218.60.56/~jnz1568/getInfo.php?workbook=18_08.xlsx&amp;sheet=U0&amp;row=767&amp;col=6&amp;number=3.3&amp;sourceID=14","3.3")</f>
        <v>3.3</v>
      </c>
      <c r="G767" s="4" t="str">
        <f>HYPERLINK("http://141.218.60.56/~jnz1568/getInfo.php?workbook=18_08.xlsx&amp;sheet=U0&amp;row=767&amp;col=7&amp;number=0.0181&amp;sourceID=14","0.0181")</f>
        <v>0.0181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HYPERLINK("http://141.218.60.56/~jnz1568/getInfo.php?workbook=18_08.xlsx&amp;sheet=U0&amp;row=768&amp;col=6&amp;number=3.4&amp;sourceID=14","3.4")</f>
        <v>3.4</v>
      </c>
      <c r="G768" s="4" t="str">
        <f>HYPERLINK("http://141.218.60.56/~jnz1568/getInfo.php?workbook=18_08.xlsx&amp;sheet=U0&amp;row=768&amp;col=7&amp;number=0.0181&amp;sourceID=14","0.0181")</f>
        <v>0.0181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HYPERLINK("http://141.218.60.56/~jnz1568/getInfo.php?workbook=18_08.xlsx&amp;sheet=U0&amp;row=769&amp;col=6&amp;number=3.5&amp;sourceID=14","3.5")</f>
        <v>3.5</v>
      </c>
      <c r="G769" s="4" t="str">
        <f>HYPERLINK("http://141.218.60.56/~jnz1568/getInfo.php?workbook=18_08.xlsx&amp;sheet=U0&amp;row=769&amp;col=7&amp;number=0.0181&amp;sourceID=14","0.0181")</f>
        <v>0.0181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HYPERLINK("http://141.218.60.56/~jnz1568/getInfo.php?workbook=18_08.xlsx&amp;sheet=U0&amp;row=770&amp;col=6&amp;number=3.6&amp;sourceID=14","3.6")</f>
        <v>3.6</v>
      </c>
      <c r="G770" s="4" t="str">
        <f>HYPERLINK("http://141.218.60.56/~jnz1568/getInfo.php?workbook=18_08.xlsx&amp;sheet=U0&amp;row=770&amp;col=7&amp;number=0.0181&amp;sourceID=14","0.0181")</f>
        <v>0.0181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HYPERLINK("http://141.218.60.56/~jnz1568/getInfo.php?workbook=18_08.xlsx&amp;sheet=U0&amp;row=771&amp;col=6&amp;number=3.7&amp;sourceID=14","3.7")</f>
        <v>3.7</v>
      </c>
      <c r="G771" s="4" t="str">
        <f>HYPERLINK("http://141.218.60.56/~jnz1568/getInfo.php?workbook=18_08.xlsx&amp;sheet=U0&amp;row=771&amp;col=7&amp;number=0.0181&amp;sourceID=14","0.0181")</f>
        <v>0.0181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HYPERLINK("http://141.218.60.56/~jnz1568/getInfo.php?workbook=18_08.xlsx&amp;sheet=U0&amp;row=772&amp;col=6&amp;number=3.8&amp;sourceID=14","3.8")</f>
        <v>3.8</v>
      </c>
      <c r="G772" s="4" t="str">
        <f>HYPERLINK("http://141.218.60.56/~jnz1568/getInfo.php?workbook=18_08.xlsx&amp;sheet=U0&amp;row=772&amp;col=7&amp;number=0.0181&amp;sourceID=14","0.0181")</f>
        <v>0.0181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HYPERLINK("http://141.218.60.56/~jnz1568/getInfo.php?workbook=18_08.xlsx&amp;sheet=U0&amp;row=773&amp;col=6&amp;number=3.9&amp;sourceID=14","3.9")</f>
        <v>3.9</v>
      </c>
      <c r="G773" s="4" t="str">
        <f>HYPERLINK("http://141.218.60.56/~jnz1568/getInfo.php?workbook=18_08.xlsx&amp;sheet=U0&amp;row=773&amp;col=7&amp;number=0.0181&amp;sourceID=14","0.0181")</f>
        <v>0.0181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HYPERLINK("http://141.218.60.56/~jnz1568/getInfo.php?workbook=18_08.xlsx&amp;sheet=U0&amp;row=774&amp;col=6&amp;number=4&amp;sourceID=14","4")</f>
        <v>4</v>
      </c>
      <c r="G774" s="4" t="str">
        <f>HYPERLINK("http://141.218.60.56/~jnz1568/getInfo.php?workbook=18_08.xlsx&amp;sheet=U0&amp;row=774&amp;col=7&amp;number=0.0181&amp;sourceID=14","0.0181")</f>
        <v>0.0181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HYPERLINK("http://141.218.60.56/~jnz1568/getInfo.php?workbook=18_08.xlsx&amp;sheet=U0&amp;row=775&amp;col=6&amp;number=4.1&amp;sourceID=14","4.1")</f>
        <v>4.1</v>
      </c>
      <c r="G775" s="4" t="str">
        <f>HYPERLINK("http://141.218.60.56/~jnz1568/getInfo.php?workbook=18_08.xlsx&amp;sheet=U0&amp;row=775&amp;col=7&amp;number=0.0181&amp;sourceID=14","0.0181")</f>
        <v>0.0181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HYPERLINK("http://141.218.60.56/~jnz1568/getInfo.php?workbook=18_08.xlsx&amp;sheet=U0&amp;row=776&amp;col=6&amp;number=4.2&amp;sourceID=14","4.2")</f>
        <v>4.2</v>
      </c>
      <c r="G776" s="4" t="str">
        <f>HYPERLINK("http://141.218.60.56/~jnz1568/getInfo.php?workbook=18_08.xlsx&amp;sheet=U0&amp;row=776&amp;col=7&amp;number=0.0181&amp;sourceID=14","0.0181")</f>
        <v>0.0181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HYPERLINK("http://141.218.60.56/~jnz1568/getInfo.php?workbook=18_08.xlsx&amp;sheet=U0&amp;row=777&amp;col=6&amp;number=4.3&amp;sourceID=14","4.3")</f>
        <v>4.3</v>
      </c>
      <c r="G777" s="4" t="str">
        <f>HYPERLINK("http://141.218.60.56/~jnz1568/getInfo.php?workbook=18_08.xlsx&amp;sheet=U0&amp;row=777&amp;col=7&amp;number=0.0181&amp;sourceID=14","0.0181")</f>
        <v>0.0181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HYPERLINK("http://141.218.60.56/~jnz1568/getInfo.php?workbook=18_08.xlsx&amp;sheet=U0&amp;row=778&amp;col=6&amp;number=4.4&amp;sourceID=14","4.4")</f>
        <v>4.4</v>
      </c>
      <c r="G778" s="4" t="str">
        <f>HYPERLINK("http://141.218.60.56/~jnz1568/getInfo.php?workbook=18_08.xlsx&amp;sheet=U0&amp;row=778&amp;col=7&amp;number=0.018&amp;sourceID=14","0.018")</f>
        <v>0.018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HYPERLINK("http://141.218.60.56/~jnz1568/getInfo.php?workbook=18_08.xlsx&amp;sheet=U0&amp;row=779&amp;col=6&amp;number=4.5&amp;sourceID=14","4.5")</f>
        <v>4.5</v>
      </c>
      <c r="G779" s="4" t="str">
        <f>HYPERLINK("http://141.218.60.56/~jnz1568/getInfo.php?workbook=18_08.xlsx&amp;sheet=U0&amp;row=779&amp;col=7&amp;number=0.018&amp;sourceID=14","0.018")</f>
        <v>0.018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HYPERLINK("http://141.218.60.56/~jnz1568/getInfo.php?workbook=18_08.xlsx&amp;sheet=U0&amp;row=780&amp;col=6&amp;number=4.6&amp;sourceID=14","4.6")</f>
        <v>4.6</v>
      </c>
      <c r="G780" s="4" t="str">
        <f>HYPERLINK("http://141.218.60.56/~jnz1568/getInfo.php?workbook=18_08.xlsx&amp;sheet=U0&amp;row=780&amp;col=7&amp;number=0.018&amp;sourceID=14","0.018")</f>
        <v>0.018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HYPERLINK("http://141.218.60.56/~jnz1568/getInfo.php?workbook=18_08.xlsx&amp;sheet=U0&amp;row=781&amp;col=6&amp;number=4.7&amp;sourceID=14","4.7")</f>
        <v>4.7</v>
      </c>
      <c r="G781" s="4" t="str">
        <f>HYPERLINK("http://141.218.60.56/~jnz1568/getInfo.php?workbook=18_08.xlsx&amp;sheet=U0&amp;row=781&amp;col=7&amp;number=0.0179&amp;sourceID=14","0.0179")</f>
        <v>0.0179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HYPERLINK("http://141.218.60.56/~jnz1568/getInfo.php?workbook=18_08.xlsx&amp;sheet=U0&amp;row=782&amp;col=6&amp;number=4.8&amp;sourceID=14","4.8")</f>
        <v>4.8</v>
      </c>
      <c r="G782" s="4" t="str">
        <f>HYPERLINK("http://141.218.60.56/~jnz1568/getInfo.php?workbook=18_08.xlsx&amp;sheet=U0&amp;row=782&amp;col=7&amp;number=0.0179&amp;sourceID=14","0.0179")</f>
        <v>0.0179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HYPERLINK("http://141.218.60.56/~jnz1568/getInfo.php?workbook=18_08.xlsx&amp;sheet=U0&amp;row=783&amp;col=6&amp;number=4.9&amp;sourceID=14","4.9")</f>
        <v>4.9</v>
      </c>
      <c r="G783" s="4" t="str">
        <f>HYPERLINK("http://141.218.60.56/~jnz1568/getInfo.php?workbook=18_08.xlsx&amp;sheet=U0&amp;row=783&amp;col=7&amp;number=0.0178&amp;sourceID=14","0.0178")</f>
        <v>0.0178</v>
      </c>
    </row>
    <row r="784" spans="1:7">
      <c r="A784" s="3">
        <v>18</v>
      </c>
      <c r="B784" s="3">
        <v>8</v>
      </c>
      <c r="C784" s="3" t="s">
        <v>49</v>
      </c>
      <c r="D784" s="3">
        <v>1</v>
      </c>
      <c r="E784" s="3">
        <v>1</v>
      </c>
      <c r="F784" s="4" t="str">
        <f>HYPERLINK("http://141.218.60.56/~jnz1568/getInfo.php?workbook=18_08.xlsx&amp;sheet=U0&amp;row=784&amp;col=6&amp;number=3&amp;sourceID=14","3")</f>
        <v>3</v>
      </c>
      <c r="G784" s="4" t="str">
        <f>HYPERLINK("http://141.218.60.56/~jnz1568/getInfo.php?workbook=18_08.xlsx&amp;sheet=U0&amp;row=784&amp;col=7&amp;number=0.0317&amp;sourceID=14","0.0317")</f>
        <v>0.0317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HYPERLINK("http://141.218.60.56/~jnz1568/getInfo.php?workbook=18_08.xlsx&amp;sheet=U0&amp;row=785&amp;col=6&amp;number=3.1&amp;sourceID=14","3.1")</f>
        <v>3.1</v>
      </c>
      <c r="G785" s="4" t="str">
        <f>HYPERLINK("http://141.218.60.56/~jnz1568/getInfo.php?workbook=18_08.xlsx&amp;sheet=U0&amp;row=785&amp;col=7&amp;number=0.0317&amp;sourceID=14","0.0317")</f>
        <v>0.0317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HYPERLINK("http://141.218.60.56/~jnz1568/getInfo.php?workbook=18_08.xlsx&amp;sheet=U0&amp;row=786&amp;col=6&amp;number=3.2&amp;sourceID=14","3.2")</f>
        <v>3.2</v>
      </c>
      <c r="G786" s="4" t="str">
        <f>HYPERLINK("http://141.218.60.56/~jnz1568/getInfo.php?workbook=18_08.xlsx&amp;sheet=U0&amp;row=786&amp;col=7&amp;number=0.0317&amp;sourceID=14","0.0317")</f>
        <v>0.0317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HYPERLINK("http://141.218.60.56/~jnz1568/getInfo.php?workbook=18_08.xlsx&amp;sheet=U0&amp;row=787&amp;col=6&amp;number=3.3&amp;sourceID=14","3.3")</f>
        <v>3.3</v>
      </c>
      <c r="G787" s="4" t="str">
        <f>HYPERLINK("http://141.218.60.56/~jnz1568/getInfo.php?workbook=18_08.xlsx&amp;sheet=U0&amp;row=787&amp;col=7&amp;number=0.0317&amp;sourceID=14","0.0317")</f>
        <v>0.0317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HYPERLINK("http://141.218.60.56/~jnz1568/getInfo.php?workbook=18_08.xlsx&amp;sheet=U0&amp;row=788&amp;col=6&amp;number=3.4&amp;sourceID=14","3.4")</f>
        <v>3.4</v>
      </c>
      <c r="G788" s="4" t="str">
        <f>HYPERLINK("http://141.218.60.56/~jnz1568/getInfo.php?workbook=18_08.xlsx&amp;sheet=U0&amp;row=788&amp;col=7&amp;number=0.0317&amp;sourceID=14","0.0317")</f>
        <v>0.0317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HYPERLINK("http://141.218.60.56/~jnz1568/getInfo.php?workbook=18_08.xlsx&amp;sheet=U0&amp;row=789&amp;col=6&amp;number=3.5&amp;sourceID=14","3.5")</f>
        <v>3.5</v>
      </c>
      <c r="G789" s="4" t="str">
        <f>HYPERLINK("http://141.218.60.56/~jnz1568/getInfo.php?workbook=18_08.xlsx&amp;sheet=U0&amp;row=789&amp;col=7&amp;number=0.0317&amp;sourceID=14","0.0317")</f>
        <v>0.0317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HYPERLINK("http://141.218.60.56/~jnz1568/getInfo.php?workbook=18_08.xlsx&amp;sheet=U0&amp;row=790&amp;col=6&amp;number=3.6&amp;sourceID=14","3.6")</f>
        <v>3.6</v>
      </c>
      <c r="G790" s="4" t="str">
        <f>HYPERLINK("http://141.218.60.56/~jnz1568/getInfo.php?workbook=18_08.xlsx&amp;sheet=U0&amp;row=790&amp;col=7&amp;number=0.0317&amp;sourceID=14","0.0317")</f>
        <v>0.0317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HYPERLINK("http://141.218.60.56/~jnz1568/getInfo.php?workbook=18_08.xlsx&amp;sheet=U0&amp;row=791&amp;col=6&amp;number=3.7&amp;sourceID=14","3.7")</f>
        <v>3.7</v>
      </c>
      <c r="G791" s="4" t="str">
        <f>HYPERLINK("http://141.218.60.56/~jnz1568/getInfo.php?workbook=18_08.xlsx&amp;sheet=U0&amp;row=791&amp;col=7&amp;number=0.0316&amp;sourceID=14","0.0316")</f>
        <v>0.0316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HYPERLINK("http://141.218.60.56/~jnz1568/getInfo.php?workbook=18_08.xlsx&amp;sheet=U0&amp;row=792&amp;col=6&amp;number=3.8&amp;sourceID=14","3.8")</f>
        <v>3.8</v>
      </c>
      <c r="G792" s="4" t="str">
        <f>HYPERLINK("http://141.218.60.56/~jnz1568/getInfo.php?workbook=18_08.xlsx&amp;sheet=U0&amp;row=792&amp;col=7&amp;number=0.0316&amp;sourceID=14","0.0316")</f>
        <v>0.0316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HYPERLINK("http://141.218.60.56/~jnz1568/getInfo.php?workbook=18_08.xlsx&amp;sheet=U0&amp;row=793&amp;col=6&amp;number=3.9&amp;sourceID=14","3.9")</f>
        <v>3.9</v>
      </c>
      <c r="G793" s="4" t="str">
        <f>HYPERLINK("http://141.218.60.56/~jnz1568/getInfo.php?workbook=18_08.xlsx&amp;sheet=U0&amp;row=793&amp;col=7&amp;number=0.0316&amp;sourceID=14","0.0316")</f>
        <v>0.0316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HYPERLINK("http://141.218.60.56/~jnz1568/getInfo.php?workbook=18_08.xlsx&amp;sheet=U0&amp;row=794&amp;col=6&amp;number=4&amp;sourceID=14","4")</f>
        <v>4</v>
      </c>
      <c r="G794" s="4" t="str">
        <f>HYPERLINK("http://141.218.60.56/~jnz1568/getInfo.php?workbook=18_08.xlsx&amp;sheet=U0&amp;row=794&amp;col=7&amp;number=0.0316&amp;sourceID=14","0.0316")</f>
        <v>0.0316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HYPERLINK("http://141.218.60.56/~jnz1568/getInfo.php?workbook=18_08.xlsx&amp;sheet=U0&amp;row=795&amp;col=6&amp;number=4.1&amp;sourceID=14","4.1")</f>
        <v>4.1</v>
      </c>
      <c r="G795" s="4" t="str">
        <f>HYPERLINK("http://141.218.60.56/~jnz1568/getInfo.php?workbook=18_08.xlsx&amp;sheet=U0&amp;row=795&amp;col=7&amp;number=0.0316&amp;sourceID=14","0.0316")</f>
        <v>0.0316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HYPERLINK("http://141.218.60.56/~jnz1568/getInfo.php?workbook=18_08.xlsx&amp;sheet=U0&amp;row=796&amp;col=6&amp;number=4.2&amp;sourceID=14","4.2")</f>
        <v>4.2</v>
      </c>
      <c r="G796" s="4" t="str">
        <f>HYPERLINK("http://141.218.60.56/~jnz1568/getInfo.php?workbook=18_08.xlsx&amp;sheet=U0&amp;row=796&amp;col=7&amp;number=0.0315&amp;sourceID=14","0.0315")</f>
        <v>0.0315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HYPERLINK("http://141.218.60.56/~jnz1568/getInfo.php?workbook=18_08.xlsx&amp;sheet=U0&amp;row=797&amp;col=6&amp;number=4.3&amp;sourceID=14","4.3")</f>
        <v>4.3</v>
      </c>
      <c r="G797" s="4" t="str">
        <f>HYPERLINK("http://141.218.60.56/~jnz1568/getInfo.php?workbook=18_08.xlsx&amp;sheet=U0&amp;row=797&amp;col=7&amp;number=0.0315&amp;sourceID=14","0.0315")</f>
        <v>0.0315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HYPERLINK("http://141.218.60.56/~jnz1568/getInfo.php?workbook=18_08.xlsx&amp;sheet=U0&amp;row=798&amp;col=6&amp;number=4.4&amp;sourceID=14","4.4")</f>
        <v>4.4</v>
      </c>
      <c r="G798" s="4" t="str">
        <f>HYPERLINK("http://141.218.60.56/~jnz1568/getInfo.php?workbook=18_08.xlsx&amp;sheet=U0&amp;row=798&amp;col=7&amp;number=0.0314&amp;sourceID=14","0.0314")</f>
        <v>0.0314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HYPERLINK("http://141.218.60.56/~jnz1568/getInfo.php?workbook=18_08.xlsx&amp;sheet=U0&amp;row=799&amp;col=6&amp;number=4.5&amp;sourceID=14","4.5")</f>
        <v>4.5</v>
      </c>
      <c r="G799" s="4" t="str">
        <f>HYPERLINK("http://141.218.60.56/~jnz1568/getInfo.php?workbook=18_08.xlsx&amp;sheet=U0&amp;row=799&amp;col=7&amp;number=0.0314&amp;sourceID=14","0.0314")</f>
        <v>0.0314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HYPERLINK("http://141.218.60.56/~jnz1568/getInfo.php?workbook=18_08.xlsx&amp;sheet=U0&amp;row=800&amp;col=6&amp;number=4.6&amp;sourceID=14","4.6")</f>
        <v>4.6</v>
      </c>
      <c r="G800" s="4" t="str">
        <f>HYPERLINK("http://141.218.60.56/~jnz1568/getInfo.php?workbook=18_08.xlsx&amp;sheet=U0&amp;row=800&amp;col=7&amp;number=0.0313&amp;sourceID=14","0.0313")</f>
        <v>0.0313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HYPERLINK("http://141.218.60.56/~jnz1568/getInfo.php?workbook=18_08.xlsx&amp;sheet=U0&amp;row=801&amp;col=6&amp;number=4.7&amp;sourceID=14","4.7")</f>
        <v>4.7</v>
      </c>
      <c r="G801" s="4" t="str">
        <f>HYPERLINK("http://141.218.60.56/~jnz1568/getInfo.php?workbook=18_08.xlsx&amp;sheet=U0&amp;row=801&amp;col=7&amp;number=0.0312&amp;sourceID=14","0.0312")</f>
        <v>0.0312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HYPERLINK("http://141.218.60.56/~jnz1568/getInfo.php?workbook=18_08.xlsx&amp;sheet=U0&amp;row=802&amp;col=6&amp;number=4.8&amp;sourceID=14","4.8")</f>
        <v>4.8</v>
      </c>
      <c r="G802" s="4" t="str">
        <f>HYPERLINK("http://141.218.60.56/~jnz1568/getInfo.php?workbook=18_08.xlsx&amp;sheet=U0&amp;row=802&amp;col=7&amp;number=0.031&amp;sourceID=14","0.031")</f>
        <v>0.031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HYPERLINK("http://141.218.60.56/~jnz1568/getInfo.php?workbook=18_08.xlsx&amp;sheet=U0&amp;row=803&amp;col=6&amp;number=4.9&amp;sourceID=14","4.9")</f>
        <v>4.9</v>
      </c>
      <c r="G803" s="4" t="str">
        <f>HYPERLINK("http://141.218.60.56/~jnz1568/getInfo.php?workbook=18_08.xlsx&amp;sheet=U0&amp;row=803&amp;col=7&amp;number=0.0309&amp;sourceID=14","0.0309")</f>
        <v>0.0309</v>
      </c>
    </row>
    <row r="804" spans="1:7">
      <c r="A804" s="3">
        <v>18</v>
      </c>
      <c r="B804" s="3">
        <v>8</v>
      </c>
      <c r="C804" s="3" t="s">
        <v>49</v>
      </c>
      <c r="D804" s="3">
        <v>2</v>
      </c>
      <c r="E804" s="3">
        <v>1</v>
      </c>
      <c r="F804" s="4" t="str">
        <f>HYPERLINK("http://141.218.60.56/~jnz1568/getInfo.php?workbook=18_08.xlsx&amp;sheet=U0&amp;row=804&amp;col=6&amp;number=3&amp;sourceID=14","3")</f>
        <v>3</v>
      </c>
      <c r="G804" s="4" t="str">
        <f>HYPERLINK("http://141.218.60.56/~jnz1568/getInfo.php?workbook=18_08.xlsx&amp;sheet=U0&amp;row=804&amp;col=7&amp;number=0.0478&amp;sourceID=14","0.0478")</f>
        <v>0.0478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HYPERLINK("http://141.218.60.56/~jnz1568/getInfo.php?workbook=18_08.xlsx&amp;sheet=U0&amp;row=805&amp;col=6&amp;number=3.1&amp;sourceID=14","3.1")</f>
        <v>3.1</v>
      </c>
      <c r="G805" s="4" t="str">
        <f>HYPERLINK("http://141.218.60.56/~jnz1568/getInfo.php?workbook=18_08.xlsx&amp;sheet=U0&amp;row=805&amp;col=7&amp;number=0.0478&amp;sourceID=14","0.0478")</f>
        <v>0.0478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HYPERLINK("http://141.218.60.56/~jnz1568/getInfo.php?workbook=18_08.xlsx&amp;sheet=U0&amp;row=806&amp;col=6&amp;number=3.2&amp;sourceID=14","3.2")</f>
        <v>3.2</v>
      </c>
      <c r="G806" s="4" t="str">
        <f>HYPERLINK("http://141.218.60.56/~jnz1568/getInfo.php?workbook=18_08.xlsx&amp;sheet=U0&amp;row=806&amp;col=7&amp;number=0.0478&amp;sourceID=14","0.0478")</f>
        <v>0.0478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HYPERLINK("http://141.218.60.56/~jnz1568/getInfo.php?workbook=18_08.xlsx&amp;sheet=U0&amp;row=807&amp;col=6&amp;number=3.3&amp;sourceID=14","3.3")</f>
        <v>3.3</v>
      </c>
      <c r="G807" s="4" t="str">
        <f>HYPERLINK("http://141.218.60.56/~jnz1568/getInfo.php?workbook=18_08.xlsx&amp;sheet=U0&amp;row=807&amp;col=7&amp;number=0.0478&amp;sourceID=14","0.0478")</f>
        <v>0.0478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HYPERLINK("http://141.218.60.56/~jnz1568/getInfo.php?workbook=18_08.xlsx&amp;sheet=U0&amp;row=808&amp;col=6&amp;number=3.4&amp;sourceID=14","3.4")</f>
        <v>3.4</v>
      </c>
      <c r="G808" s="4" t="str">
        <f>HYPERLINK("http://141.218.60.56/~jnz1568/getInfo.php?workbook=18_08.xlsx&amp;sheet=U0&amp;row=808&amp;col=7&amp;number=0.0478&amp;sourceID=14","0.0478")</f>
        <v>0.0478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HYPERLINK("http://141.218.60.56/~jnz1568/getInfo.php?workbook=18_08.xlsx&amp;sheet=U0&amp;row=809&amp;col=6&amp;number=3.5&amp;sourceID=14","3.5")</f>
        <v>3.5</v>
      </c>
      <c r="G809" s="4" t="str">
        <f>HYPERLINK("http://141.218.60.56/~jnz1568/getInfo.php?workbook=18_08.xlsx&amp;sheet=U0&amp;row=809&amp;col=7&amp;number=0.0478&amp;sourceID=14","0.0478")</f>
        <v>0.0478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HYPERLINK("http://141.218.60.56/~jnz1568/getInfo.php?workbook=18_08.xlsx&amp;sheet=U0&amp;row=810&amp;col=6&amp;number=3.6&amp;sourceID=14","3.6")</f>
        <v>3.6</v>
      </c>
      <c r="G810" s="4" t="str">
        <f>HYPERLINK("http://141.218.60.56/~jnz1568/getInfo.php?workbook=18_08.xlsx&amp;sheet=U0&amp;row=810&amp;col=7&amp;number=0.0478&amp;sourceID=14","0.0478")</f>
        <v>0.0478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HYPERLINK("http://141.218.60.56/~jnz1568/getInfo.php?workbook=18_08.xlsx&amp;sheet=U0&amp;row=811&amp;col=6&amp;number=3.7&amp;sourceID=14","3.7")</f>
        <v>3.7</v>
      </c>
      <c r="G811" s="4" t="str">
        <f>HYPERLINK("http://141.218.60.56/~jnz1568/getInfo.php?workbook=18_08.xlsx&amp;sheet=U0&amp;row=811&amp;col=7&amp;number=0.0478&amp;sourceID=14","0.0478")</f>
        <v>0.0478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HYPERLINK("http://141.218.60.56/~jnz1568/getInfo.php?workbook=18_08.xlsx&amp;sheet=U0&amp;row=812&amp;col=6&amp;number=3.8&amp;sourceID=14","3.8")</f>
        <v>3.8</v>
      </c>
      <c r="G812" s="4" t="str">
        <f>HYPERLINK("http://141.218.60.56/~jnz1568/getInfo.php?workbook=18_08.xlsx&amp;sheet=U0&amp;row=812&amp;col=7&amp;number=0.0477&amp;sourceID=14","0.0477")</f>
        <v>0.0477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HYPERLINK("http://141.218.60.56/~jnz1568/getInfo.php?workbook=18_08.xlsx&amp;sheet=U0&amp;row=813&amp;col=6&amp;number=3.9&amp;sourceID=14","3.9")</f>
        <v>3.9</v>
      </c>
      <c r="G813" s="4" t="str">
        <f>HYPERLINK("http://141.218.60.56/~jnz1568/getInfo.php?workbook=18_08.xlsx&amp;sheet=U0&amp;row=813&amp;col=7&amp;number=0.0477&amp;sourceID=14","0.0477")</f>
        <v>0.0477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HYPERLINK("http://141.218.60.56/~jnz1568/getInfo.php?workbook=18_08.xlsx&amp;sheet=U0&amp;row=814&amp;col=6&amp;number=4&amp;sourceID=14","4")</f>
        <v>4</v>
      </c>
      <c r="G814" s="4" t="str">
        <f>HYPERLINK("http://141.218.60.56/~jnz1568/getInfo.php?workbook=18_08.xlsx&amp;sheet=U0&amp;row=814&amp;col=7&amp;number=0.0477&amp;sourceID=14","0.0477")</f>
        <v>0.0477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HYPERLINK("http://141.218.60.56/~jnz1568/getInfo.php?workbook=18_08.xlsx&amp;sheet=U0&amp;row=815&amp;col=6&amp;number=4.1&amp;sourceID=14","4.1")</f>
        <v>4.1</v>
      </c>
      <c r="G815" s="4" t="str">
        <f>HYPERLINK("http://141.218.60.56/~jnz1568/getInfo.php?workbook=18_08.xlsx&amp;sheet=U0&amp;row=815&amp;col=7&amp;number=0.0476&amp;sourceID=14","0.0476")</f>
        <v>0.0476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HYPERLINK("http://141.218.60.56/~jnz1568/getInfo.php?workbook=18_08.xlsx&amp;sheet=U0&amp;row=816&amp;col=6&amp;number=4.2&amp;sourceID=14","4.2")</f>
        <v>4.2</v>
      </c>
      <c r="G816" s="4" t="str">
        <f>HYPERLINK("http://141.218.60.56/~jnz1568/getInfo.php?workbook=18_08.xlsx&amp;sheet=U0&amp;row=816&amp;col=7&amp;number=0.0476&amp;sourceID=14","0.0476")</f>
        <v>0.0476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HYPERLINK("http://141.218.60.56/~jnz1568/getInfo.php?workbook=18_08.xlsx&amp;sheet=U0&amp;row=817&amp;col=6&amp;number=4.3&amp;sourceID=14","4.3")</f>
        <v>4.3</v>
      </c>
      <c r="G817" s="4" t="str">
        <f>HYPERLINK("http://141.218.60.56/~jnz1568/getInfo.php?workbook=18_08.xlsx&amp;sheet=U0&amp;row=817&amp;col=7&amp;number=0.0475&amp;sourceID=14","0.0475")</f>
        <v>0.0475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HYPERLINK("http://141.218.60.56/~jnz1568/getInfo.php?workbook=18_08.xlsx&amp;sheet=U0&amp;row=818&amp;col=6&amp;number=4.4&amp;sourceID=14","4.4")</f>
        <v>4.4</v>
      </c>
      <c r="G818" s="4" t="str">
        <f>HYPERLINK("http://141.218.60.56/~jnz1568/getInfo.php?workbook=18_08.xlsx&amp;sheet=U0&amp;row=818&amp;col=7&amp;number=0.0474&amp;sourceID=14","0.0474")</f>
        <v>0.0474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HYPERLINK("http://141.218.60.56/~jnz1568/getInfo.php?workbook=18_08.xlsx&amp;sheet=U0&amp;row=819&amp;col=6&amp;number=4.5&amp;sourceID=14","4.5")</f>
        <v>4.5</v>
      </c>
      <c r="G819" s="4" t="str">
        <f>HYPERLINK("http://141.218.60.56/~jnz1568/getInfo.php?workbook=18_08.xlsx&amp;sheet=U0&amp;row=819&amp;col=7&amp;number=0.0473&amp;sourceID=14","0.0473")</f>
        <v>0.0473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HYPERLINK("http://141.218.60.56/~jnz1568/getInfo.php?workbook=18_08.xlsx&amp;sheet=U0&amp;row=820&amp;col=6&amp;number=4.6&amp;sourceID=14","4.6")</f>
        <v>4.6</v>
      </c>
      <c r="G820" s="4" t="str">
        <f>HYPERLINK("http://141.218.60.56/~jnz1568/getInfo.php?workbook=18_08.xlsx&amp;sheet=U0&amp;row=820&amp;col=7&amp;number=0.0472&amp;sourceID=14","0.0472")</f>
        <v>0.0472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HYPERLINK("http://141.218.60.56/~jnz1568/getInfo.php?workbook=18_08.xlsx&amp;sheet=U0&amp;row=821&amp;col=6&amp;number=4.7&amp;sourceID=14","4.7")</f>
        <v>4.7</v>
      </c>
      <c r="G821" s="4" t="str">
        <f>HYPERLINK("http://141.218.60.56/~jnz1568/getInfo.php?workbook=18_08.xlsx&amp;sheet=U0&amp;row=821&amp;col=7&amp;number=0.0471&amp;sourceID=14","0.0471")</f>
        <v>0.0471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HYPERLINK("http://141.218.60.56/~jnz1568/getInfo.php?workbook=18_08.xlsx&amp;sheet=U0&amp;row=822&amp;col=6&amp;number=4.8&amp;sourceID=14","4.8")</f>
        <v>4.8</v>
      </c>
      <c r="G822" s="4" t="str">
        <f>HYPERLINK("http://141.218.60.56/~jnz1568/getInfo.php?workbook=18_08.xlsx&amp;sheet=U0&amp;row=822&amp;col=7&amp;number=0.0469&amp;sourceID=14","0.0469")</f>
        <v>0.0469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HYPERLINK("http://141.218.60.56/~jnz1568/getInfo.php?workbook=18_08.xlsx&amp;sheet=U0&amp;row=823&amp;col=6&amp;number=4.9&amp;sourceID=14","4.9")</f>
        <v>4.9</v>
      </c>
      <c r="G823" s="4" t="str">
        <f>HYPERLINK("http://141.218.60.56/~jnz1568/getInfo.php?workbook=18_08.xlsx&amp;sheet=U0&amp;row=823&amp;col=7&amp;number=0.0466&amp;sourceID=14","0.0466")</f>
        <v>0.0466</v>
      </c>
    </row>
    <row r="824" spans="1:7">
      <c r="A824" s="3">
        <v>18</v>
      </c>
      <c r="B824" s="3">
        <v>8</v>
      </c>
      <c r="C824" s="3" t="s">
        <v>49</v>
      </c>
      <c r="D824" s="3">
        <v>3</v>
      </c>
      <c r="E824" s="3">
        <v>1</v>
      </c>
      <c r="F824" s="4" t="str">
        <f>HYPERLINK("http://141.218.60.56/~jnz1568/getInfo.php?workbook=18_08.xlsx&amp;sheet=U0&amp;row=824&amp;col=6&amp;number=3&amp;sourceID=14","3")</f>
        <v>3</v>
      </c>
      <c r="G824" s="4" t="str">
        <f>HYPERLINK("http://141.218.60.56/~jnz1568/getInfo.php?workbook=18_08.xlsx&amp;sheet=U0&amp;row=824&amp;col=7&amp;number=0.0342&amp;sourceID=14","0.0342")</f>
        <v>0.0342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HYPERLINK("http://141.218.60.56/~jnz1568/getInfo.php?workbook=18_08.xlsx&amp;sheet=U0&amp;row=825&amp;col=6&amp;number=3.1&amp;sourceID=14","3.1")</f>
        <v>3.1</v>
      </c>
      <c r="G825" s="4" t="str">
        <f>HYPERLINK("http://141.218.60.56/~jnz1568/getInfo.php?workbook=18_08.xlsx&amp;sheet=U0&amp;row=825&amp;col=7&amp;number=0.0342&amp;sourceID=14","0.0342")</f>
        <v>0.0342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HYPERLINK("http://141.218.60.56/~jnz1568/getInfo.php?workbook=18_08.xlsx&amp;sheet=U0&amp;row=826&amp;col=6&amp;number=3.2&amp;sourceID=14","3.2")</f>
        <v>3.2</v>
      </c>
      <c r="G826" s="4" t="str">
        <f>HYPERLINK("http://141.218.60.56/~jnz1568/getInfo.php?workbook=18_08.xlsx&amp;sheet=U0&amp;row=826&amp;col=7&amp;number=0.0342&amp;sourceID=14","0.0342")</f>
        <v>0.0342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HYPERLINK("http://141.218.60.56/~jnz1568/getInfo.php?workbook=18_08.xlsx&amp;sheet=U0&amp;row=827&amp;col=6&amp;number=3.3&amp;sourceID=14","3.3")</f>
        <v>3.3</v>
      </c>
      <c r="G827" s="4" t="str">
        <f>HYPERLINK("http://141.218.60.56/~jnz1568/getInfo.php?workbook=18_08.xlsx&amp;sheet=U0&amp;row=827&amp;col=7&amp;number=0.0342&amp;sourceID=14","0.0342")</f>
        <v>0.0342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HYPERLINK("http://141.218.60.56/~jnz1568/getInfo.php?workbook=18_08.xlsx&amp;sheet=U0&amp;row=828&amp;col=6&amp;number=3.4&amp;sourceID=14","3.4")</f>
        <v>3.4</v>
      </c>
      <c r="G828" s="4" t="str">
        <f>HYPERLINK("http://141.218.60.56/~jnz1568/getInfo.php?workbook=18_08.xlsx&amp;sheet=U0&amp;row=828&amp;col=7&amp;number=0.0342&amp;sourceID=14","0.0342")</f>
        <v>0.0342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HYPERLINK("http://141.218.60.56/~jnz1568/getInfo.php?workbook=18_08.xlsx&amp;sheet=U0&amp;row=829&amp;col=6&amp;number=3.5&amp;sourceID=14","3.5")</f>
        <v>3.5</v>
      </c>
      <c r="G829" s="4" t="str">
        <f>HYPERLINK("http://141.218.60.56/~jnz1568/getInfo.php?workbook=18_08.xlsx&amp;sheet=U0&amp;row=829&amp;col=7&amp;number=0.0342&amp;sourceID=14","0.0342")</f>
        <v>0.0342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HYPERLINK("http://141.218.60.56/~jnz1568/getInfo.php?workbook=18_08.xlsx&amp;sheet=U0&amp;row=830&amp;col=6&amp;number=3.6&amp;sourceID=14","3.6")</f>
        <v>3.6</v>
      </c>
      <c r="G830" s="4" t="str">
        <f>HYPERLINK("http://141.218.60.56/~jnz1568/getInfo.php?workbook=18_08.xlsx&amp;sheet=U0&amp;row=830&amp;col=7&amp;number=0.0342&amp;sourceID=14","0.0342")</f>
        <v>0.0342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HYPERLINK("http://141.218.60.56/~jnz1568/getInfo.php?workbook=18_08.xlsx&amp;sheet=U0&amp;row=831&amp;col=6&amp;number=3.7&amp;sourceID=14","3.7")</f>
        <v>3.7</v>
      </c>
      <c r="G831" s="4" t="str">
        <f>HYPERLINK("http://141.218.60.56/~jnz1568/getInfo.php?workbook=18_08.xlsx&amp;sheet=U0&amp;row=831&amp;col=7&amp;number=0.0342&amp;sourceID=14","0.0342")</f>
        <v>0.0342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HYPERLINK("http://141.218.60.56/~jnz1568/getInfo.php?workbook=18_08.xlsx&amp;sheet=U0&amp;row=832&amp;col=6&amp;number=3.8&amp;sourceID=14","3.8")</f>
        <v>3.8</v>
      </c>
      <c r="G832" s="4" t="str">
        <f>HYPERLINK("http://141.218.60.56/~jnz1568/getInfo.php?workbook=18_08.xlsx&amp;sheet=U0&amp;row=832&amp;col=7&amp;number=0.0342&amp;sourceID=14","0.0342")</f>
        <v>0.0342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HYPERLINK("http://141.218.60.56/~jnz1568/getInfo.php?workbook=18_08.xlsx&amp;sheet=U0&amp;row=833&amp;col=6&amp;number=3.9&amp;sourceID=14","3.9")</f>
        <v>3.9</v>
      </c>
      <c r="G833" s="4" t="str">
        <f>HYPERLINK("http://141.218.60.56/~jnz1568/getInfo.php?workbook=18_08.xlsx&amp;sheet=U0&amp;row=833&amp;col=7&amp;number=0.0342&amp;sourceID=14","0.0342")</f>
        <v>0.0342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HYPERLINK("http://141.218.60.56/~jnz1568/getInfo.php?workbook=18_08.xlsx&amp;sheet=U0&amp;row=834&amp;col=6&amp;number=4&amp;sourceID=14","4")</f>
        <v>4</v>
      </c>
      <c r="G834" s="4" t="str">
        <f>HYPERLINK("http://141.218.60.56/~jnz1568/getInfo.php?workbook=18_08.xlsx&amp;sheet=U0&amp;row=834&amp;col=7&amp;number=0.0342&amp;sourceID=14","0.0342")</f>
        <v>0.0342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HYPERLINK("http://141.218.60.56/~jnz1568/getInfo.php?workbook=18_08.xlsx&amp;sheet=U0&amp;row=835&amp;col=6&amp;number=4.1&amp;sourceID=14","4.1")</f>
        <v>4.1</v>
      </c>
      <c r="G835" s="4" t="str">
        <f>HYPERLINK("http://141.218.60.56/~jnz1568/getInfo.php?workbook=18_08.xlsx&amp;sheet=U0&amp;row=835&amp;col=7&amp;number=0.0342&amp;sourceID=14","0.0342")</f>
        <v>0.0342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HYPERLINK("http://141.218.60.56/~jnz1568/getInfo.php?workbook=18_08.xlsx&amp;sheet=U0&amp;row=836&amp;col=6&amp;number=4.2&amp;sourceID=14","4.2")</f>
        <v>4.2</v>
      </c>
      <c r="G836" s="4" t="str">
        <f>HYPERLINK("http://141.218.60.56/~jnz1568/getInfo.php?workbook=18_08.xlsx&amp;sheet=U0&amp;row=836&amp;col=7&amp;number=0.0342&amp;sourceID=14","0.0342")</f>
        <v>0.0342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HYPERLINK("http://141.218.60.56/~jnz1568/getInfo.php?workbook=18_08.xlsx&amp;sheet=U0&amp;row=837&amp;col=6&amp;number=4.3&amp;sourceID=14","4.3")</f>
        <v>4.3</v>
      </c>
      <c r="G837" s="4" t="str">
        <f>HYPERLINK("http://141.218.60.56/~jnz1568/getInfo.php?workbook=18_08.xlsx&amp;sheet=U0&amp;row=837&amp;col=7&amp;number=0.0342&amp;sourceID=14","0.0342")</f>
        <v>0.0342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HYPERLINK("http://141.218.60.56/~jnz1568/getInfo.php?workbook=18_08.xlsx&amp;sheet=U0&amp;row=838&amp;col=6&amp;number=4.4&amp;sourceID=14","4.4")</f>
        <v>4.4</v>
      </c>
      <c r="G838" s="4" t="str">
        <f>HYPERLINK("http://141.218.60.56/~jnz1568/getInfo.php?workbook=18_08.xlsx&amp;sheet=U0&amp;row=838&amp;col=7&amp;number=0.0342&amp;sourceID=14","0.0342")</f>
        <v>0.0342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HYPERLINK("http://141.218.60.56/~jnz1568/getInfo.php?workbook=18_08.xlsx&amp;sheet=U0&amp;row=839&amp;col=6&amp;number=4.5&amp;sourceID=14","4.5")</f>
        <v>4.5</v>
      </c>
      <c r="G839" s="4" t="str">
        <f>HYPERLINK("http://141.218.60.56/~jnz1568/getInfo.php?workbook=18_08.xlsx&amp;sheet=U0&amp;row=839&amp;col=7&amp;number=0.0342&amp;sourceID=14","0.0342")</f>
        <v>0.0342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HYPERLINK("http://141.218.60.56/~jnz1568/getInfo.php?workbook=18_08.xlsx&amp;sheet=U0&amp;row=840&amp;col=6&amp;number=4.6&amp;sourceID=14","4.6")</f>
        <v>4.6</v>
      </c>
      <c r="G840" s="4" t="str">
        <f>HYPERLINK("http://141.218.60.56/~jnz1568/getInfo.php?workbook=18_08.xlsx&amp;sheet=U0&amp;row=840&amp;col=7&amp;number=0.0342&amp;sourceID=14","0.0342")</f>
        <v>0.0342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HYPERLINK("http://141.218.60.56/~jnz1568/getInfo.php?workbook=18_08.xlsx&amp;sheet=U0&amp;row=841&amp;col=6&amp;number=4.7&amp;sourceID=14","4.7")</f>
        <v>4.7</v>
      </c>
      <c r="G841" s="4" t="str">
        <f>HYPERLINK("http://141.218.60.56/~jnz1568/getInfo.php?workbook=18_08.xlsx&amp;sheet=U0&amp;row=841&amp;col=7&amp;number=0.0342&amp;sourceID=14","0.0342")</f>
        <v>0.0342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HYPERLINK("http://141.218.60.56/~jnz1568/getInfo.php?workbook=18_08.xlsx&amp;sheet=U0&amp;row=842&amp;col=6&amp;number=4.8&amp;sourceID=14","4.8")</f>
        <v>4.8</v>
      </c>
      <c r="G842" s="4" t="str">
        <f>HYPERLINK("http://141.218.60.56/~jnz1568/getInfo.php?workbook=18_08.xlsx&amp;sheet=U0&amp;row=842&amp;col=7&amp;number=0.0342&amp;sourceID=14","0.0342")</f>
        <v>0.0342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HYPERLINK("http://141.218.60.56/~jnz1568/getInfo.php?workbook=18_08.xlsx&amp;sheet=U0&amp;row=843&amp;col=6&amp;number=4.9&amp;sourceID=14","4.9")</f>
        <v>4.9</v>
      </c>
      <c r="G843" s="4" t="str">
        <f>HYPERLINK("http://141.218.60.56/~jnz1568/getInfo.php?workbook=18_08.xlsx&amp;sheet=U0&amp;row=843&amp;col=7&amp;number=0.0343&amp;sourceID=14","0.0343")</f>
        <v>0.0343</v>
      </c>
    </row>
    <row r="844" spans="1:7">
      <c r="A844" s="3">
        <v>18</v>
      </c>
      <c r="B844" s="3">
        <v>8</v>
      </c>
      <c r="C844" s="3" t="s">
        <v>49</v>
      </c>
      <c r="D844" s="3">
        <v>4</v>
      </c>
      <c r="E844" s="3">
        <v>1</v>
      </c>
      <c r="F844" s="4" t="str">
        <f>HYPERLINK("http://141.218.60.56/~jnz1568/getInfo.php?workbook=18_08.xlsx&amp;sheet=U0&amp;row=844&amp;col=6&amp;number=3&amp;sourceID=14","3")</f>
        <v>3</v>
      </c>
      <c r="G844" s="4" t="str">
        <f>HYPERLINK("http://141.218.60.56/~jnz1568/getInfo.php?workbook=18_08.xlsx&amp;sheet=U0&amp;row=844&amp;col=7&amp;number=0.00137&amp;sourceID=14","0.00137")</f>
        <v>0.00137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HYPERLINK("http://141.218.60.56/~jnz1568/getInfo.php?workbook=18_08.xlsx&amp;sheet=U0&amp;row=845&amp;col=6&amp;number=3.1&amp;sourceID=14","3.1")</f>
        <v>3.1</v>
      </c>
      <c r="G845" s="4" t="str">
        <f>HYPERLINK("http://141.218.60.56/~jnz1568/getInfo.php?workbook=18_08.xlsx&amp;sheet=U0&amp;row=845&amp;col=7&amp;number=0.00137&amp;sourceID=14","0.00137")</f>
        <v>0.00137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HYPERLINK("http://141.218.60.56/~jnz1568/getInfo.php?workbook=18_08.xlsx&amp;sheet=U0&amp;row=846&amp;col=6&amp;number=3.2&amp;sourceID=14","3.2")</f>
        <v>3.2</v>
      </c>
      <c r="G846" s="4" t="str">
        <f>HYPERLINK("http://141.218.60.56/~jnz1568/getInfo.php?workbook=18_08.xlsx&amp;sheet=U0&amp;row=846&amp;col=7&amp;number=0.00137&amp;sourceID=14","0.00137")</f>
        <v>0.00137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HYPERLINK("http://141.218.60.56/~jnz1568/getInfo.php?workbook=18_08.xlsx&amp;sheet=U0&amp;row=847&amp;col=6&amp;number=3.3&amp;sourceID=14","3.3")</f>
        <v>3.3</v>
      </c>
      <c r="G847" s="4" t="str">
        <f>HYPERLINK("http://141.218.60.56/~jnz1568/getInfo.php?workbook=18_08.xlsx&amp;sheet=U0&amp;row=847&amp;col=7&amp;number=0.00137&amp;sourceID=14","0.00137")</f>
        <v>0.00137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HYPERLINK("http://141.218.60.56/~jnz1568/getInfo.php?workbook=18_08.xlsx&amp;sheet=U0&amp;row=848&amp;col=6&amp;number=3.4&amp;sourceID=14","3.4")</f>
        <v>3.4</v>
      </c>
      <c r="G848" s="4" t="str">
        <f>HYPERLINK("http://141.218.60.56/~jnz1568/getInfo.php?workbook=18_08.xlsx&amp;sheet=U0&amp;row=848&amp;col=7&amp;number=0.00137&amp;sourceID=14","0.00137")</f>
        <v>0.00137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HYPERLINK("http://141.218.60.56/~jnz1568/getInfo.php?workbook=18_08.xlsx&amp;sheet=U0&amp;row=849&amp;col=6&amp;number=3.5&amp;sourceID=14","3.5")</f>
        <v>3.5</v>
      </c>
      <c r="G849" s="4" t="str">
        <f>HYPERLINK("http://141.218.60.56/~jnz1568/getInfo.php?workbook=18_08.xlsx&amp;sheet=U0&amp;row=849&amp;col=7&amp;number=0.00137&amp;sourceID=14","0.00137")</f>
        <v>0.00137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HYPERLINK("http://141.218.60.56/~jnz1568/getInfo.php?workbook=18_08.xlsx&amp;sheet=U0&amp;row=850&amp;col=6&amp;number=3.6&amp;sourceID=14","3.6")</f>
        <v>3.6</v>
      </c>
      <c r="G850" s="4" t="str">
        <f>HYPERLINK("http://141.218.60.56/~jnz1568/getInfo.php?workbook=18_08.xlsx&amp;sheet=U0&amp;row=850&amp;col=7&amp;number=0.00137&amp;sourceID=14","0.00137")</f>
        <v>0.00137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HYPERLINK("http://141.218.60.56/~jnz1568/getInfo.php?workbook=18_08.xlsx&amp;sheet=U0&amp;row=851&amp;col=6&amp;number=3.7&amp;sourceID=14","3.7")</f>
        <v>3.7</v>
      </c>
      <c r="G851" s="4" t="str">
        <f>HYPERLINK("http://141.218.60.56/~jnz1568/getInfo.php?workbook=18_08.xlsx&amp;sheet=U0&amp;row=851&amp;col=7&amp;number=0.00137&amp;sourceID=14","0.00137")</f>
        <v>0.00137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HYPERLINK("http://141.218.60.56/~jnz1568/getInfo.php?workbook=18_08.xlsx&amp;sheet=U0&amp;row=852&amp;col=6&amp;number=3.8&amp;sourceID=14","3.8")</f>
        <v>3.8</v>
      </c>
      <c r="G852" s="4" t="str">
        <f>HYPERLINK("http://141.218.60.56/~jnz1568/getInfo.php?workbook=18_08.xlsx&amp;sheet=U0&amp;row=852&amp;col=7&amp;number=0.00137&amp;sourceID=14","0.00137")</f>
        <v>0.00137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HYPERLINK("http://141.218.60.56/~jnz1568/getInfo.php?workbook=18_08.xlsx&amp;sheet=U0&amp;row=853&amp;col=6&amp;number=3.9&amp;sourceID=14","3.9")</f>
        <v>3.9</v>
      </c>
      <c r="G853" s="4" t="str">
        <f>HYPERLINK("http://141.218.60.56/~jnz1568/getInfo.php?workbook=18_08.xlsx&amp;sheet=U0&amp;row=853&amp;col=7&amp;number=0.00137&amp;sourceID=14","0.00137")</f>
        <v>0.00137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HYPERLINK("http://141.218.60.56/~jnz1568/getInfo.php?workbook=18_08.xlsx&amp;sheet=U0&amp;row=854&amp;col=6&amp;number=4&amp;sourceID=14","4")</f>
        <v>4</v>
      </c>
      <c r="G854" s="4" t="str">
        <f>HYPERLINK("http://141.218.60.56/~jnz1568/getInfo.php?workbook=18_08.xlsx&amp;sheet=U0&amp;row=854&amp;col=7&amp;number=0.00137&amp;sourceID=14","0.00137")</f>
        <v>0.00137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HYPERLINK("http://141.218.60.56/~jnz1568/getInfo.php?workbook=18_08.xlsx&amp;sheet=U0&amp;row=855&amp;col=6&amp;number=4.1&amp;sourceID=14","4.1")</f>
        <v>4.1</v>
      </c>
      <c r="G855" s="4" t="str">
        <f>HYPERLINK("http://141.218.60.56/~jnz1568/getInfo.php?workbook=18_08.xlsx&amp;sheet=U0&amp;row=855&amp;col=7&amp;number=0.00137&amp;sourceID=14","0.00137")</f>
        <v>0.00137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HYPERLINK("http://141.218.60.56/~jnz1568/getInfo.php?workbook=18_08.xlsx&amp;sheet=U0&amp;row=856&amp;col=6&amp;number=4.2&amp;sourceID=14","4.2")</f>
        <v>4.2</v>
      </c>
      <c r="G856" s="4" t="str">
        <f>HYPERLINK("http://141.218.60.56/~jnz1568/getInfo.php?workbook=18_08.xlsx&amp;sheet=U0&amp;row=856&amp;col=7&amp;number=0.00137&amp;sourceID=14","0.00137")</f>
        <v>0.00137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HYPERLINK("http://141.218.60.56/~jnz1568/getInfo.php?workbook=18_08.xlsx&amp;sheet=U0&amp;row=857&amp;col=6&amp;number=4.3&amp;sourceID=14","4.3")</f>
        <v>4.3</v>
      </c>
      <c r="G857" s="4" t="str">
        <f>HYPERLINK("http://141.218.60.56/~jnz1568/getInfo.php?workbook=18_08.xlsx&amp;sheet=U0&amp;row=857&amp;col=7&amp;number=0.00137&amp;sourceID=14","0.00137")</f>
        <v>0.00137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HYPERLINK("http://141.218.60.56/~jnz1568/getInfo.php?workbook=18_08.xlsx&amp;sheet=U0&amp;row=858&amp;col=6&amp;number=4.4&amp;sourceID=14","4.4")</f>
        <v>4.4</v>
      </c>
      <c r="G858" s="4" t="str">
        <f>HYPERLINK("http://141.218.60.56/~jnz1568/getInfo.php?workbook=18_08.xlsx&amp;sheet=U0&amp;row=858&amp;col=7&amp;number=0.00136&amp;sourceID=14","0.00136")</f>
        <v>0.00136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HYPERLINK("http://141.218.60.56/~jnz1568/getInfo.php?workbook=18_08.xlsx&amp;sheet=U0&amp;row=859&amp;col=6&amp;number=4.5&amp;sourceID=14","4.5")</f>
        <v>4.5</v>
      </c>
      <c r="G859" s="4" t="str">
        <f>HYPERLINK("http://141.218.60.56/~jnz1568/getInfo.php?workbook=18_08.xlsx&amp;sheet=U0&amp;row=859&amp;col=7&amp;number=0.00136&amp;sourceID=14","0.00136")</f>
        <v>0.00136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HYPERLINK("http://141.218.60.56/~jnz1568/getInfo.php?workbook=18_08.xlsx&amp;sheet=U0&amp;row=860&amp;col=6&amp;number=4.6&amp;sourceID=14","4.6")</f>
        <v>4.6</v>
      </c>
      <c r="G860" s="4" t="str">
        <f>HYPERLINK("http://141.218.60.56/~jnz1568/getInfo.php?workbook=18_08.xlsx&amp;sheet=U0&amp;row=860&amp;col=7&amp;number=0.00136&amp;sourceID=14","0.00136")</f>
        <v>0.00136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HYPERLINK("http://141.218.60.56/~jnz1568/getInfo.php?workbook=18_08.xlsx&amp;sheet=U0&amp;row=861&amp;col=6&amp;number=4.7&amp;sourceID=14","4.7")</f>
        <v>4.7</v>
      </c>
      <c r="G861" s="4" t="str">
        <f>HYPERLINK("http://141.218.60.56/~jnz1568/getInfo.php?workbook=18_08.xlsx&amp;sheet=U0&amp;row=861&amp;col=7&amp;number=0.00136&amp;sourceID=14","0.00136")</f>
        <v>0.00136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HYPERLINK("http://141.218.60.56/~jnz1568/getInfo.php?workbook=18_08.xlsx&amp;sheet=U0&amp;row=862&amp;col=6&amp;number=4.8&amp;sourceID=14","4.8")</f>
        <v>4.8</v>
      </c>
      <c r="G862" s="4" t="str">
        <f>HYPERLINK("http://141.218.60.56/~jnz1568/getInfo.php?workbook=18_08.xlsx&amp;sheet=U0&amp;row=862&amp;col=7&amp;number=0.00136&amp;sourceID=14","0.00136")</f>
        <v>0.00136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HYPERLINK("http://141.218.60.56/~jnz1568/getInfo.php?workbook=18_08.xlsx&amp;sheet=U0&amp;row=863&amp;col=6&amp;number=4.9&amp;sourceID=14","4.9")</f>
        <v>4.9</v>
      </c>
      <c r="G863" s="4" t="str">
        <f>HYPERLINK("http://141.218.60.56/~jnz1568/getInfo.php?workbook=18_08.xlsx&amp;sheet=U0&amp;row=863&amp;col=7&amp;number=0.00136&amp;sourceID=14","0.00136")</f>
        <v>0.00136</v>
      </c>
    </row>
    <row r="864" spans="1:7">
      <c r="A864" s="3">
        <v>18</v>
      </c>
      <c r="B864" s="3">
        <v>8</v>
      </c>
      <c r="C864" s="3" t="s">
        <v>49</v>
      </c>
      <c r="D864" s="3">
        <v>5</v>
      </c>
      <c r="E864" s="3">
        <v>1</v>
      </c>
      <c r="F864" s="4" t="str">
        <f>HYPERLINK("http://141.218.60.56/~jnz1568/getInfo.php?workbook=18_08.xlsx&amp;sheet=U0&amp;row=864&amp;col=6&amp;number=3&amp;sourceID=14","3")</f>
        <v>3</v>
      </c>
      <c r="G864" s="4" t="str">
        <f>HYPERLINK("http://141.218.60.56/~jnz1568/getInfo.php?workbook=18_08.xlsx&amp;sheet=U0&amp;row=864&amp;col=7&amp;number=0.00136&amp;sourceID=14","0.00136")</f>
        <v>0.00136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HYPERLINK("http://141.218.60.56/~jnz1568/getInfo.php?workbook=18_08.xlsx&amp;sheet=U0&amp;row=865&amp;col=6&amp;number=3.1&amp;sourceID=14","3.1")</f>
        <v>3.1</v>
      </c>
      <c r="G865" s="4" t="str">
        <f>HYPERLINK("http://141.218.60.56/~jnz1568/getInfo.php?workbook=18_08.xlsx&amp;sheet=U0&amp;row=865&amp;col=7&amp;number=0.00136&amp;sourceID=14","0.00136")</f>
        <v>0.00136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HYPERLINK("http://141.218.60.56/~jnz1568/getInfo.php?workbook=18_08.xlsx&amp;sheet=U0&amp;row=866&amp;col=6&amp;number=3.2&amp;sourceID=14","3.2")</f>
        <v>3.2</v>
      </c>
      <c r="G866" s="4" t="str">
        <f>HYPERLINK("http://141.218.60.56/~jnz1568/getInfo.php?workbook=18_08.xlsx&amp;sheet=U0&amp;row=866&amp;col=7&amp;number=0.00136&amp;sourceID=14","0.00136")</f>
        <v>0.00136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HYPERLINK("http://141.218.60.56/~jnz1568/getInfo.php?workbook=18_08.xlsx&amp;sheet=U0&amp;row=867&amp;col=6&amp;number=3.3&amp;sourceID=14","3.3")</f>
        <v>3.3</v>
      </c>
      <c r="G867" s="4" t="str">
        <f>HYPERLINK("http://141.218.60.56/~jnz1568/getInfo.php?workbook=18_08.xlsx&amp;sheet=U0&amp;row=867&amp;col=7&amp;number=0.00136&amp;sourceID=14","0.00136")</f>
        <v>0.00136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HYPERLINK("http://141.218.60.56/~jnz1568/getInfo.php?workbook=18_08.xlsx&amp;sheet=U0&amp;row=868&amp;col=6&amp;number=3.4&amp;sourceID=14","3.4")</f>
        <v>3.4</v>
      </c>
      <c r="G868" s="4" t="str">
        <f>HYPERLINK("http://141.218.60.56/~jnz1568/getInfo.php?workbook=18_08.xlsx&amp;sheet=U0&amp;row=868&amp;col=7&amp;number=0.00136&amp;sourceID=14","0.00136")</f>
        <v>0.00136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HYPERLINK("http://141.218.60.56/~jnz1568/getInfo.php?workbook=18_08.xlsx&amp;sheet=U0&amp;row=869&amp;col=6&amp;number=3.5&amp;sourceID=14","3.5")</f>
        <v>3.5</v>
      </c>
      <c r="G869" s="4" t="str">
        <f>HYPERLINK("http://141.218.60.56/~jnz1568/getInfo.php?workbook=18_08.xlsx&amp;sheet=U0&amp;row=869&amp;col=7&amp;number=0.00136&amp;sourceID=14","0.00136")</f>
        <v>0.00136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HYPERLINK("http://141.218.60.56/~jnz1568/getInfo.php?workbook=18_08.xlsx&amp;sheet=U0&amp;row=870&amp;col=6&amp;number=3.6&amp;sourceID=14","3.6")</f>
        <v>3.6</v>
      </c>
      <c r="G870" s="4" t="str">
        <f>HYPERLINK("http://141.218.60.56/~jnz1568/getInfo.php?workbook=18_08.xlsx&amp;sheet=U0&amp;row=870&amp;col=7&amp;number=0.00136&amp;sourceID=14","0.00136")</f>
        <v>0.00136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HYPERLINK("http://141.218.60.56/~jnz1568/getInfo.php?workbook=18_08.xlsx&amp;sheet=U0&amp;row=871&amp;col=6&amp;number=3.7&amp;sourceID=14","3.7")</f>
        <v>3.7</v>
      </c>
      <c r="G871" s="4" t="str">
        <f>HYPERLINK("http://141.218.60.56/~jnz1568/getInfo.php?workbook=18_08.xlsx&amp;sheet=U0&amp;row=871&amp;col=7&amp;number=0.00135&amp;sourceID=14","0.00135")</f>
        <v>0.00135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HYPERLINK("http://141.218.60.56/~jnz1568/getInfo.php?workbook=18_08.xlsx&amp;sheet=U0&amp;row=872&amp;col=6&amp;number=3.8&amp;sourceID=14","3.8")</f>
        <v>3.8</v>
      </c>
      <c r="G872" s="4" t="str">
        <f>HYPERLINK("http://141.218.60.56/~jnz1568/getInfo.php?workbook=18_08.xlsx&amp;sheet=U0&amp;row=872&amp;col=7&amp;number=0.00135&amp;sourceID=14","0.00135")</f>
        <v>0.00135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HYPERLINK("http://141.218.60.56/~jnz1568/getInfo.php?workbook=18_08.xlsx&amp;sheet=U0&amp;row=873&amp;col=6&amp;number=3.9&amp;sourceID=14","3.9")</f>
        <v>3.9</v>
      </c>
      <c r="G873" s="4" t="str">
        <f>HYPERLINK("http://141.218.60.56/~jnz1568/getInfo.php?workbook=18_08.xlsx&amp;sheet=U0&amp;row=873&amp;col=7&amp;number=0.00135&amp;sourceID=14","0.00135")</f>
        <v>0.00135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HYPERLINK("http://141.218.60.56/~jnz1568/getInfo.php?workbook=18_08.xlsx&amp;sheet=U0&amp;row=874&amp;col=6&amp;number=4&amp;sourceID=14","4")</f>
        <v>4</v>
      </c>
      <c r="G874" s="4" t="str">
        <f>HYPERLINK("http://141.218.60.56/~jnz1568/getInfo.php?workbook=18_08.xlsx&amp;sheet=U0&amp;row=874&amp;col=7&amp;number=0.00135&amp;sourceID=14","0.00135")</f>
        <v>0.00135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HYPERLINK("http://141.218.60.56/~jnz1568/getInfo.php?workbook=18_08.xlsx&amp;sheet=U0&amp;row=875&amp;col=6&amp;number=4.1&amp;sourceID=14","4.1")</f>
        <v>4.1</v>
      </c>
      <c r="G875" s="4" t="str">
        <f>HYPERLINK("http://141.218.60.56/~jnz1568/getInfo.php?workbook=18_08.xlsx&amp;sheet=U0&amp;row=875&amp;col=7&amp;number=0.00135&amp;sourceID=14","0.00135")</f>
        <v>0.00135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HYPERLINK("http://141.218.60.56/~jnz1568/getInfo.php?workbook=18_08.xlsx&amp;sheet=U0&amp;row=876&amp;col=6&amp;number=4.2&amp;sourceID=14","4.2")</f>
        <v>4.2</v>
      </c>
      <c r="G876" s="4" t="str">
        <f>HYPERLINK("http://141.218.60.56/~jnz1568/getInfo.php?workbook=18_08.xlsx&amp;sheet=U0&amp;row=876&amp;col=7&amp;number=0.00135&amp;sourceID=14","0.00135")</f>
        <v>0.00135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HYPERLINK("http://141.218.60.56/~jnz1568/getInfo.php?workbook=18_08.xlsx&amp;sheet=U0&amp;row=877&amp;col=6&amp;number=4.3&amp;sourceID=14","4.3")</f>
        <v>4.3</v>
      </c>
      <c r="G877" s="4" t="str">
        <f>HYPERLINK("http://141.218.60.56/~jnz1568/getInfo.php?workbook=18_08.xlsx&amp;sheet=U0&amp;row=877&amp;col=7&amp;number=0.00135&amp;sourceID=14","0.00135")</f>
        <v>0.00135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HYPERLINK("http://141.218.60.56/~jnz1568/getInfo.php?workbook=18_08.xlsx&amp;sheet=U0&amp;row=878&amp;col=6&amp;number=4.4&amp;sourceID=14","4.4")</f>
        <v>4.4</v>
      </c>
      <c r="G878" s="4" t="str">
        <f>HYPERLINK("http://141.218.60.56/~jnz1568/getInfo.php?workbook=18_08.xlsx&amp;sheet=U0&amp;row=878&amp;col=7&amp;number=0.00135&amp;sourceID=14","0.00135")</f>
        <v>0.00135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HYPERLINK("http://141.218.60.56/~jnz1568/getInfo.php?workbook=18_08.xlsx&amp;sheet=U0&amp;row=879&amp;col=6&amp;number=4.5&amp;sourceID=14","4.5")</f>
        <v>4.5</v>
      </c>
      <c r="G879" s="4" t="str">
        <f>HYPERLINK("http://141.218.60.56/~jnz1568/getInfo.php?workbook=18_08.xlsx&amp;sheet=U0&amp;row=879&amp;col=7&amp;number=0.00135&amp;sourceID=14","0.00135")</f>
        <v>0.00135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HYPERLINK("http://141.218.60.56/~jnz1568/getInfo.php?workbook=18_08.xlsx&amp;sheet=U0&amp;row=880&amp;col=6&amp;number=4.6&amp;sourceID=14","4.6")</f>
        <v>4.6</v>
      </c>
      <c r="G880" s="4" t="str">
        <f>HYPERLINK("http://141.218.60.56/~jnz1568/getInfo.php?workbook=18_08.xlsx&amp;sheet=U0&amp;row=880&amp;col=7&amp;number=0.00135&amp;sourceID=14","0.00135")</f>
        <v>0.00135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HYPERLINK("http://141.218.60.56/~jnz1568/getInfo.php?workbook=18_08.xlsx&amp;sheet=U0&amp;row=881&amp;col=6&amp;number=4.7&amp;sourceID=14","4.7")</f>
        <v>4.7</v>
      </c>
      <c r="G881" s="4" t="str">
        <f>HYPERLINK("http://141.218.60.56/~jnz1568/getInfo.php?workbook=18_08.xlsx&amp;sheet=U0&amp;row=881&amp;col=7&amp;number=0.00134&amp;sourceID=14","0.00134")</f>
        <v>0.00134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HYPERLINK("http://141.218.60.56/~jnz1568/getInfo.php?workbook=18_08.xlsx&amp;sheet=U0&amp;row=882&amp;col=6&amp;number=4.8&amp;sourceID=14","4.8")</f>
        <v>4.8</v>
      </c>
      <c r="G882" s="4" t="str">
        <f>HYPERLINK("http://141.218.60.56/~jnz1568/getInfo.php?workbook=18_08.xlsx&amp;sheet=U0&amp;row=882&amp;col=7&amp;number=0.00134&amp;sourceID=14","0.00134")</f>
        <v>0.00134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HYPERLINK("http://141.218.60.56/~jnz1568/getInfo.php?workbook=18_08.xlsx&amp;sheet=U0&amp;row=883&amp;col=6&amp;number=4.9&amp;sourceID=14","4.9")</f>
        <v>4.9</v>
      </c>
      <c r="G883" s="4" t="str">
        <f>HYPERLINK("http://141.218.60.56/~jnz1568/getInfo.php?workbook=18_08.xlsx&amp;sheet=U0&amp;row=883&amp;col=7&amp;number=0.00134&amp;sourceID=14","0.00134")</f>
        <v>0.00134</v>
      </c>
    </row>
    <row r="884" spans="1:7">
      <c r="A884" s="3">
        <v>18</v>
      </c>
      <c r="B884" s="3">
        <v>8</v>
      </c>
      <c r="C884" s="3" t="s">
        <v>49</v>
      </c>
      <c r="D884" s="3">
        <v>6</v>
      </c>
      <c r="E884" s="3">
        <v>1</v>
      </c>
      <c r="F884" s="4" t="str">
        <f>HYPERLINK("http://141.218.60.56/~jnz1568/getInfo.php?workbook=18_08.xlsx&amp;sheet=U0&amp;row=884&amp;col=6&amp;number=3&amp;sourceID=14","3")</f>
        <v>3</v>
      </c>
      <c r="G884" s="4" t="str">
        <f>HYPERLINK("http://141.218.60.56/~jnz1568/getInfo.php?workbook=18_08.xlsx&amp;sheet=U0&amp;row=884&amp;col=7&amp;number=0.0213&amp;sourceID=14","0.0213")</f>
        <v>0.0213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HYPERLINK("http://141.218.60.56/~jnz1568/getInfo.php?workbook=18_08.xlsx&amp;sheet=U0&amp;row=885&amp;col=6&amp;number=3.1&amp;sourceID=14","3.1")</f>
        <v>3.1</v>
      </c>
      <c r="G885" s="4" t="str">
        <f>HYPERLINK("http://141.218.60.56/~jnz1568/getInfo.php?workbook=18_08.xlsx&amp;sheet=U0&amp;row=885&amp;col=7&amp;number=0.0213&amp;sourceID=14","0.0213")</f>
        <v>0.0213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HYPERLINK("http://141.218.60.56/~jnz1568/getInfo.php?workbook=18_08.xlsx&amp;sheet=U0&amp;row=886&amp;col=6&amp;number=3.2&amp;sourceID=14","3.2")</f>
        <v>3.2</v>
      </c>
      <c r="G886" s="4" t="str">
        <f>HYPERLINK("http://141.218.60.56/~jnz1568/getInfo.php?workbook=18_08.xlsx&amp;sheet=U0&amp;row=886&amp;col=7&amp;number=0.0213&amp;sourceID=14","0.0213")</f>
        <v>0.0213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HYPERLINK("http://141.218.60.56/~jnz1568/getInfo.php?workbook=18_08.xlsx&amp;sheet=U0&amp;row=887&amp;col=6&amp;number=3.3&amp;sourceID=14","3.3")</f>
        <v>3.3</v>
      </c>
      <c r="G887" s="4" t="str">
        <f>HYPERLINK("http://141.218.60.56/~jnz1568/getInfo.php?workbook=18_08.xlsx&amp;sheet=U0&amp;row=887&amp;col=7&amp;number=0.0213&amp;sourceID=14","0.0213")</f>
        <v>0.0213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HYPERLINK("http://141.218.60.56/~jnz1568/getInfo.php?workbook=18_08.xlsx&amp;sheet=U0&amp;row=888&amp;col=6&amp;number=3.4&amp;sourceID=14","3.4")</f>
        <v>3.4</v>
      </c>
      <c r="G888" s="4" t="str">
        <f>HYPERLINK("http://141.218.60.56/~jnz1568/getInfo.php?workbook=18_08.xlsx&amp;sheet=U0&amp;row=888&amp;col=7&amp;number=0.0213&amp;sourceID=14","0.0213")</f>
        <v>0.0213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HYPERLINK("http://141.218.60.56/~jnz1568/getInfo.php?workbook=18_08.xlsx&amp;sheet=U0&amp;row=889&amp;col=6&amp;number=3.5&amp;sourceID=14","3.5")</f>
        <v>3.5</v>
      </c>
      <c r="G889" s="4" t="str">
        <f>HYPERLINK("http://141.218.60.56/~jnz1568/getInfo.php?workbook=18_08.xlsx&amp;sheet=U0&amp;row=889&amp;col=7&amp;number=0.0213&amp;sourceID=14","0.0213")</f>
        <v>0.0213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HYPERLINK("http://141.218.60.56/~jnz1568/getInfo.php?workbook=18_08.xlsx&amp;sheet=U0&amp;row=890&amp;col=6&amp;number=3.6&amp;sourceID=14","3.6")</f>
        <v>3.6</v>
      </c>
      <c r="G890" s="4" t="str">
        <f>HYPERLINK("http://141.218.60.56/~jnz1568/getInfo.php?workbook=18_08.xlsx&amp;sheet=U0&amp;row=890&amp;col=7&amp;number=0.0213&amp;sourceID=14","0.0213")</f>
        <v>0.0213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HYPERLINK("http://141.218.60.56/~jnz1568/getInfo.php?workbook=18_08.xlsx&amp;sheet=U0&amp;row=891&amp;col=6&amp;number=3.7&amp;sourceID=14","3.7")</f>
        <v>3.7</v>
      </c>
      <c r="G891" s="4" t="str">
        <f>HYPERLINK("http://141.218.60.56/~jnz1568/getInfo.php?workbook=18_08.xlsx&amp;sheet=U0&amp;row=891&amp;col=7&amp;number=0.0213&amp;sourceID=14","0.0213")</f>
        <v>0.0213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HYPERLINK("http://141.218.60.56/~jnz1568/getInfo.php?workbook=18_08.xlsx&amp;sheet=U0&amp;row=892&amp;col=6&amp;number=3.8&amp;sourceID=14","3.8")</f>
        <v>3.8</v>
      </c>
      <c r="G892" s="4" t="str">
        <f>HYPERLINK("http://141.218.60.56/~jnz1568/getInfo.php?workbook=18_08.xlsx&amp;sheet=U0&amp;row=892&amp;col=7&amp;number=0.0213&amp;sourceID=14","0.0213")</f>
        <v>0.0213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HYPERLINK("http://141.218.60.56/~jnz1568/getInfo.php?workbook=18_08.xlsx&amp;sheet=U0&amp;row=893&amp;col=6&amp;number=3.9&amp;sourceID=14","3.9")</f>
        <v>3.9</v>
      </c>
      <c r="G893" s="4" t="str">
        <f>HYPERLINK("http://141.218.60.56/~jnz1568/getInfo.php?workbook=18_08.xlsx&amp;sheet=U0&amp;row=893&amp;col=7&amp;number=0.0213&amp;sourceID=14","0.0213")</f>
        <v>0.0213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HYPERLINK("http://141.218.60.56/~jnz1568/getInfo.php?workbook=18_08.xlsx&amp;sheet=U0&amp;row=894&amp;col=6&amp;number=4&amp;sourceID=14","4")</f>
        <v>4</v>
      </c>
      <c r="G894" s="4" t="str">
        <f>HYPERLINK("http://141.218.60.56/~jnz1568/getInfo.php?workbook=18_08.xlsx&amp;sheet=U0&amp;row=894&amp;col=7&amp;number=0.0213&amp;sourceID=14","0.0213")</f>
        <v>0.0213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HYPERLINK("http://141.218.60.56/~jnz1568/getInfo.php?workbook=18_08.xlsx&amp;sheet=U0&amp;row=895&amp;col=6&amp;number=4.1&amp;sourceID=14","4.1")</f>
        <v>4.1</v>
      </c>
      <c r="G895" s="4" t="str">
        <f>HYPERLINK("http://141.218.60.56/~jnz1568/getInfo.php?workbook=18_08.xlsx&amp;sheet=U0&amp;row=895&amp;col=7&amp;number=0.0213&amp;sourceID=14","0.0213")</f>
        <v>0.0213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HYPERLINK("http://141.218.60.56/~jnz1568/getInfo.php?workbook=18_08.xlsx&amp;sheet=U0&amp;row=896&amp;col=6&amp;number=4.2&amp;sourceID=14","4.2")</f>
        <v>4.2</v>
      </c>
      <c r="G896" s="4" t="str">
        <f>HYPERLINK("http://141.218.60.56/~jnz1568/getInfo.php?workbook=18_08.xlsx&amp;sheet=U0&amp;row=896&amp;col=7&amp;number=0.0213&amp;sourceID=14","0.0213")</f>
        <v>0.0213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HYPERLINK("http://141.218.60.56/~jnz1568/getInfo.php?workbook=18_08.xlsx&amp;sheet=U0&amp;row=897&amp;col=6&amp;number=4.3&amp;sourceID=14","4.3")</f>
        <v>4.3</v>
      </c>
      <c r="G897" s="4" t="str">
        <f>HYPERLINK("http://141.218.60.56/~jnz1568/getInfo.php?workbook=18_08.xlsx&amp;sheet=U0&amp;row=897&amp;col=7&amp;number=0.0213&amp;sourceID=14","0.0213")</f>
        <v>0.0213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HYPERLINK("http://141.218.60.56/~jnz1568/getInfo.php?workbook=18_08.xlsx&amp;sheet=U0&amp;row=898&amp;col=6&amp;number=4.4&amp;sourceID=14","4.4")</f>
        <v>4.4</v>
      </c>
      <c r="G898" s="4" t="str">
        <f>HYPERLINK("http://141.218.60.56/~jnz1568/getInfo.php?workbook=18_08.xlsx&amp;sheet=U0&amp;row=898&amp;col=7&amp;number=0.0213&amp;sourceID=14","0.0213")</f>
        <v>0.0213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HYPERLINK("http://141.218.60.56/~jnz1568/getInfo.php?workbook=18_08.xlsx&amp;sheet=U0&amp;row=899&amp;col=6&amp;number=4.5&amp;sourceID=14","4.5")</f>
        <v>4.5</v>
      </c>
      <c r="G899" s="4" t="str">
        <f>HYPERLINK("http://141.218.60.56/~jnz1568/getInfo.php?workbook=18_08.xlsx&amp;sheet=U0&amp;row=899&amp;col=7&amp;number=0.0213&amp;sourceID=14","0.0213")</f>
        <v>0.0213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HYPERLINK("http://141.218.60.56/~jnz1568/getInfo.php?workbook=18_08.xlsx&amp;sheet=U0&amp;row=900&amp;col=6&amp;number=4.6&amp;sourceID=14","4.6")</f>
        <v>4.6</v>
      </c>
      <c r="G900" s="4" t="str">
        <f>HYPERLINK("http://141.218.60.56/~jnz1568/getInfo.php?workbook=18_08.xlsx&amp;sheet=U0&amp;row=900&amp;col=7&amp;number=0.0213&amp;sourceID=14","0.0213")</f>
        <v>0.0213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HYPERLINK("http://141.218.60.56/~jnz1568/getInfo.php?workbook=18_08.xlsx&amp;sheet=U0&amp;row=901&amp;col=6&amp;number=4.7&amp;sourceID=14","4.7")</f>
        <v>4.7</v>
      </c>
      <c r="G901" s="4" t="str">
        <f>HYPERLINK("http://141.218.60.56/~jnz1568/getInfo.php?workbook=18_08.xlsx&amp;sheet=U0&amp;row=901&amp;col=7&amp;number=0.0213&amp;sourceID=14","0.0213")</f>
        <v>0.0213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HYPERLINK("http://141.218.60.56/~jnz1568/getInfo.php?workbook=18_08.xlsx&amp;sheet=U0&amp;row=902&amp;col=6&amp;number=4.8&amp;sourceID=14","4.8")</f>
        <v>4.8</v>
      </c>
      <c r="G902" s="4" t="str">
        <f>HYPERLINK("http://141.218.60.56/~jnz1568/getInfo.php?workbook=18_08.xlsx&amp;sheet=U0&amp;row=902&amp;col=7&amp;number=0.0213&amp;sourceID=14","0.0213")</f>
        <v>0.0213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HYPERLINK("http://141.218.60.56/~jnz1568/getInfo.php?workbook=18_08.xlsx&amp;sheet=U0&amp;row=903&amp;col=6&amp;number=4.9&amp;sourceID=14","4.9")</f>
        <v>4.9</v>
      </c>
      <c r="G903" s="4" t="str">
        <f>HYPERLINK("http://141.218.60.56/~jnz1568/getInfo.php?workbook=18_08.xlsx&amp;sheet=U0&amp;row=903&amp;col=7&amp;number=0.0213&amp;sourceID=14","0.0213")</f>
        <v>0.0213</v>
      </c>
    </row>
    <row r="904" spans="1:7">
      <c r="A904" s="3">
        <v>18</v>
      </c>
      <c r="B904" s="3">
        <v>8</v>
      </c>
      <c r="C904" s="3" t="s">
        <v>49</v>
      </c>
      <c r="D904" s="3">
        <v>7</v>
      </c>
      <c r="E904" s="3">
        <v>1</v>
      </c>
      <c r="F904" s="4" t="str">
        <f>HYPERLINK("http://141.218.60.56/~jnz1568/getInfo.php?workbook=18_08.xlsx&amp;sheet=U0&amp;row=904&amp;col=6&amp;number=3&amp;sourceID=14","3")</f>
        <v>3</v>
      </c>
      <c r="G904" s="4" t="str">
        <f>HYPERLINK("http://141.218.60.56/~jnz1568/getInfo.php?workbook=18_08.xlsx&amp;sheet=U0&amp;row=904&amp;col=7&amp;number=0.00817&amp;sourceID=14","0.00817")</f>
        <v>0.00817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HYPERLINK("http://141.218.60.56/~jnz1568/getInfo.php?workbook=18_08.xlsx&amp;sheet=U0&amp;row=905&amp;col=6&amp;number=3.1&amp;sourceID=14","3.1")</f>
        <v>3.1</v>
      </c>
      <c r="G905" s="4" t="str">
        <f>HYPERLINK("http://141.218.60.56/~jnz1568/getInfo.php?workbook=18_08.xlsx&amp;sheet=U0&amp;row=905&amp;col=7&amp;number=0.00817&amp;sourceID=14","0.00817")</f>
        <v>0.00817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HYPERLINK("http://141.218.60.56/~jnz1568/getInfo.php?workbook=18_08.xlsx&amp;sheet=U0&amp;row=906&amp;col=6&amp;number=3.2&amp;sourceID=14","3.2")</f>
        <v>3.2</v>
      </c>
      <c r="G906" s="4" t="str">
        <f>HYPERLINK("http://141.218.60.56/~jnz1568/getInfo.php?workbook=18_08.xlsx&amp;sheet=U0&amp;row=906&amp;col=7&amp;number=0.00817&amp;sourceID=14","0.00817")</f>
        <v>0.00817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HYPERLINK("http://141.218.60.56/~jnz1568/getInfo.php?workbook=18_08.xlsx&amp;sheet=U0&amp;row=907&amp;col=6&amp;number=3.3&amp;sourceID=14","3.3")</f>
        <v>3.3</v>
      </c>
      <c r="G907" s="4" t="str">
        <f>HYPERLINK("http://141.218.60.56/~jnz1568/getInfo.php?workbook=18_08.xlsx&amp;sheet=U0&amp;row=907&amp;col=7&amp;number=0.00817&amp;sourceID=14","0.00817")</f>
        <v>0.00817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HYPERLINK("http://141.218.60.56/~jnz1568/getInfo.php?workbook=18_08.xlsx&amp;sheet=U0&amp;row=908&amp;col=6&amp;number=3.4&amp;sourceID=14","3.4")</f>
        <v>3.4</v>
      </c>
      <c r="G908" s="4" t="str">
        <f>HYPERLINK("http://141.218.60.56/~jnz1568/getInfo.php?workbook=18_08.xlsx&amp;sheet=U0&amp;row=908&amp;col=7&amp;number=0.00817&amp;sourceID=14","0.00817")</f>
        <v>0.00817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HYPERLINK("http://141.218.60.56/~jnz1568/getInfo.php?workbook=18_08.xlsx&amp;sheet=U0&amp;row=909&amp;col=6&amp;number=3.5&amp;sourceID=14","3.5")</f>
        <v>3.5</v>
      </c>
      <c r="G909" s="4" t="str">
        <f>HYPERLINK("http://141.218.60.56/~jnz1568/getInfo.php?workbook=18_08.xlsx&amp;sheet=U0&amp;row=909&amp;col=7&amp;number=0.00817&amp;sourceID=14","0.00817")</f>
        <v>0.00817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HYPERLINK("http://141.218.60.56/~jnz1568/getInfo.php?workbook=18_08.xlsx&amp;sheet=U0&amp;row=910&amp;col=6&amp;number=3.6&amp;sourceID=14","3.6")</f>
        <v>3.6</v>
      </c>
      <c r="G910" s="4" t="str">
        <f>HYPERLINK("http://141.218.60.56/~jnz1568/getInfo.php?workbook=18_08.xlsx&amp;sheet=U0&amp;row=910&amp;col=7&amp;number=0.00817&amp;sourceID=14","0.00817")</f>
        <v>0.00817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HYPERLINK("http://141.218.60.56/~jnz1568/getInfo.php?workbook=18_08.xlsx&amp;sheet=U0&amp;row=911&amp;col=6&amp;number=3.7&amp;sourceID=14","3.7")</f>
        <v>3.7</v>
      </c>
      <c r="G911" s="4" t="str">
        <f>HYPERLINK("http://141.218.60.56/~jnz1568/getInfo.php?workbook=18_08.xlsx&amp;sheet=U0&amp;row=911&amp;col=7&amp;number=0.00816&amp;sourceID=14","0.00816")</f>
        <v>0.00816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HYPERLINK("http://141.218.60.56/~jnz1568/getInfo.php?workbook=18_08.xlsx&amp;sheet=U0&amp;row=912&amp;col=6&amp;number=3.8&amp;sourceID=14","3.8")</f>
        <v>3.8</v>
      </c>
      <c r="G912" s="4" t="str">
        <f>HYPERLINK("http://141.218.60.56/~jnz1568/getInfo.php?workbook=18_08.xlsx&amp;sheet=U0&amp;row=912&amp;col=7&amp;number=0.00816&amp;sourceID=14","0.00816")</f>
        <v>0.00816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HYPERLINK("http://141.218.60.56/~jnz1568/getInfo.php?workbook=18_08.xlsx&amp;sheet=U0&amp;row=913&amp;col=6&amp;number=3.9&amp;sourceID=14","3.9")</f>
        <v>3.9</v>
      </c>
      <c r="G913" s="4" t="str">
        <f>HYPERLINK("http://141.218.60.56/~jnz1568/getInfo.php?workbook=18_08.xlsx&amp;sheet=U0&amp;row=913&amp;col=7&amp;number=0.00816&amp;sourceID=14","0.00816")</f>
        <v>0.00816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HYPERLINK("http://141.218.60.56/~jnz1568/getInfo.php?workbook=18_08.xlsx&amp;sheet=U0&amp;row=914&amp;col=6&amp;number=4&amp;sourceID=14","4")</f>
        <v>4</v>
      </c>
      <c r="G914" s="4" t="str">
        <f>HYPERLINK("http://141.218.60.56/~jnz1568/getInfo.php?workbook=18_08.xlsx&amp;sheet=U0&amp;row=914&amp;col=7&amp;number=0.00816&amp;sourceID=14","0.00816")</f>
        <v>0.00816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HYPERLINK("http://141.218.60.56/~jnz1568/getInfo.php?workbook=18_08.xlsx&amp;sheet=U0&amp;row=915&amp;col=6&amp;number=4.1&amp;sourceID=14","4.1")</f>
        <v>4.1</v>
      </c>
      <c r="G915" s="4" t="str">
        <f>HYPERLINK("http://141.218.60.56/~jnz1568/getInfo.php?workbook=18_08.xlsx&amp;sheet=U0&amp;row=915&amp;col=7&amp;number=0.00816&amp;sourceID=14","0.00816")</f>
        <v>0.00816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HYPERLINK("http://141.218.60.56/~jnz1568/getInfo.php?workbook=18_08.xlsx&amp;sheet=U0&amp;row=916&amp;col=6&amp;number=4.2&amp;sourceID=14","4.2")</f>
        <v>4.2</v>
      </c>
      <c r="G916" s="4" t="str">
        <f>HYPERLINK("http://141.218.60.56/~jnz1568/getInfo.php?workbook=18_08.xlsx&amp;sheet=U0&amp;row=916&amp;col=7&amp;number=0.00816&amp;sourceID=14","0.00816")</f>
        <v>0.00816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HYPERLINK("http://141.218.60.56/~jnz1568/getInfo.php?workbook=18_08.xlsx&amp;sheet=U0&amp;row=917&amp;col=6&amp;number=4.3&amp;sourceID=14","4.3")</f>
        <v>4.3</v>
      </c>
      <c r="G917" s="4" t="str">
        <f>HYPERLINK("http://141.218.60.56/~jnz1568/getInfo.php?workbook=18_08.xlsx&amp;sheet=U0&amp;row=917&amp;col=7&amp;number=0.00815&amp;sourceID=14","0.00815")</f>
        <v>0.00815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HYPERLINK("http://141.218.60.56/~jnz1568/getInfo.php?workbook=18_08.xlsx&amp;sheet=U0&amp;row=918&amp;col=6&amp;number=4.4&amp;sourceID=14","4.4")</f>
        <v>4.4</v>
      </c>
      <c r="G918" s="4" t="str">
        <f>HYPERLINK("http://141.218.60.56/~jnz1568/getInfo.php?workbook=18_08.xlsx&amp;sheet=U0&amp;row=918&amp;col=7&amp;number=0.00815&amp;sourceID=14","0.00815")</f>
        <v>0.00815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HYPERLINK("http://141.218.60.56/~jnz1568/getInfo.php?workbook=18_08.xlsx&amp;sheet=U0&amp;row=919&amp;col=6&amp;number=4.5&amp;sourceID=14","4.5")</f>
        <v>4.5</v>
      </c>
      <c r="G919" s="4" t="str">
        <f>HYPERLINK("http://141.218.60.56/~jnz1568/getInfo.php?workbook=18_08.xlsx&amp;sheet=U0&amp;row=919&amp;col=7&amp;number=0.00814&amp;sourceID=14","0.00814")</f>
        <v>0.00814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HYPERLINK("http://141.218.60.56/~jnz1568/getInfo.php?workbook=18_08.xlsx&amp;sheet=U0&amp;row=920&amp;col=6&amp;number=4.6&amp;sourceID=14","4.6")</f>
        <v>4.6</v>
      </c>
      <c r="G920" s="4" t="str">
        <f>HYPERLINK("http://141.218.60.56/~jnz1568/getInfo.php?workbook=18_08.xlsx&amp;sheet=U0&amp;row=920&amp;col=7&amp;number=0.00814&amp;sourceID=14","0.00814")</f>
        <v>0.00814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HYPERLINK("http://141.218.60.56/~jnz1568/getInfo.php?workbook=18_08.xlsx&amp;sheet=U0&amp;row=921&amp;col=6&amp;number=4.7&amp;sourceID=14","4.7")</f>
        <v>4.7</v>
      </c>
      <c r="G921" s="4" t="str">
        <f>HYPERLINK("http://141.218.60.56/~jnz1568/getInfo.php?workbook=18_08.xlsx&amp;sheet=U0&amp;row=921&amp;col=7&amp;number=0.00813&amp;sourceID=14","0.00813")</f>
        <v>0.00813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HYPERLINK("http://141.218.60.56/~jnz1568/getInfo.php?workbook=18_08.xlsx&amp;sheet=U0&amp;row=922&amp;col=6&amp;number=4.8&amp;sourceID=14","4.8")</f>
        <v>4.8</v>
      </c>
      <c r="G922" s="4" t="str">
        <f>HYPERLINK("http://141.218.60.56/~jnz1568/getInfo.php?workbook=18_08.xlsx&amp;sheet=U0&amp;row=922&amp;col=7&amp;number=0.00812&amp;sourceID=14","0.00812")</f>
        <v>0.00812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HYPERLINK("http://141.218.60.56/~jnz1568/getInfo.php?workbook=18_08.xlsx&amp;sheet=U0&amp;row=923&amp;col=6&amp;number=4.9&amp;sourceID=14","4.9")</f>
        <v>4.9</v>
      </c>
      <c r="G923" s="4" t="str">
        <f>HYPERLINK("http://141.218.60.56/~jnz1568/getInfo.php?workbook=18_08.xlsx&amp;sheet=U0&amp;row=923&amp;col=7&amp;number=0.0081&amp;sourceID=14","0.0081")</f>
        <v>0.0081</v>
      </c>
    </row>
    <row r="924" spans="1:7">
      <c r="A924" s="3">
        <v>18</v>
      </c>
      <c r="B924" s="3">
        <v>8</v>
      </c>
      <c r="C924" s="3" t="s">
        <v>49</v>
      </c>
      <c r="D924" s="3">
        <v>8</v>
      </c>
      <c r="E924" s="3">
        <v>1</v>
      </c>
      <c r="F924" s="4" t="str">
        <f>HYPERLINK("http://141.218.60.56/~jnz1568/getInfo.php?workbook=18_08.xlsx&amp;sheet=U0&amp;row=924&amp;col=6&amp;number=3&amp;sourceID=14","3")</f>
        <v>3</v>
      </c>
      <c r="G924" s="4" t="str">
        <f>HYPERLINK("http://141.218.60.56/~jnz1568/getInfo.php?workbook=18_08.xlsx&amp;sheet=U0&amp;row=924&amp;col=7&amp;number=0.00331&amp;sourceID=14","0.00331")</f>
        <v>0.00331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HYPERLINK("http://141.218.60.56/~jnz1568/getInfo.php?workbook=18_08.xlsx&amp;sheet=U0&amp;row=925&amp;col=6&amp;number=3.1&amp;sourceID=14","3.1")</f>
        <v>3.1</v>
      </c>
      <c r="G925" s="4" t="str">
        <f>HYPERLINK("http://141.218.60.56/~jnz1568/getInfo.php?workbook=18_08.xlsx&amp;sheet=U0&amp;row=925&amp;col=7&amp;number=0.00331&amp;sourceID=14","0.00331")</f>
        <v>0.00331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HYPERLINK("http://141.218.60.56/~jnz1568/getInfo.php?workbook=18_08.xlsx&amp;sheet=U0&amp;row=926&amp;col=6&amp;number=3.2&amp;sourceID=14","3.2")</f>
        <v>3.2</v>
      </c>
      <c r="G926" s="4" t="str">
        <f>HYPERLINK("http://141.218.60.56/~jnz1568/getInfo.php?workbook=18_08.xlsx&amp;sheet=U0&amp;row=926&amp;col=7&amp;number=0.00331&amp;sourceID=14","0.00331")</f>
        <v>0.00331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HYPERLINK("http://141.218.60.56/~jnz1568/getInfo.php?workbook=18_08.xlsx&amp;sheet=U0&amp;row=927&amp;col=6&amp;number=3.3&amp;sourceID=14","3.3")</f>
        <v>3.3</v>
      </c>
      <c r="G927" s="4" t="str">
        <f>HYPERLINK("http://141.218.60.56/~jnz1568/getInfo.php?workbook=18_08.xlsx&amp;sheet=U0&amp;row=927&amp;col=7&amp;number=0.00331&amp;sourceID=14","0.00331")</f>
        <v>0.00331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HYPERLINK("http://141.218.60.56/~jnz1568/getInfo.php?workbook=18_08.xlsx&amp;sheet=U0&amp;row=928&amp;col=6&amp;number=3.4&amp;sourceID=14","3.4")</f>
        <v>3.4</v>
      </c>
      <c r="G928" s="4" t="str">
        <f>HYPERLINK("http://141.218.60.56/~jnz1568/getInfo.php?workbook=18_08.xlsx&amp;sheet=U0&amp;row=928&amp;col=7&amp;number=0.00331&amp;sourceID=14","0.00331")</f>
        <v>0.00331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HYPERLINK("http://141.218.60.56/~jnz1568/getInfo.php?workbook=18_08.xlsx&amp;sheet=U0&amp;row=929&amp;col=6&amp;number=3.5&amp;sourceID=14","3.5")</f>
        <v>3.5</v>
      </c>
      <c r="G929" s="4" t="str">
        <f>HYPERLINK("http://141.218.60.56/~jnz1568/getInfo.php?workbook=18_08.xlsx&amp;sheet=U0&amp;row=929&amp;col=7&amp;number=0.0033&amp;sourceID=14","0.0033")</f>
        <v>0.0033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HYPERLINK("http://141.218.60.56/~jnz1568/getInfo.php?workbook=18_08.xlsx&amp;sheet=U0&amp;row=930&amp;col=6&amp;number=3.6&amp;sourceID=14","3.6")</f>
        <v>3.6</v>
      </c>
      <c r="G930" s="4" t="str">
        <f>HYPERLINK("http://141.218.60.56/~jnz1568/getInfo.php?workbook=18_08.xlsx&amp;sheet=U0&amp;row=930&amp;col=7&amp;number=0.0033&amp;sourceID=14","0.0033")</f>
        <v>0.0033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HYPERLINK("http://141.218.60.56/~jnz1568/getInfo.php?workbook=18_08.xlsx&amp;sheet=U0&amp;row=931&amp;col=6&amp;number=3.7&amp;sourceID=14","3.7")</f>
        <v>3.7</v>
      </c>
      <c r="G931" s="4" t="str">
        <f>HYPERLINK("http://141.218.60.56/~jnz1568/getInfo.php?workbook=18_08.xlsx&amp;sheet=U0&amp;row=931&amp;col=7&amp;number=0.0033&amp;sourceID=14","0.0033")</f>
        <v>0.0033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HYPERLINK("http://141.218.60.56/~jnz1568/getInfo.php?workbook=18_08.xlsx&amp;sheet=U0&amp;row=932&amp;col=6&amp;number=3.8&amp;sourceID=14","3.8")</f>
        <v>3.8</v>
      </c>
      <c r="G932" s="4" t="str">
        <f>HYPERLINK("http://141.218.60.56/~jnz1568/getInfo.php?workbook=18_08.xlsx&amp;sheet=U0&amp;row=932&amp;col=7&amp;number=0.0033&amp;sourceID=14","0.0033")</f>
        <v>0.0033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HYPERLINK("http://141.218.60.56/~jnz1568/getInfo.php?workbook=18_08.xlsx&amp;sheet=U0&amp;row=933&amp;col=6&amp;number=3.9&amp;sourceID=14","3.9")</f>
        <v>3.9</v>
      </c>
      <c r="G933" s="4" t="str">
        <f>HYPERLINK("http://141.218.60.56/~jnz1568/getInfo.php?workbook=18_08.xlsx&amp;sheet=U0&amp;row=933&amp;col=7&amp;number=0.0033&amp;sourceID=14","0.0033")</f>
        <v>0.0033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HYPERLINK("http://141.218.60.56/~jnz1568/getInfo.php?workbook=18_08.xlsx&amp;sheet=U0&amp;row=934&amp;col=6&amp;number=4&amp;sourceID=14","4")</f>
        <v>4</v>
      </c>
      <c r="G934" s="4" t="str">
        <f>HYPERLINK("http://141.218.60.56/~jnz1568/getInfo.php?workbook=18_08.xlsx&amp;sheet=U0&amp;row=934&amp;col=7&amp;number=0.0033&amp;sourceID=14","0.0033")</f>
        <v>0.0033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HYPERLINK("http://141.218.60.56/~jnz1568/getInfo.php?workbook=18_08.xlsx&amp;sheet=U0&amp;row=935&amp;col=6&amp;number=4.1&amp;sourceID=14","4.1")</f>
        <v>4.1</v>
      </c>
      <c r="G935" s="4" t="str">
        <f>HYPERLINK("http://141.218.60.56/~jnz1568/getInfo.php?workbook=18_08.xlsx&amp;sheet=U0&amp;row=935&amp;col=7&amp;number=0.0033&amp;sourceID=14","0.0033")</f>
        <v>0.0033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HYPERLINK("http://141.218.60.56/~jnz1568/getInfo.php?workbook=18_08.xlsx&amp;sheet=U0&amp;row=936&amp;col=6&amp;number=4.2&amp;sourceID=14","4.2")</f>
        <v>4.2</v>
      </c>
      <c r="G936" s="4" t="str">
        <f>HYPERLINK("http://141.218.60.56/~jnz1568/getInfo.php?workbook=18_08.xlsx&amp;sheet=U0&amp;row=936&amp;col=7&amp;number=0.0033&amp;sourceID=14","0.0033")</f>
        <v>0.0033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HYPERLINK("http://141.218.60.56/~jnz1568/getInfo.php?workbook=18_08.xlsx&amp;sheet=U0&amp;row=937&amp;col=6&amp;number=4.3&amp;sourceID=14","4.3")</f>
        <v>4.3</v>
      </c>
      <c r="G937" s="4" t="str">
        <f>HYPERLINK("http://141.218.60.56/~jnz1568/getInfo.php?workbook=18_08.xlsx&amp;sheet=U0&amp;row=937&amp;col=7&amp;number=0.00329&amp;sourceID=14","0.00329")</f>
        <v>0.00329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HYPERLINK("http://141.218.60.56/~jnz1568/getInfo.php?workbook=18_08.xlsx&amp;sheet=U0&amp;row=938&amp;col=6&amp;number=4.4&amp;sourceID=14","4.4")</f>
        <v>4.4</v>
      </c>
      <c r="G938" s="4" t="str">
        <f>HYPERLINK("http://141.218.60.56/~jnz1568/getInfo.php?workbook=18_08.xlsx&amp;sheet=U0&amp;row=938&amp;col=7&amp;number=0.00329&amp;sourceID=14","0.00329")</f>
        <v>0.00329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HYPERLINK("http://141.218.60.56/~jnz1568/getInfo.php?workbook=18_08.xlsx&amp;sheet=U0&amp;row=939&amp;col=6&amp;number=4.5&amp;sourceID=14","4.5")</f>
        <v>4.5</v>
      </c>
      <c r="G939" s="4" t="str">
        <f>HYPERLINK("http://141.218.60.56/~jnz1568/getInfo.php?workbook=18_08.xlsx&amp;sheet=U0&amp;row=939&amp;col=7&amp;number=0.00328&amp;sourceID=14","0.00328")</f>
        <v>0.00328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HYPERLINK("http://141.218.60.56/~jnz1568/getInfo.php?workbook=18_08.xlsx&amp;sheet=U0&amp;row=940&amp;col=6&amp;number=4.6&amp;sourceID=14","4.6")</f>
        <v>4.6</v>
      </c>
      <c r="G940" s="4" t="str">
        <f>HYPERLINK("http://141.218.60.56/~jnz1568/getInfo.php?workbook=18_08.xlsx&amp;sheet=U0&amp;row=940&amp;col=7&amp;number=0.00328&amp;sourceID=14","0.00328")</f>
        <v>0.00328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HYPERLINK("http://141.218.60.56/~jnz1568/getInfo.php?workbook=18_08.xlsx&amp;sheet=U0&amp;row=941&amp;col=6&amp;number=4.7&amp;sourceID=14","4.7")</f>
        <v>4.7</v>
      </c>
      <c r="G941" s="4" t="str">
        <f>HYPERLINK("http://141.218.60.56/~jnz1568/getInfo.php?workbook=18_08.xlsx&amp;sheet=U0&amp;row=941&amp;col=7&amp;number=0.00327&amp;sourceID=14","0.00327")</f>
        <v>0.00327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HYPERLINK("http://141.218.60.56/~jnz1568/getInfo.php?workbook=18_08.xlsx&amp;sheet=U0&amp;row=942&amp;col=6&amp;number=4.8&amp;sourceID=14","4.8")</f>
        <v>4.8</v>
      </c>
      <c r="G942" s="4" t="str">
        <f>HYPERLINK("http://141.218.60.56/~jnz1568/getInfo.php?workbook=18_08.xlsx&amp;sheet=U0&amp;row=942&amp;col=7&amp;number=0.00326&amp;sourceID=14","0.00326")</f>
        <v>0.00326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HYPERLINK("http://141.218.60.56/~jnz1568/getInfo.php?workbook=18_08.xlsx&amp;sheet=U0&amp;row=943&amp;col=6&amp;number=4.9&amp;sourceID=14","4.9")</f>
        <v>4.9</v>
      </c>
      <c r="G943" s="4" t="str">
        <f>HYPERLINK("http://141.218.60.56/~jnz1568/getInfo.php?workbook=18_08.xlsx&amp;sheet=U0&amp;row=943&amp;col=7&amp;number=0.00325&amp;sourceID=14","0.00325")</f>
        <v>0.00325</v>
      </c>
    </row>
    <row r="944" spans="1:7">
      <c r="A944" s="3">
        <v>18</v>
      </c>
      <c r="B944" s="3">
        <v>8</v>
      </c>
      <c r="C944" s="3" t="s">
        <v>49</v>
      </c>
      <c r="D944" s="3">
        <v>9</v>
      </c>
      <c r="E944" s="3">
        <v>1</v>
      </c>
      <c r="F944" s="4" t="str">
        <f>HYPERLINK("http://141.218.60.56/~jnz1568/getInfo.php?workbook=18_08.xlsx&amp;sheet=U0&amp;row=944&amp;col=6&amp;number=3&amp;sourceID=14","3")</f>
        <v>3</v>
      </c>
      <c r="G944" s="4" t="str">
        <f>HYPERLINK("http://141.218.60.56/~jnz1568/getInfo.php?workbook=18_08.xlsx&amp;sheet=U0&amp;row=944&amp;col=7&amp;number=0.133&amp;sourceID=14","0.133")</f>
        <v>0.133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HYPERLINK("http://141.218.60.56/~jnz1568/getInfo.php?workbook=18_08.xlsx&amp;sheet=U0&amp;row=945&amp;col=6&amp;number=3.1&amp;sourceID=14","3.1")</f>
        <v>3.1</v>
      </c>
      <c r="G945" s="4" t="str">
        <f>HYPERLINK("http://141.218.60.56/~jnz1568/getInfo.php?workbook=18_08.xlsx&amp;sheet=U0&amp;row=945&amp;col=7&amp;number=0.133&amp;sourceID=14","0.133")</f>
        <v>0.133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HYPERLINK("http://141.218.60.56/~jnz1568/getInfo.php?workbook=18_08.xlsx&amp;sheet=U0&amp;row=946&amp;col=6&amp;number=3.2&amp;sourceID=14","3.2")</f>
        <v>3.2</v>
      </c>
      <c r="G946" s="4" t="str">
        <f>HYPERLINK("http://141.218.60.56/~jnz1568/getInfo.php?workbook=18_08.xlsx&amp;sheet=U0&amp;row=946&amp;col=7&amp;number=0.133&amp;sourceID=14","0.133")</f>
        <v>0.133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HYPERLINK("http://141.218.60.56/~jnz1568/getInfo.php?workbook=18_08.xlsx&amp;sheet=U0&amp;row=947&amp;col=6&amp;number=3.3&amp;sourceID=14","3.3")</f>
        <v>3.3</v>
      </c>
      <c r="G947" s="4" t="str">
        <f>HYPERLINK("http://141.218.60.56/~jnz1568/getInfo.php?workbook=18_08.xlsx&amp;sheet=U0&amp;row=947&amp;col=7&amp;number=0.133&amp;sourceID=14","0.133")</f>
        <v>0.133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HYPERLINK("http://141.218.60.56/~jnz1568/getInfo.php?workbook=18_08.xlsx&amp;sheet=U0&amp;row=948&amp;col=6&amp;number=3.4&amp;sourceID=14","3.4")</f>
        <v>3.4</v>
      </c>
      <c r="G948" s="4" t="str">
        <f>HYPERLINK("http://141.218.60.56/~jnz1568/getInfo.php?workbook=18_08.xlsx&amp;sheet=U0&amp;row=948&amp;col=7&amp;number=0.133&amp;sourceID=14","0.133")</f>
        <v>0.133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HYPERLINK("http://141.218.60.56/~jnz1568/getInfo.php?workbook=18_08.xlsx&amp;sheet=U0&amp;row=949&amp;col=6&amp;number=3.5&amp;sourceID=14","3.5")</f>
        <v>3.5</v>
      </c>
      <c r="G949" s="4" t="str">
        <f>HYPERLINK("http://141.218.60.56/~jnz1568/getInfo.php?workbook=18_08.xlsx&amp;sheet=U0&amp;row=949&amp;col=7&amp;number=0.133&amp;sourceID=14","0.133")</f>
        <v>0.133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HYPERLINK("http://141.218.60.56/~jnz1568/getInfo.php?workbook=18_08.xlsx&amp;sheet=U0&amp;row=950&amp;col=6&amp;number=3.6&amp;sourceID=14","3.6")</f>
        <v>3.6</v>
      </c>
      <c r="G950" s="4" t="str">
        <f>HYPERLINK("http://141.218.60.56/~jnz1568/getInfo.php?workbook=18_08.xlsx&amp;sheet=U0&amp;row=950&amp;col=7&amp;number=0.133&amp;sourceID=14","0.133")</f>
        <v>0.133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HYPERLINK("http://141.218.60.56/~jnz1568/getInfo.php?workbook=18_08.xlsx&amp;sheet=U0&amp;row=951&amp;col=6&amp;number=3.7&amp;sourceID=14","3.7")</f>
        <v>3.7</v>
      </c>
      <c r="G951" s="4" t="str">
        <f>HYPERLINK("http://141.218.60.56/~jnz1568/getInfo.php?workbook=18_08.xlsx&amp;sheet=U0&amp;row=951&amp;col=7&amp;number=0.133&amp;sourceID=14","0.133")</f>
        <v>0.133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HYPERLINK("http://141.218.60.56/~jnz1568/getInfo.php?workbook=18_08.xlsx&amp;sheet=U0&amp;row=952&amp;col=6&amp;number=3.8&amp;sourceID=14","3.8")</f>
        <v>3.8</v>
      </c>
      <c r="G952" s="4" t="str">
        <f>HYPERLINK("http://141.218.60.56/~jnz1568/getInfo.php?workbook=18_08.xlsx&amp;sheet=U0&amp;row=952&amp;col=7&amp;number=0.133&amp;sourceID=14","0.133")</f>
        <v>0.133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HYPERLINK("http://141.218.60.56/~jnz1568/getInfo.php?workbook=18_08.xlsx&amp;sheet=U0&amp;row=953&amp;col=6&amp;number=3.9&amp;sourceID=14","3.9")</f>
        <v>3.9</v>
      </c>
      <c r="G953" s="4" t="str">
        <f>HYPERLINK("http://141.218.60.56/~jnz1568/getInfo.php?workbook=18_08.xlsx&amp;sheet=U0&amp;row=953&amp;col=7&amp;number=0.133&amp;sourceID=14","0.133")</f>
        <v>0.133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HYPERLINK("http://141.218.60.56/~jnz1568/getInfo.php?workbook=18_08.xlsx&amp;sheet=U0&amp;row=954&amp;col=6&amp;number=4&amp;sourceID=14","4")</f>
        <v>4</v>
      </c>
      <c r="G954" s="4" t="str">
        <f>HYPERLINK("http://141.218.60.56/~jnz1568/getInfo.php?workbook=18_08.xlsx&amp;sheet=U0&amp;row=954&amp;col=7&amp;number=0.133&amp;sourceID=14","0.133")</f>
        <v>0.133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HYPERLINK("http://141.218.60.56/~jnz1568/getInfo.php?workbook=18_08.xlsx&amp;sheet=U0&amp;row=955&amp;col=6&amp;number=4.1&amp;sourceID=14","4.1")</f>
        <v>4.1</v>
      </c>
      <c r="G955" s="4" t="str">
        <f>HYPERLINK("http://141.218.60.56/~jnz1568/getInfo.php?workbook=18_08.xlsx&amp;sheet=U0&amp;row=955&amp;col=7&amp;number=0.133&amp;sourceID=14","0.133")</f>
        <v>0.133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HYPERLINK("http://141.218.60.56/~jnz1568/getInfo.php?workbook=18_08.xlsx&amp;sheet=U0&amp;row=956&amp;col=6&amp;number=4.2&amp;sourceID=14","4.2")</f>
        <v>4.2</v>
      </c>
      <c r="G956" s="4" t="str">
        <f>HYPERLINK("http://141.218.60.56/~jnz1568/getInfo.php?workbook=18_08.xlsx&amp;sheet=U0&amp;row=956&amp;col=7&amp;number=0.133&amp;sourceID=14","0.133")</f>
        <v>0.133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HYPERLINK("http://141.218.60.56/~jnz1568/getInfo.php?workbook=18_08.xlsx&amp;sheet=U0&amp;row=957&amp;col=6&amp;number=4.3&amp;sourceID=14","4.3")</f>
        <v>4.3</v>
      </c>
      <c r="G957" s="4" t="str">
        <f>HYPERLINK("http://141.218.60.56/~jnz1568/getInfo.php?workbook=18_08.xlsx&amp;sheet=U0&amp;row=957&amp;col=7&amp;number=0.133&amp;sourceID=14","0.133")</f>
        <v>0.133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HYPERLINK("http://141.218.60.56/~jnz1568/getInfo.php?workbook=18_08.xlsx&amp;sheet=U0&amp;row=958&amp;col=6&amp;number=4.4&amp;sourceID=14","4.4")</f>
        <v>4.4</v>
      </c>
      <c r="G958" s="4" t="str">
        <f>HYPERLINK("http://141.218.60.56/~jnz1568/getInfo.php?workbook=18_08.xlsx&amp;sheet=U0&amp;row=958&amp;col=7&amp;number=0.133&amp;sourceID=14","0.133")</f>
        <v>0.133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HYPERLINK("http://141.218.60.56/~jnz1568/getInfo.php?workbook=18_08.xlsx&amp;sheet=U0&amp;row=959&amp;col=6&amp;number=4.5&amp;sourceID=14","4.5")</f>
        <v>4.5</v>
      </c>
      <c r="G959" s="4" t="str">
        <f>HYPERLINK("http://141.218.60.56/~jnz1568/getInfo.php?workbook=18_08.xlsx&amp;sheet=U0&amp;row=959&amp;col=7&amp;number=0.133&amp;sourceID=14","0.133")</f>
        <v>0.133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HYPERLINK("http://141.218.60.56/~jnz1568/getInfo.php?workbook=18_08.xlsx&amp;sheet=U0&amp;row=960&amp;col=6&amp;number=4.6&amp;sourceID=14","4.6")</f>
        <v>4.6</v>
      </c>
      <c r="G960" s="4" t="str">
        <f>HYPERLINK("http://141.218.60.56/~jnz1568/getInfo.php?workbook=18_08.xlsx&amp;sheet=U0&amp;row=960&amp;col=7&amp;number=0.133&amp;sourceID=14","0.133")</f>
        <v>0.133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HYPERLINK("http://141.218.60.56/~jnz1568/getInfo.php?workbook=18_08.xlsx&amp;sheet=U0&amp;row=961&amp;col=6&amp;number=4.7&amp;sourceID=14","4.7")</f>
        <v>4.7</v>
      </c>
      <c r="G961" s="4" t="str">
        <f>HYPERLINK("http://141.218.60.56/~jnz1568/getInfo.php?workbook=18_08.xlsx&amp;sheet=U0&amp;row=961&amp;col=7&amp;number=0.133&amp;sourceID=14","0.133")</f>
        <v>0.133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HYPERLINK("http://141.218.60.56/~jnz1568/getInfo.php?workbook=18_08.xlsx&amp;sheet=U0&amp;row=962&amp;col=6&amp;number=4.8&amp;sourceID=14","4.8")</f>
        <v>4.8</v>
      </c>
      <c r="G962" s="4" t="str">
        <f>HYPERLINK("http://141.218.60.56/~jnz1568/getInfo.php?workbook=18_08.xlsx&amp;sheet=U0&amp;row=962&amp;col=7&amp;number=0.133&amp;sourceID=14","0.133")</f>
        <v>0.133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HYPERLINK("http://141.218.60.56/~jnz1568/getInfo.php?workbook=18_08.xlsx&amp;sheet=U0&amp;row=963&amp;col=6&amp;number=4.9&amp;sourceID=14","4.9")</f>
        <v>4.9</v>
      </c>
      <c r="G963" s="4" t="str">
        <f>HYPERLINK("http://141.218.60.56/~jnz1568/getInfo.php?workbook=18_08.xlsx&amp;sheet=U0&amp;row=963&amp;col=7&amp;number=0.133&amp;sourceID=14","0.133")</f>
        <v>0.133</v>
      </c>
    </row>
    <row r="964" spans="1:7">
      <c r="A964" s="3">
        <v>18</v>
      </c>
      <c r="B964" s="3">
        <v>8</v>
      </c>
      <c r="C964" s="3" t="s">
        <v>50</v>
      </c>
      <c r="D964" s="3">
        <v>0</v>
      </c>
      <c r="E964" s="3">
        <v>1</v>
      </c>
      <c r="F964" s="4" t="str">
        <f>HYPERLINK("http://141.218.60.56/~jnz1568/getInfo.php?workbook=18_08.xlsx&amp;sheet=U0&amp;row=964&amp;col=6&amp;number=3&amp;sourceID=14","3")</f>
        <v>3</v>
      </c>
      <c r="G964" s="4" t="str">
        <f>HYPERLINK("http://141.218.60.56/~jnz1568/getInfo.php?workbook=18_08.xlsx&amp;sheet=U0&amp;row=964&amp;col=7&amp;number=0.00266&amp;sourceID=14","0.00266")</f>
        <v>0.00266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HYPERLINK("http://141.218.60.56/~jnz1568/getInfo.php?workbook=18_08.xlsx&amp;sheet=U0&amp;row=965&amp;col=6&amp;number=3.1&amp;sourceID=14","3.1")</f>
        <v>3.1</v>
      </c>
      <c r="G965" s="4" t="str">
        <f>HYPERLINK("http://141.218.60.56/~jnz1568/getInfo.php?workbook=18_08.xlsx&amp;sheet=U0&amp;row=965&amp;col=7&amp;number=0.00266&amp;sourceID=14","0.00266")</f>
        <v>0.00266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HYPERLINK("http://141.218.60.56/~jnz1568/getInfo.php?workbook=18_08.xlsx&amp;sheet=U0&amp;row=966&amp;col=6&amp;number=3.2&amp;sourceID=14","3.2")</f>
        <v>3.2</v>
      </c>
      <c r="G966" s="4" t="str">
        <f>HYPERLINK("http://141.218.60.56/~jnz1568/getInfo.php?workbook=18_08.xlsx&amp;sheet=U0&amp;row=966&amp;col=7&amp;number=0.00266&amp;sourceID=14","0.00266")</f>
        <v>0.00266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HYPERLINK("http://141.218.60.56/~jnz1568/getInfo.php?workbook=18_08.xlsx&amp;sheet=U0&amp;row=967&amp;col=6&amp;number=3.3&amp;sourceID=14","3.3")</f>
        <v>3.3</v>
      </c>
      <c r="G967" s="4" t="str">
        <f>HYPERLINK("http://141.218.60.56/~jnz1568/getInfo.php?workbook=18_08.xlsx&amp;sheet=U0&amp;row=967&amp;col=7&amp;number=0.00266&amp;sourceID=14","0.00266")</f>
        <v>0.00266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HYPERLINK("http://141.218.60.56/~jnz1568/getInfo.php?workbook=18_08.xlsx&amp;sheet=U0&amp;row=968&amp;col=6&amp;number=3.4&amp;sourceID=14","3.4")</f>
        <v>3.4</v>
      </c>
      <c r="G968" s="4" t="str">
        <f>HYPERLINK("http://141.218.60.56/~jnz1568/getInfo.php?workbook=18_08.xlsx&amp;sheet=U0&amp;row=968&amp;col=7&amp;number=0.00266&amp;sourceID=14","0.00266")</f>
        <v>0.00266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HYPERLINK("http://141.218.60.56/~jnz1568/getInfo.php?workbook=18_08.xlsx&amp;sheet=U0&amp;row=969&amp;col=6&amp;number=3.5&amp;sourceID=14","3.5")</f>
        <v>3.5</v>
      </c>
      <c r="G969" s="4" t="str">
        <f>HYPERLINK("http://141.218.60.56/~jnz1568/getInfo.php?workbook=18_08.xlsx&amp;sheet=U0&amp;row=969&amp;col=7&amp;number=0.00266&amp;sourceID=14","0.00266")</f>
        <v>0.00266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HYPERLINK("http://141.218.60.56/~jnz1568/getInfo.php?workbook=18_08.xlsx&amp;sheet=U0&amp;row=970&amp;col=6&amp;number=3.6&amp;sourceID=14","3.6")</f>
        <v>3.6</v>
      </c>
      <c r="G970" s="4" t="str">
        <f>HYPERLINK("http://141.218.60.56/~jnz1568/getInfo.php?workbook=18_08.xlsx&amp;sheet=U0&amp;row=970&amp;col=7&amp;number=0.00266&amp;sourceID=14","0.00266")</f>
        <v>0.00266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HYPERLINK("http://141.218.60.56/~jnz1568/getInfo.php?workbook=18_08.xlsx&amp;sheet=U0&amp;row=971&amp;col=6&amp;number=3.7&amp;sourceID=14","3.7")</f>
        <v>3.7</v>
      </c>
      <c r="G971" s="4" t="str">
        <f>HYPERLINK("http://141.218.60.56/~jnz1568/getInfo.php?workbook=18_08.xlsx&amp;sheet=U0&amp;row=971&amp;col=7&amp;number=0.00266&amp;sourceID=14","0.00266")</f>
        <v>0.00266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HYPERLINK("http://141.218.60.56/~jnz1568/getInfo.php?workbook=18_08.xlsx&amp;sheet=U0&amp;row=972&amp;col=6&amp;number=3.8&amp;sourceID=14","3.8")</f>
        <v>3.8</v>
      </c>
      <c r="G972" s="4" t="str">
        <f>HYPERLINK("http://141.218.60.56/~jnz1568/getInfo.php?workbook=18_08.xlsx&amp;sheet=U0&amp;row=972&amp;col=7&amp;number=0.00266&amp;sourceID=14","0.00266")</f>
        <v>0.00266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HYPERLINK("http://141.218.60.56/~jnz1568/getInfo.php?workbook=18_08.xlsx&amp;sheet=U0&amp;row=973&amp;col=6&amp;number=3.9&amp;sourceID=14","3.9")</f>
        <v>3.9</v>
      </c>
      <c r="G973" s="4" t="str">
        <f>HYPERLINK("http://141.218.60.56/~jnz1568/getInfo.php?workbook=18_08.xlsx&amp;sheet=U0&amp;row=973&amp;col=7&amp;number=0.00266&amp;sourceID=14","0.00266")</f>
        <v>0.00266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HYPERLINK("http://141.218.60.56/~jnz1568/getInfo.php?workbook=18_08.xlsx&amp;sheet=U0&amp;row=974&amp;col=6&amp;number=4&amp;sourceID=14","4")</f>
        <v>4</v>
      </c>
      <c r="G974" s="4" t="str">
        <f>HYPERLINK("http://141.218.60.56/~jnz1568/getInfo.php?workbook=18_08.xlsx&amp;sheet=U0&amp;row=974&amp;col=7&amp;number=0.00266&amp;sourceID=14","0.00266")</f>
        <v>0.00266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HYPERLINK("http://141.218.60.56/~jnz1568/getInfo.php?workbook=18_08.xlsx&amp;sheet=U0&amp;row=975&amp;col=6&amp;number=4.1&amp;sourceID=14","4.1")</f>
        <v>4.1</v>
      </c>
      <c r="G975" s="4" t="str">
        <f>HYPERLINK("http://141.218.60.56/~jnz1568/getInfo.php?workbook=18_08.xlsx&amp;sheet=U0&amp;row=975&amp;col=7&amp;number=0.00266&amp;sourceID=14","0.00266")</f>
        <v>0.00266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HYPERLINK("http://141.218.60.56/~jnz1568/getInfo.php?workbook=18_08.xlsx&amp;sheet=U0&amp;row=976&amp;col=6&amp;number=4.2&amp;sourceID=14","4.2")</f>
        <v>4.2</v>
      </c>
      <c r="G976" s="4" t="str">
        <f>HYPERLINK("http://141.218.60.56/~jnz1568/getInfo.php?workbook=18_08.xlsx&amp;sheet=U0&amp;row=976&amp;col=7&amp;number=0.00266&amp;sourceID=14","0.00266")</f>
        <v>0.00266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HYPERLINK("http://141.218.60.56/~jnz1568/getInfo.php?workbook=18_08.xlsx&amp;sheet=U0&amp;row=977&amp;col=6&amp;number=4.3&amp;sourceID=14","4.3")</f>
        <v>4.3</v>
      </c>
      <c r="G977" s="4" t="str">
        <f>HYPERLINK("http://141.218.60.56/~jnz1568/getInfo.php?workbook=18_08.xlsx&amp;sheet=U0&amp;row=977&amp;col=7&amp;number=0.00266&amp;sourceID=14","0.00266")</f>
        <v>0.00266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HYPERLINK("http://141.218.60.56/~jnz1568/getInfo.php?workbook=18_08.xlsx&amp;sheet=U0&amp;row=978&amp;col=6&amp;number=4.4&amp;sourceID=14","4.4")</f>
        <v>4.4</v>
      </c>
      <c r="G978" s="4" t="str">
        <f>HYPERLINK("http://141.218.60.56/~jnz1568/getInfo.php?workbook=18_08.xlsx&amp;sheet=U0&amp;row=978&amp;col=7&amp;number=0.00265&amp;sourceID=14","0.00265")</f>
        <v>0.00265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HYPERLINK("http://141.218.60.56/~jnz1568/getInfo.php?workbook=18_08.xlsx&amp;sheet=U0&amp;row=979&amp;col=6&amp;number=4.5&amp;sourceID=14","4.5")</f>
        <v>4.5</v>
      </c>
      <c r="G979" s="4" t="str">
        <f>HYPERLINK("http://141.218.60.56/~jnz1568/getInfo.php?workbook=18_08.xlsx&amp;sheet=U0&amp;row=979&amp;col=7&amp;number=0.00265&amp;sourceID=14","0.00265")</f>
        <v>0.00265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HYPERLINK("http://141.218.60.56/~jnz1568/getInfo.php?workbook=18_08.xlsx&amp;sheet=U0&amp;row=980&amp;col=6&amp;number=4.6&amp;sourceID=14","4.6")</f>
        <v>4.6</v>
      </c>
      <c r="G980" s="4" t="str">
        <f>HYPERLINK("http://141.218.60.56/~jnz1568/getInfo.php?workbook=18_08.xlsx&amp;sheet=U0&amp;row=980&amp;col=7&amp;number=0.00265&amp;sourceID=14","0.00265")</f>
        <v>0.00265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HYPERLINK("http://141.218.60.56/~jnz1568/getInfo.php?workbook=18_08.xlsx&amp;sheet=U0&amp;row=981&amp;col=6&amp;number=4.7&amp;sourceID=14","4.7")</f>
        <v>4.7</v>
      </c>
      <c r="G981" s="4" t="str">
        <f>HYPERLINK("http://141.218.60.56/~jnz1568/getInfo.php?workbook=18_08.xlsx&amp;sheet=U0&amp;row=981&amp;col=7&amp;number=0.00265&amp;sourceID=14","0.00265")</f>
        <v>0.00265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HYPERLINK("http://141.218.60.56/~jnz1568/getInfo.php?workbook=18_08.xlsx&amp;sheet=U0&amp;row=982&amp;col=6&amp;number=4.8&amp;sourceID=14","4.8")</f>
        <v>4.8</v>
      </c>
      <c r="G982" s="4" t="str">
        <f>HYPERLINK("http://141.218.60.56/~jnz1568/getInfo.php?workbook=18_08.xlsx&amp;sheet=U0&amp;row=982&amp;col=7&amp;number=0.00264&amp;sourceID=14","0.00264")</f>
        <v>0.00264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HYPERLINK("http://141.218.60.56/~jnz1568/getInfo.php?workbook=18_08.xlsx&amp;sheet=U0&amp;row=983&amp;col=6&amp;number=4.9&amp;sourceID=14","4.9")</f>
        <v>4.9</v>
      </c>
      <c r="G983" s="4" t="str">
        <f>HYPERLINK("http://141.218.60.56/~jnz1568/getInfo.php?workbook=18_08.xlsx&amp;sheet=U0&amp;row=983&amp;col=7&amp;number=0.00263&amp;sourceID=14","0.00263")</f>
        <v>0.00263</v>
      </c>
    </row>
    <row r="984" spans="1:7">
      <c r="A984" s="3">
        <v>18</v>
      </c>
      <c r="B984" s="3">
        <v>8</v>
      </c>
      <c r="C984" s="3" t="s">
        <v>50</v>
      </c>
      <c r="D984" s="3">
        <v>1</v>
      </c>
      <c r="E984" s="3">
        <v>1</v>
      </c>
      <c r="F984" s="4" t="str">
        <f>HYPERLINK("http://141.218.60.56/~jnz1568/getInfo.php?workbook=18_08.xlsx&amp;sheet=U0&amp;row=984&amp;col=6&amp;number=3&amp;sourceID=14","3")</f>
        <v>3</v>
      </c>
      <c r="G984" s="4" t="str">
        <f>HYPERLINK("http://141.218.60.56/~jnz1568/getInfo.php?workbook=18_08.xlsx&amp;sheet=U0&amp;row=984&amp;col=7&amp;number=0.0326&amp;sourceID=14","0.0326")</f>
        <v>0.0326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HYPERLINK("http://141.218.60.56/~jnz1568/getInfo.php?workbook=18_08.xlsx&amp;sheet=U0&amp;row=985&amp;col=6&amp;number=3.1&amp;sourceID=14","3.1")</f>
        <v>3.1</v>
      </c>
      <c r="G985" s="4" t="str">
        <f>HYPERLINK("http://141.218.60.56/~jnz1568/getInfo.php?workbook=18_08.xlsx&amp;sheet=U0&amp;row=985&amp;col=7&amp;number=0.0326&amp;sourceID=14","0.0326")</f>
        <v>0.0326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HYPERLINK("http://141.218.60.56/~jnz1568/getInfo.php?workbook=18_08.xlsx&amp;sheet=U0&amp;row=986&amp;col=6&amp;number=3.2&amp;sourceID=14","3.2")</f>
        <v>3.2</v>
      </c>
      <c r="G986" s="4" t="str">
        <f>HYPERLINK("http://141.218.60.56/~jnz1568/getInfo.php?workbook=18_08.xlsx&amp;sheet=U0&amp;row=986&amp;col=7&amp;number=0.0326&amp;sourceID=14","0.0326")</f>
        <v>0.0326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HYPERLINK("http://141.218.60.56/~jnz1568/getInfo.php?workbook=18_08.xlsx&amp;sheet=U0&amp;row=987&amp;col=6&amp;number=3.3&amp;sourceID=14","3.3")</f>
        <v>3.3</v>
      </c>
      <c r="G987" s="4" t="str">
        <f>HYPERLINK("http://141.218.60.56/~jnz1568/getInfo.php?workbook=18_08.xlsx&amp;sheet=U0&amp;row=987&amp;col=7&amp;number=0.0326&amp;sourceID=14","0.0326")</f>
        <v>0.0326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HYPERLINK("http://141.218.60.56/~jnz1568/getInfo.php?workbook=18_08.xlsx&amp;sheet=U0&amp;row=988&amp;col=6&amp;number=3.4&amp;sourceID=14","3.4")</f>
        <v>3.4</v>
      </c>
      <c r="G988" s="4" t="str">
        <f>HYPERLINK("http://141.218.60.56/~jnz1568/getInfo.php?workbook=18_08.xlsx&amp;sheet=U0&amp;row=988&amp;col=7&amp;number=0.0326&amp;sourceID=14","0.0326")</f>
        <v>0.0326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HYPERLINK("http://141.218.60.56/~jnz1568/getInfo.php?workbook=18_08.xlsx&amp;sheet=U0&amp;row=989&amp;col=6&amp;number=3.5&amp;sourceID=14","3.5")</f>
        <v>3.5</v>
      </c>
      <c r="G989" s="4" t="str">
        <f>HYPERLINK("http://141.218.60.56/~jnz1568/getInfo.php?workbook=18_08.xlsx&amp;sheet=U0&amp;row=989&amp;col=7&amp;number=0.0326&amp;sourceID=14","0.0326")</f>
        <v>0.0326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HYPERLINK("http://141.218.60.56/~jnz1568/getInfo.php?workbook=18_08.xlsx&amp;sheet=U0&amp;row=990&amp;col=6&amp;number=3.6&amp;sourceID=14","3.6")</f>
        <v>3.6</v>
      </c>
      <c r="G990" s="4" t="str">
        <f>HYPERLINK("http://141.218.60.56/~jnz1568/getInfo.php?workbook=18_08.xlsx&amp;sheet=U0&amp;row=990&amp;col=7&amp;number=0.0326&amp;sourceID=14","0.0326")</f>
        <v>0.0326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HYPERLINK("http://141.218.60.56/~jnz1568/getInfo.php?workbook=18_08.xlsx&amp;sheet=U0&amp;row=991&amp;col=6&amp;number=3.7&amp;sourceID=14","3.7")</f>
        <v>3.7</v>
      </c>
      <c r="G991" s="4" t="str">
        <f>HYPERLINK("http://141.218.60.56/~jnz1568/getInfo.php?workbook=18_08.xlsx&amp;sheet=U0&amp;row=991&amp;col=7&amp;number=0.0326&amp;sourceID=14","0.0326")</f>
        <v>0.0326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HYPERLINK("http://141.218.60.56/~jnz1568/getInfo.php?workbook=18_08.xlsx&amp;sheet=U0&amp;row=992&amp;col=6&amp;number=3.8&amp;sourceID=14","3.8")</f>
        <v>3.8</v>
      </c>
      <c r="G992" s="4" t="str">
        <f>HYPERLINK("http://141.218.60.56/~jnz1568/getInfo.php?workbook=18_08.xlsx&amp;sheet=U0&amp;row=992&amp;col=7&amp;number=0.0326&amp;sourceID=14","0.0326")</f>
        <v>0.0326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HYPERLINK("http://141.218.60.56/~jnz1568/getInfo.php?workbook=18_08.xlsx&amp;sheet=U0&amp;row=993&amp;col=6&amp;number=3.9&amp;sourceID=14","3.9")</f>
        <v>3.9</v>
      </c>
      <c r="G993" s="4" t="str">
        <f>HYPERLINK("http://141.218.60.56/~jnz1568/getInfo.php?workbook=18_08.xlsx&amp;sheet=U0&amp;row=993&amp;col=7&amp;number=0.0326&amp;sourceID=14","0.0326")</f>
        <v>0.0326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HYPERLINK("http://141.218.60.56/~jnz1568/getInfo.php?workbook=18_08.xlsx&amp;sheet=U0&amp;row=994&amp;col=6&amp;number=4&amp;sourceID=14","4")</f>
        <v>4</v>
      </c>
      <c r="G994" s="4" t="str">
        <f>HYPERLINK("http://141.218.60.56/~jnz1568/getInfo.php?workbook=18_08.xlsx&amp;sheet=U0&amp;row=994&amp;col=7&amp;number=0.0326&amp;sourceID=14","0.0326")</f>
        <v>0.0326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HYPERLINK("http://141.218.60.56/~jnz1568/getInfo.php?workbook=18_08.xlsx&amp;sheet=U0&amp;row=995&amp;col=6&amp;number=4.1&amp;sourceID=14","4.1")</f>
        <v>4.1</v>
      </c>
      <c r="G995" s="4" t="str">
        <f>HYPERLINK("http://141.218.60.56/~jnz1568/getInfo.php?workbook=18_08.xlsx&amp;sheet=U0&amp;row=995&amp;col=7&amp;number=0.0326&amp;sourceID=14","0.0326")</f>
        <v>0.0326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HYPERLINK("http://141.218.60.56/~jnz1568/getInfo.php?workbook=18_08.xlsx&amp;sheet=U0&amp;row=996&amp;col=6&amp;number=4.2&amp;sourceID=14","4.2")</f>
        <v>4.2</v>
      </c>
      <c r="G996" s="4" t="str">
        <f>HYPERLINK("http://141.218.60.56/~jnz1568/getInfo.php?workbook=18_08.xlsx&amp;sheet=U0&amp;row=996&amp;col=7&amp;number=0.0326&amp;sourceID=14","0.0326")</f>
        <v>0.0326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HYPERLINK("http://141.218.60.56/~jnz1568/getInfo.php?workbook=18_08.xlsx&amp;sheet=U0&amp;row=997&amp;col=6&amp;number=4.3&amp;sourceID=14","4.3")</f>
        <v>4.3</v>
      </c>
      <c r="G997" s="4" t="str">
        <f>HYPERLINK("http://141.218.60.56/~jnz1568/getInfo.php?workbook=18_08.xlsx&amp;sheet=U0&amp;row=997&amp;col=7&amp;number=0.0326&amp;sourceID=14","0.0326")</f>
        <v>0.0326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HYPERLINK("http://141.218.60.56/~jnz1568/getInfo.php?workbook=18_08.xlsx&amp;sheet=U0&amp;row=998&amp;col=6&amp;number=4.4&amp;sourceID=14","4.4")</f>
        <v>4.4</v>
      </c>
      <c r="G998" s="4" t="str">
        <f>HYPERLINK("http://141.218.60.56/~jnz1568/getInfo.php?workbook=18_08.xlsx&amp;sheet=U0&amp;row=998&amp;col=7&amp;number=0.0326&amp;sourceID=14","0.0326")</f>
        <v>0.0326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HYPERLINK("http://141.218.60.56/~jnz1568/getInfo.php?workbook=18_08.xlsx&amp;sheet=U0&amp;row=999&amp;col=6&amp;number=4.5&amp;sourceID=14","4.5")</f>
        <v>4.5</v>
      </c>
      <c r="G999" s="4" t="str">
        <f>HYPERLINK("http://141.218.60.56/~jnz1568/getInfo.php?workbook=18_08.xlsx&amp;sheet=U0&amp;row=999&amp;col=7&amp;number=0.0326&amp;sourceID=14","0.0326")</f>
        <v>0.0326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HYPERLINK("http://141.218.60.56/~jnz1568/getInfo.php?workbook=18_08.xlsx&amp;sheet=U0&amp;row=1000&amp;col=6&amp;number=4.6&amp;sourceID=14","4.6")</f>
        <v>4.6</v>
      </c>
      <c r="G1000" s="4" t="str">
        <f>HYPERLINK("http://141.218.60.56/~jnz1568/getInfo.php?workbook=18_08.xlsx&amp;sheet=U0&amp;row=1000&amp;col=7&amp;number=0.0326&amp;sourceID=14","0.0326")</f>
        <v>0.0326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HYPERLINK("http://141.218.60.56/~jnz1568/getInfo.php?workbook=18_08.xlsx&amp;sheet=U0&amp;row=1001&amp;col=6&amp;number=4.7&amp;sourceID=14","4.7")</f>
        <v>4.7</v>
      </c>
      <c r="G1001" s="4" t="str">
        <f>HYPERLINK("http://141.218.60.56/~jnz1568/getInfo.php?workbook=18_08.xlsx&amp;sheet=U0&amp;row=1001&amp;col=7&amp;number=0.0326&amp;sourceID=14","0.0326")</f>
        <v>0.0326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HYPERLINK("http://141.218.60.56/~jnz1568/getInfo.php?workbook=18_08.xlsx&amp;sheet=U0&amp;row=1002&amp;col=6&amp;number=4.8&amp;sourceID=14","4.8")</f>
        <v>4.8</v>
      </c>
      <c r="G1002" s="4" t="str">
        <f>HYPERLINK("http://141.218.60.56/~jnz1568/getInfo.php?workbook=18_08.xlsx&amp;sheet=U0&amp;row=1002&amp;col=7&amp;number=0.0327&amp;sourceID=14","0.0327")</f>
        <v>0.0327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HYPERLINK("http://141.218.60.56/~jnz1568/getInfo.php?workbook=18_08.xlsx&amp;sheet=U0&amp;row=1003&amp;col=6&amp;number=4.9&amp;sourceID=14","4.9")</f>
        <v>4.9</v>
      </c>
      <c r="G1003" s="4" t="str">
        <f>HYPERLINK("http://141.218.60.56/~jnz1568/getInfo.php?workbook=18_08.xlsx&amp;sheet=U0&amp;row=1003&amp;col=7&amp;number=0.0327&amp;sourceID=14","0.0327")</f>
        <v>0.0327</v>
      </c>
    </row>
    <row r="1004" spans="1:7">
      <c r="A1004" s="3">
        <v>18</v>
      </c>
      <c r="B1004" s="3">
        <v>8</v>
      </c>
      <c r="C1004" s="3" t="s">
        <v>50</v>
      </c>
      <c r="D1004" s="3">
        <v>2</v>
      </c>
      <c r="E1004" s="3">
        <v>1</v>
      </c>
      <c r="F1004" s="4" t="str">
        <f>HYPERLINK("http://141.218.60.56/~jnz1568/getInfo.php?workbook=18_08.xlsx&amp;sheet=U0&amp;row=1004&amp;col=6&amp;number=3&amp;sourceID=14","3")</f>
        <v>3</v>
      </c>
      <c r="G1004" s="4" t="str">
        <f>HYPERLINK("http://141.218.60.56/~jnz1568/getInfo.php?workbook=18_08.xlsx&amp;sheet=U0&amp;row=1004&amp;col=7&amp;number=0.00865&amp;sourceID=14","0.00865")</f>
        <v>0.00865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HYPERLINK("http://141.218.60.56/~jnz1568/getInfo.php?workbook=18_08.xlsx&amp;sheet=U0&amp;row=1005&amp;col=6&amp;number=3.1&amp;sourceID=14","3.1")</f>
        <v>3.1</v>
      </c>
      <c r="G1005" s="4" t="str">
        <f>HYPERLINK("http://141.218.60.56/~jnz1568/getInfo.php?workbook=18_08.xlsx&amp;sheet=U0&amp;row=1005&amp;col=7&amp;number=0.00865&amp;sourceID=14","0.00865")</f>
        <v>0.00865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HYPERLINK("http://141.218.60.56/~jnz1568/getInfo.php?workbook=18_08.xlsx&amp;sheet=U0&amp;row=1006&amp;col=6&amp;number=3.2&amp;sourceID=14","3.2")</f>
        <v>3.2</v>
      </c>
      <c r="G1006" s="4" t="str">
        <f>HYPERLINK("http://141.218.60.56/~jnz1568/getInfo.php?workbook=18_08.xlsx&amp;sheet=U0&amp;row=1006&amp;col=7&amp;number=0.00865&amp;sourceID=14","0.00865")</f>
        <v>0.00865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HYPERLINK("http://141.218.60.56/~jnz1568/getInfo.php?workbook=18_08.xlsx&amp;sheet=U0&amp;row=1007&amp;col=6&amp;number=3.3&amp;sourceID=14","3.3")</f>
        <v>3.3</v>
      </c>
      <c r="G1007" s="4" t="str">
        <f>HYPERLINK("http://141.218.60.56/~jnz1568/getInfo.php?workbook=18_08.xlsx&amp;sheet=U0&amp;row=1007&amp;col=7&amp;number=0.00865&amp;sourceID=14","0.00865")</f>
        <v>0.00865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HYPERLINK("http://141.218.60.56/~jnz1568/getInfo.php?workbook=18_08.xlsx&amp;sheet=U0&amp;row=1008&amp;col=6&amp;number=3.4&amp;sourceID=14","3.4")</f>
        <v>3.4</v>
      </c>
      <c r="G1008" s="4" t="str">
        <f>HYPERLINK("http://141.218.60.56/~jnz1568/getInfo.php?workbook=18_08.xlsx&amp;sheet=U0&amp;row=1008&amp;col=7&amp;number=0.00865&amp;sourceID=14","0.00865")</f>
        <v>0.00865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HYPERLINK("http://141.218.60.56/~jnz1568/getInfo.php?workbook=18_08.xlsx&amp;sheet=U0&amp;row=1009&amp;col=6&amp;number=3.5&amp;sourceID=14","3.5")</f>
        <v>3.5</v>
      </c>
      <c r="G1009" s="4" t="str">
        <f>HYPERLINK("http://141.218.60.56/~jnz1568/getInfo.php?workbook=18_08.xlsx&amp;sheet=U0&amp;row=1009&amp;col=7&amp;number=0.00865&amp;sourceID=14","0.00865")</f>
        <v>0.00865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HYPERLINK("http://141.218.60.56/~jnz1568/getInfo.php?workbook=18_08.xlsx&amp;sheet=U0&amp;row=1010&amp;col=6&amp;number=3.6&amp;sourceID=14","3.6")</f>
        <v>3.6</v>
      </c>
      <c r="G1010" s="4" t="str">
        <f>HYPERLINK("http://141.218.60.56/~jnz1568/getInfo.php?workbook=18_08.xlsx&amp;sheet=U0&amp;row=1010&amp;col=7&amp;number=0.00865&amp;sourceID=14","0.00865")</f>
        <v>0.00865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HYPERLINK("http://141.218.60.56/~jnz1568/getInfo.php?workbook=18_08.xlsx&amp;sheet=U0&amp;row=1011&amp;col=6&amp;number=3.7&amp;sourceID=14","3.7")</f>
        <v>3.7</v>
      </c>
      <c r="G1011" s="4" t="str">
        <f>HYPERLINK("http://141.218.60.56/~jnz1568/getInfo.php?workbook=18_08.xlsx&amp;sheet=U0&amp;row=1011&amp;col=7&amp;number=0.00865&amp;sourceID=14","0.00865")</f>
        <v>0.00865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HYPERLINK("http://141.218.60.56/~jnz1568/getInfo.php?workbook=18_08.xlsx&amp;sheet=U0&amp;row=1012&amp;col=6&amp;number=3.8&amp;sourceID=14","3.8")</f>
        <v>3.8</v>
      </c>
      <c r="G1012" s="4" t="str">
        <f>HYPERLINK("http://141.218.60.56/~jnz1568/getInfo.php?workbook=18_08.xlsx&amp;sheet=U0&amp;row=1012&amp;col=7&amp;number=0.00865&amp;sourceID=14","0.00865")</f>
        <v>0.00865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HYPERLINK("http://141.218.60.56/~jnz1568/getInfo.php?workbook=18_08.xlsx&amp;sheet=U0&amp;row=1013&amp;col=6&amp;number=3.9&amp;sourceID=14","3.9")</f>
        <v>3.9</v>
      </c>
      <c r="G1013" s="4" t="str">
        <f>HYPERLINK("http://141.218.60.56/~jnz1568/getInfo.php?workbook=18_08.xlsx&amp;sheet=U0&amp;row=1013&amp;col=7&amp;number=0.00865&amp;sourceID=14","0.00865")</f>
        <v>0.00865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HYPERLINK("http://141.218.60.56/~jnz1568/getInfo.php?workbook=18_08.xlsx&amp;sheet=U0&amp;row=1014&amp;col=6&amp;number=4&amp;sourceID=14","4")</f>
        <v>4</v>
      </c>
      <c r="G1014" s="4" t="str">
        <f>HYPERLINK("http://141.218.60.56/~jnz1568/getInfo.php?workbook=18_08.xlsx&amp;sheet=U0&amp;row=1014&amp;col=7&amp;number=0.00865&amp;sourceID=14","0.00865")</f>
        <v>0.00865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HYPERLINK("http://141.218.60.56/~jnz1568/getInfo.php?workbook=18_08.xlsx&amp;sheet=U0&amp;row=1015&amp;col=6&amp;number=4.1&amp;sourceID=14","4.1")</f>
        <v>4.1</v>
      </c>
      <c r="G1015" s="4" t="str">
        <f>HYPERLINK("http://141.218.60.56/~jnz1568/getInfo.php?workbook=18_08.xlsx&amp;sheet=U0&amp;row=1015&amp;col=7&amp;number=0.00865&amp;sourceID=14","0.00865")</f>
        <v>0.00865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HYPERLINK("http://141.218.60.56/~jnz1568/getInfo.php?workbook=18_08.xlsx&amp;sheet=U0&amp;row=1016&amp;col=6&amp;number=4.2&amp;sourceID=14","4.2")</f>
        <v>4.2</v>
      </c>
      <c r="G1016" s="4" t="str">
        <f>HYPERLINK("http://141.218.60.56/~jnz1568/getInfo.php?workbook=18_08.xlsx&amp;sheet=U0&amp;row=1016&amp;col=7&amp;number=0.00865&amp;sourceID=14","0.00865")</f>
        <v>0.00865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HYPERLINK("http://141.218.60.56/~jnz1568/getInfo.php?workbook=18_08.xlsx&amp;sheet=U0&amp;row=1017&amp;col=6&amp;number=4.3&amp;sourceID=14","4.3")</f>
        <v>4.3</v>
      </c>
      <c r="G1017" s="4" t="str">
        <f>HYPERLINK("http://141.218.60.56/~jnz1568/getInfo.php?workbook=18_08.xlsx&amp;sheet=U0&amp;row=1017&amp;col=7&amp;number=0.00865&amp;sourceID=14","0.00865")</f>
        <v>0.00865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HYPERLINK("http://141.218.60.56/~jnz1568/getInfo.php?workbook=18_08.xlsx&amp;sheet=U0&amp;row=1018&amp;col=6&amp;number=4.4&amp;sourceID=14","4.4")</f>
        <v>4.4</v>
      </c>
      <c r="G1018" s="4" t="str">
        <f>HYPERLINK("http://141.218.60.56/~jnz1568/getInfo.php?workbook=18_08.xlsx&amp;sheet=U0&amp;row=1018&amp;col=7&amp;number=0.00865&amp;sourceID=14","0.00865")</f>
        <v>0.00865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HYPERLINK("http://141.218.60.56/~jnz1568/getInfo.php?workbook=18_08.xlsx&amp;sheet=U0&amp;row=1019&amp;col=6&amp;number=4.5&amp;sourceID=14","4.5")</f>
        <v>4.5</v>
      </c>
      <c r="G1019" s="4" t="str">
        <f>HYPERLINK("http://141.218.60.56/~jnz1568/getInfo.php?workbook=18_08.xlsx&amp;sheet=U0&amp;row=1019&amp;col=7&amp;number=0.00864&amp;sourceID=14","0.00864")</f>
        <v>0.00864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HYPERLINK("http://141.218.60.56/~jnz1568/getInfo.php?workbook=18_08.xlsx&amp;sheet=U0&amp;row=1020&amp;col=6&amp;number=4.6&amp;sourceID=14","4.6")</f>
        <v>4.6</v>
      </c>
      <c r="G1020" s="4" t="str">
        <f>HYPERLINK("http://141.218.60.56/~jnz1568/getInfo.php?workbook=18_08.xlsx&amp;sheet=U0&amp;row=1020&amp;col=7&amp;number=0.00864&amp;sourceID=14","0.00864")</f>
        <v>0.00864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HYPERLINK("http://141.218.60.56/~jnz1568/getInfo.php?workbook=18_08.xlsx&amp;sheet=U0&amp;row=1021&amp;col=6&amp;number=4.7&amp;sourceID=14","4.7")</f>
        <v>4.7</v>
      </c>
      <c r="G1021" s="4" t="str">
        <f>HYPERLINK("http://141.218.60.56/~jnz1568/getInfo.php?workbook=18_08.xlsx&amp;sheet=U0&amp;row=1021&amp;col=7&amp;number=0.00864&amp;sourceID=14","0.00864")</f>
        <v>0.00864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HYPERLINK("http://141.218.60.56/~jnz1568/getInfo.php?workbook=18_08.xlsx&amp;sheet=U0&amp;row=1022&amp;col=6&amp;number=4.8&amp;sourceID=14","4.8")</f>
        <v>4.8</v>
      </c>
      <c r="G1022" s="4" t="str">
        <f>HYPERLINK("http://141.218.60.56/~jnz1568/getInfo.php?workbook=18_08.xlsx&amp;sheet=U0&amp;row=1022&amp;col=7&amp;number=0.00864&amp;sourceID=14","0.00864")</f>
        <v>0.00864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HYPERLINK("http://141.218.60.56/~jnz1568/getInfo.php?workbook=18_08.xlsx&amp;sheet=U0&amp;row=1023&amp;col=6&amp;number=4.9&amp;sourceID=14","4.9")</f>
        <v>4.9</v>
      </c>
      <c r="G1023" s="4" t="str">
        <f>HYPERLINK("http://141.218.60.56/~jnz1568/getInfo.php?workbook=18_08.xlsx&amp;sheet=U0&amp;row=1023&amp;col=7&amp;number=0.00863&amp;sourceID=14","0.00863")</f>
        <v>0.00863</v>
      </c>
    </row>
    <row r="1024" spans="1:7">
      <c r="A1024" s="3">
        <v>18</v>
      </c>
      <c r="B1024" s="3">
        <v>8</v>
      </c>
      <c r="C1024" s="3" t="s">
        <v>50</v>
      </c>
      <c r="D1024" s="3">
        <v>3</v>
      </c>
      <c r="E1024" s="3">
        <v>1</v>
      </c>
      <c r="F1024" s="4" t="str">
        <f>HYPERLINK("http://141.218.60.56/~jnz1568/getInfo.php?workbook=18_08.xlsx&amp;sheet=U0&amp;row=1024&amp;col=6&amp;number=3&amp;sourceID=14","3")</f>
        <v>3</v>
      </c>
      <c r="G1024" s="4" t="str">
        <f>HYPERLINK("http://141.218.60.56/~jnz1568/getInfo.php?workbook=18_08.xlsx&amp;sheet=U0&amp;row=1024&amp;col=7&amp;number=0.000363&amp;sourceID=14","0.000363")</f>
        <v>0.000363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HYPERLINK("http://141.218.60.56/~jnz1568/getInfo.php?workbook=18_08.xlsx&amp;sheet=U0&amp;row=1025&amp;col=6&amp;number=3.1&amp;sourceID=14","3.1")</f>
        <v>3.1</v>
      </c>
      <c r="G1025" s="4" t="str">
        <f>HYPERLINK("http://141.218.60.56/~jnz1568/getInfo.php?workbook=18_08.xlsx&amp;sheet=U0&amp;row=1025&amp;col=7&amp;number=0.000363&amp;sourceID=14","0.000363")</f>
        <v>0.000363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HYPERLINK("http://141.218.60.56/~jnz1568/getInfo.php?workbook=18_08.xlsx&amp;sheet=U0&amp;row=1026&amp;col=6&amp;number=3.2&amp;sourceID=14","3.2")</f>
        <v>3.2</v>
      </c>
      <c r="G1026" s="4" t="str">
        <f>HYPERLINK("http://141.218.60.56/~jnz1568/getInfo.php?workbook=18_08.xlsx&amp;sheet=U0&amp;row=1026&amp;col=7&amp;number=0.000363&amp;sourceID=14","0.000363")</f>
        <v>0.000363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HYPERLINK("http://141.218.60.56/~jnz1568/getInfo.php?workbook=18_08.xlsx&amp;sheet=U0&amp;row=1027&amp;col=6&amp;number=3.3&amp;sourceID=14","3.3")</f>
        <v>3.3</v>
      </c>
      <c r="G1027" s="4" t="str">
        <f>HYPERLINK("http://141.218.60.56/~jnz1568/getInfo.php?workbook=18_08.xlsx&amp;sheet=U0&amp;row=1027&amp;col=7&amp;number=0.000363&amp;sourceID=14","0.000363")</f>
        <v>0.000363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HYPERLINK("http://141.218.60.56/~jnz1568/getInfo.php?workbook=18_08.xlsx&amp;sheet=U0&amp;row=1028&amp;col=6&amp;number=3.4&amp;sourceID=14","3.4")</f>
        <v>3.4</v>
      </c>
      <c r="G1028" s="4" t="str">
        <f>HYPERLINK("http://141.218.60.56/~jnz1568/getInfo.php?workbook=18_08.xlsx&amp;sheet=U0&amp;row=1028&amp;col=7&amp;number=0.000363&amp;sourceID=14","0.000363")</f>
        <v>0.000363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HYPERLINK("http://141.218.60.56/~jnz1568/getInfo.php?workbook=18_08.xlsx&amp;sheet=U0&amp;row=1029&amp;col=6&amp;number=3.5&amp;sourceID=14","3.5")</f>
        <v>3.5</v>
      </c>
      <c r="G1029" s="4" t="str">
        <f>HYPERLINK("http://141.218.60.56/~jnz1568/getInfo.php?workbook=18_08.xlsx&amp;sheet=U0&amp;row=1029&amp;col=7&amp;number=0.000363&amp;sourceID=14","0.000363")</f>
        <v>0.000363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HYPERLINK("http://141.218.60.56/~jnz1568/getInfo.php?workbook=18_08.xlsx&amp;sheet=U0&amp;row=1030&amp;col=6&amp;number=3.6&amp;sourceID=14","3.6")</f>
        <v>3.6</v>
      </c>
      <c r="G1030" s="4" t="str">
        <f>HYPERLINK("http://141.218.60.56/~jnz1568/getInfo.php?workbook=18_08.xlsx&amp;sheet=U0&amp;row=1030&amp;col=7&amp;number=0.000363&amp;sourceID=14","0.000363")</f>
        <v>0.000363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HYPERLINK("http://141.218.60.56/~jnz1568/getInfo.php?workbook=18_08.xlsx&amp;sheet=U0&amp;row=1031&amp;col=6&amp;number=3.7&amp;sourceID=14","3.7")</f>
        <v>3.7</v>
      </c>
      <c r="G1031" s="4" t="str">
        <f>HYPERLINK("http://141.218.60.56/~jnz1568/getInfo.php?workbook=18_08.xlsx&amp;sheet=U0&amp;row=1031&amp;col=7&amp;number=0.000363&amp;sourceID=14","0.000363")</f>
        <v>0.000363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HYPERLINK("http://141.218.60.56/~jnz1568/getInfo.php?workbook=18_08.xlsx&amp;sheet=U0&amp;row=1032&amp;col=6&amp;number=3.8&amp;sourceID=14","3.8")</f>
        <v>3.8</v>
      </c>
      <c r="G1032" s="4" t="str">
        <f>HYPERLINK("http://141.218.60.56/~jnz1568/getInfo.php?workbook=18_08.xlsx&amp;sheet=U0&amp;row=1032&amp;col=7&amp;number=0.000363&amp;sourceID=14","0.000363")</f>
        <v>0.000363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HYPERLINK("http://141.218.60.56/~jnz1568/getInfo.php?workbook=18_08.xlsx&amp;sheet=U0&amp;row=1033&amp;col=6&amp;number=3.9&amp;sourceID=14","3.9")</f>
        <v>3.9</v>
      </c>
      <c r="G1033" s="4" t="str">
        <f>HYPERLINK("http://141.218.60.56/~jnz1568/getInfo.php?workbook=18_08.xlsx&amp;sheet=U0&amp;row=1033&amp;col=7&amp;number=0.000363&amp;sourceID=14","0.000363")</f>
        <v>0.000363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HYPERLINK("http://141.218.60.56/~jnz1568/getInfo.php?workbook=18_08.xlsx&amp;sheet=U0&amp;row=1034&amp;col=6&amp;number=4&amp;sourceID=14","4")</f>
        <v>4</v>
      </c>
      <c r="G1034" s="4" t="str">
        <f>HYPERLINK("http://141.218.60.56/~jnz1568/getInfo.php?workbook=18_08.xlsx&amp;sheet=U0&amp;row=1034&amp;col=7&amp;number=0.000363&amp;sourceID=14","0.000363")</f>
        <v>0.000363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HYPERLINK("http://141.218.60.56/~jnz1568/getInfo.php?workbook=18_08.xlsx&amp;sheet=U0&amp;row=1035&amp;col=6&amp;number=4.1&amp;sourceID=14","4.1")</f>
        <v>4.1</v>
      </c>
      <c r="G1035" s="4" t="str">
        <f>HYPERLINK("http://141.218.60.56/~jnz1568/getInfo.php?workbook=18_08.xlsx&amp;sheet=U0&amp;row=1035&amp;col=7&amp;number=0.000363&amp;sourceID=14","0.000363")</f>
        <v>0.000363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HYPERLINK("http://141.218.60.56/~jnz1568/getInfo.php?workbook=18_08.xlsx&amp;sheet=U0&amp;row=1036&amp;col=6&amp;number=4.2&amp;sourceID=14","4.2")</f>
        <v>4.2</v>
      </c>
      <c r="G1036" s="4" t="str">
        <f>HYPERLINK("http://141.218.60.56/~jnz1568/getInfo.php?workbook=18_08.xlsx&amp;sheet=U0&amp;row=1036&amp;col=7&amp;number=0.000362&amp;sourceID=14","0.000362")</f>
        <v>0.000362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HYPERLINK("http://141.218.60.56/~jnz1568/getInfo.php?workbook=18_08.xlsx&amp;sheet=U0&amp;row=1037&amp;col=6&amp;number=4.3&amp;sourceID=14","4.3")</f>
        <v>4.3</v>
      </c>
      <c r="G1037" s="4" t="str">
        <f>HYPERLINK("http://141.218.60.56/~jnz1568/getInfo.php?workbook=18_08.xlsx&amp;sheet=U0&amp;row=1037&amp;col=7&amp;number=0.000362&amp;sourceID=14","0.000362")</f>
        <v>0.000362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HYPERLINK("http://141.218.60.56/~jnz1568/getInfo.php?workbook=18_08.xlsx&amp;sheet=U0&amp;row=1038&amp;col=6&amp;number=4.4&amp;sourceID=14","4.4")</f>
        <v>4.4</v>
      </c>
      <c r="G1038" s="4" t="str">
        <f>HYPERLINK("http://141.218.60.56/~jnz1568/getInfo.php?workbook=18_08.xlsx&amp;sheet=U0&amp;row=1038&amp;col=7&amp;number=0.000362&amp;sourceID=14","0.000362")</f>
        <v>0.000362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HYPERLINK("http://141.218.60.56/~jnz1568/getInfo.php?workbook=18_08.xlsx&amp;sheet=U0&amp;row=1039&amp;col=6&amp;number=4.5&amp;sourceID=14","4.5")</f>
        <v>4.5</v>
      </c>
      <c r="G1039" s="4" t="str">
        <f>HYPERLINK("http://141.218.60.56/~jnz1568/getInfo.php?workbook=18_08.xlsx&amp;sheet=U0&amp;row=1039&amp;col=7&amp;number=0.000362&amp;sourceID=14","0.000362")</f>
        <v>0.000362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HYPERLINK("http://141.218.60.56/~jnz1568/getInfo.php?workbook=18_08.xlsx&amp;sheet=U0&amp;row=1040&amp;col=6&amp;number=4.6&amp;sourceID=14","4.6")</f>
        <v>4.6</v>
      </c>
      <c r="G1040" s="4" t="str">
        <f>HYPERLINK("http://141.218.60.56/~jnz1568/getInfo.php?workbook=18_08.xlsx&amp;sheet=U0&amp;row=1040&amp;col=7&amp;number=0.000361&amp;sourceID=14","0.000361")</f>
        <v>0.000361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HYPERLINK("http://141.218.60.56/~jnz1568/getInfo.php?workbook=18_08.xlsx&amp;sheet=U0&amp;row=1041&amp;col=6&amp;number=4.7&amp;sourceID=14","4.7")</f>
        <v>4.7</v>
      </c>
      <c r="G1041" s="4" t="str">
        <f>HYPERLINK("http://141.218.60.56/~jnz1568/getInfo.php?workbook=18_08.xlsx&amp;sheet=U0&amp;row=1041&amp;col=7&amp;number=0.000361&amp;sourceID=14","0.000361")</f>
        <v>0.000361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HYPERLINK("http://141.218.60.56/~jnz1568/getInfo.php?workbook=18_08.xlsx&amp;sheet=U0&amp;row=1042&amp;col=6&amp;number=4.8&amp;sourceID=14","4.8")</f>
        <v>4.8</v>
      </c>
      <c r="G1042" s="4" t="str">
        <f>HYPERLINK("http://141.218.60.56/~jnz1568/getInfo.php?workbook=18_08.xlsx&amp;sheet=U0&amp;row=1042&amp;col=7&amp;number=0.00036&amp;sourceID=14","0.00036")</f>
        <v>0.00036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HYPERLINK("http://141.218.60.56/~jnz1568/getInfo.php?workbook=18_08.xlsx&amp;sheet=U0&amp;row=1043&amp;col=6&amp;number=4.9&amp;sourceID=14","4.9")</f>
        <v>4.9</v>
      </c>
      <c r="G1043" s="4" t="str">
        <f>HYPERLINK("http://141.218.60.56/~jnz1568/getInfo.php?workbook=18_08.xlsx&amp;sheet=U0&amp;row=1043&amp;col=7&amp;number=0.000359&amp;sourceID=14","0.000359")</f>
        <v>0.000359</v>
      </c>
    </row>
    <row r="1044" spans="1:7">
      <c r="A1044" s="3">
        <v>18</v>
      </c>
      <c r="B1044" s="3">
        <v>8</v>
      </c>
      <c r="C1044" s="3" t="s">
        <v>50</v>
      </c>
      <c r="D1044" s="3">
        <v>4</v>
      </c>
      <c r="E1044" s="3">
        <v>1</v>
      </c>
      <c r="F1044" s="4" t="str">
        <f>HYPERLINK("http://141.218.60.56/~jnz1568/getInfo.php?workbook=18_08.xlsx&amp;sheet=U0&amp;row=1044&amp;col=6&amp;number=3&amp;sourceID=14","3")</f>
        <v>3</v>
      </c>
      <c r="G1044" s="4" t="str">
        <f>HYPERLINK("http://141.218.60.56/~jnz1568/getInfo.php?workbook=18_08.xlsx&amp;sheet=U0&amp;row=1044&amp;col=7&amp;number=0.0988&amp;sourceID=14","0.0988")</f>
        <v>0.0988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HYPERLINK("http://141.218.60.56/~jnz1568/getInfo.php?workbook=18_08.xlsx&amp;sheet=U0&amp;row=1045&amp;col=6&amp;number=3.1&amp;sourceID=14","3.1")</f>
        <v>3.1</v>
      </c>
      <c r="G1045" s="4" t="str">
        <f>HYPERLINK("http://141.218.60.56/~jnz1568/getInfo.php?workbook=18_08.xlsx&amp;sheet=U0&amp;row=1045&amp;col=7&amp;number=0.0988&amp;sourceID=14","0.0988")</f>
        <v>0.0988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HYPERLINK("http://141.218.60.56/~jnz1568/getInfo.php?workbook=18_08.xlsx&amp;sheet=U0&amp;row=1046&amp;col=6&amp;number=3.2&amp;sourceID=14","3.2")</f>
        <v>3.2</v>
      </c>
      <c r="G1046" s="4" t="str">
        <f>HYPERLINK("http://141.218.60.56/~jnz1568/getInfo.php?workbook=18_08.xlsx&amp;sheet=U0&amp;row=1046&amp;col=7&amp;number=0.0988&amp;sourceID=14","0.0988")</f>
        <v>0.0988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HYPERLINK("http://141.218.60.56/~jnz1568/getInfo.php?workbook=18_08.xlsx&amp;sheet=U0&amp;row=1047&amp;col=6&amp;number=3.3&amp;sourceID=14","3.3")</f>
        <v>3.3</v>
      </c>
      <c r="G1047" s="4" t="str">
        <f>HYPERLINK("http://141.218.60.56/~jnz1568/getInfo.php?workbook=18_08.xlsx&amp;sheet=U0&amp;row=1047&amp;col=7&amp;number=0.0988&amp;sourceID=14","0.0988")</f>
        <v>0.0988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HYPERLINK("http://141.218.60.56/~jnz1568/getInfo.php?workbook=18_08.xlsx&amp;sheet=U0&amp;row=1048&amp;col=6&amp;number=3.4&amp;sourceID=14","3.4")</f>
        <v>3.4</v>
      </c>
      <c r="G1048" s="4" t="str">
        <f>HYPERLINK("http://141.218.60.56/~jnz1568/getInfo.php?workbook=18_08.xlsx&amp;sheet=U0&amp;row=1048&amp;col=7&amp;number=0.0988&amp;sourceID=14","0.0988")</f>
        <v>0.0988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HYPERLINK("http://141.218.60.56/~jnz1568/getInfo.php?workbook=18_08.xlsx&amp;sheet=U0&amp;row=1049&amp;col=6&amp;number=3.5&amp;sourceID=14","3.5")</f>
        <v>3.5</v>
      </c>
      <c r="G1049" s="4" t="str">
        <f>HYPERLINK("http://141.218.60.56/~jnz1568/getInfo.php?workbook=18_08.xlsx&amp;sheet=U0&amp;row=1049&amp;col=7&amp;number=0.0988&amp;sourceID=14","0.0988")</f>
        <v>0.0988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HYPERLINK("http://141.218.60.56/~jnz1568/getInfo.php?workbook=18_08.xlsx&amp;sheet=U0&amp;row=1050&amp;col=6&amp;number=3.6&amp;sourceID=14","3.6")</f>
        <v>3.6</v>
      </c>
      <c r="G1050" s="4" t="str">
        <f>HYPERLINK("http://141.218.60.56/~jnz1568/getInfo.php?workbook=18_08.xlsx&amp;sheet=U0&amp;row=1050&amp;col=7&amp;number=0.0988&amp;sourceID=14","0.0988")</f>
        <v>0.0988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HYPERLINK("http://141.218.60.56/~jnz1568/getInfo.php?workbook=18_08.xlsx&amp;sheet=U0&amp;row=1051&amp;col=6&amp;number=3.7&amp;sourceID=14","3.7")</f>
        <v>3.7</v>
      </c>
      <c r="G1051" s="4" t="str">
        <f>HYPERLINK("http://141.218.60.56/~jnz1568/getInfo.php?workbook=18_08.xlsx&amp;sheet=U0&amp;row=1051&amp;col=7&amp;number=0.0988&amp;sourceID=14","0.0988")</f>
        <v>0.0988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HYPERLINK("http://141.218.60.56/~jnz1568/getInfo.php?workbook=18_08.xlsx&amp;sheet=U0&amp;row=1052&amp;col=6&amp;number=3.8&amp;sourceID=14","3.8")</f>
        <v>3.8</v>
      </c>
      <c r="G1052" s="4" t="str">
        <f>HYPERLINK("http://141.218.60.56/~jnz1568/getInfo.php?workbook=18_08.xlsx&amp;sheet=U0&amp;row=1052&amp;col=7&amp;number=0.0989&amp;sourceID=14","0.0989")</f>
        <v>0.0989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HYPERLINK("http://141.218.60.56/~jnz1568/getInfo.php?workbook=18_08.xlsx&amp;sheet=U0&amp;row=1053&amp;col=6&amp;number=3.9&amp;sourceID=14","3.9")</f>
        <v>3.9</v>
      </c>
      <c r="G1053" s="4" t="str">
        <f>HYPERLINK("http://141.218.60.56/~jnz1568/getInfo.php?workbook=18_08.xlsx&amp;sheet=U0&amp;row=1053&amp;col=7&amp;number=0.0989&amp;sourceID=14","0.0989")</f>
        <v>0.0989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HYPERLINK("http://141.218.60.56/~jnz1568/getInfo.php?workbook=18_08.xlsx&amp;sheet=U0&amp;row=1054&amp;col=6&amp;number=4&amp;sourceID=14","4")</f>
        <v>4</v>
      </c>
      <c r="G1054" s="4" t="str">
        <f>HYPERLINK("http://141.218.60.56/~jnz1568/getInfo.php?workbook=18_08.xlsx&amp;sheet=U0&amp;row=1054&amp;col=7&amp;number=0.0989&amp;sourceID=14","0.0989")</f>
        <v>0.0989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HYPERLINK("http://141.218.60.56/~jnz1568/getInfo.php?workbook=18_08.xlsx&amp;sheet=U0&amp;row=1055&amp;col=6&amp;number=4.1&amp;sourceID=14","4.1")</f>
        <v>4.1</v>
      </c>
      <c r="G1055" s="4" t="str">
        <f>HYPERLINK("http://141.218.60.56/~jnz1568/getInfo.php?workbook=18_08.xlsx&amp;sheet=U0&amp;row=1055&amp;col=7&amp;number=0.099&amp;sourceID=14","0.099")</f>
        <v>0.099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HYPERLINK("http://141.218.60.56/~jnz1568/getInfo.php?workbook=18_08.xlsx&amp;sheet=U0&amp;row=1056&amp;col=6&amp;number=4.2&amp;sourceID=14","4.2")</f>
        <v>4.2</v>
      </c>
      <c r="G1056" s="4" t="str">
        <f>HYPERLINK("http://141.218.60.56/~jnz1568/getInfo.php?workbook=18_08.xlsx&amp;sheet=U0&amp;row=1056&amp;col=7&amp;number=0.099&amp;sourceID=14","0.099")</f>
        <v>0.099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HYPERLINK("http://141.218.60.56/~jnz1568/getInfo.php?workbook=18_08.xlsx&amp;sheet=U0&amp;row=1057&amp;col=6&amp;number=4.3&amp;sourceID=14","4.3")</f>
        <v>4.3</v>
      </c>
      <c r="G1057" s="4" t="str">
        <f>HYPERLINK("http://141.218.60.56/~jnz1568/getInfo.php?workbook=18_08.xlsx&amp;sheet=U0&amp;row=1057&amp;col=7&amp;number=0.0991&amp;sourceID=14","0.0991")</f>
        <v>0.0991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HYPERLINK("http://141.218.60.56/~jnz1568/getInfo.php?workbook=18_08.xlsx&amp;sheet=U0&amp;row=1058&amp;col=6&amp;number=4.4&amp;sourceID=14","4.4")</f>
        <v>4.4</v>
      </c>
      <c r="G1058" s="4" t="str">
        <f>HYPERLINK("http://141.218.60.56/~jnz1568/getInfo.php?workbook=18_08.xlsx&amp;sheet=U0&amp;row=1058&amp;col=7&amp;number=0.0992&amp;sourceID=14","0.0992")</f>
        <v>0.0992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HYPERLINK("http://141.218.60.56/~jnz1568/getInfo.php?workbook=18_08.xlsx&amp;sheet=U0&amp;row=1059&amp;col=6&amp;number=4.5&amp;sourceID=14","4.5")</f>
        <v>4.5</v>
      </c>
      <c r="G1059" s="4" t="str">
        <f>HYPERLINK("http://141.218.60.56/~jnz1568/getInfo.php?workbook=18_08.xlsx&amp;sheet=U0&amp;row=1059&amp;col=7&amp;number=0.0993&amp;sourceID=14","0.0993")</f>
        <v>0.0993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HYPERLINK("http://141.218.60.56/~jnz1568/getInfo.php?workbook=18_08.xlsx&amp;sheet=U0&amp;row=1060&amp;col=6&amp;number=4.6&amp;sourceID=14","4.6")</f>
        <v>4.6</v>
      </c>
      <c r="G1060" s="4" t="str">
        <f>HYPERLINK("http://141.218.60.56/~jnz1568/getInfo.php?workbook=18_08.xlsx&amp;sheet=U0&amp;row=1060&amp;col=7&amp;number=0.0995&amp;sourceID=14","0.0995")</f>
        <v>0.0995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HYPERLINK("http://141.218.60.56/~jnz1568/getInfo.php?workbook=18_08.xlsx&amp;sheet=U0&amp;row=1061&amp;col=6&amp;number=4.7&amp;sourceID=14","4.7")</f>
        <v>4.7</v>
      </c>
      <c r="G1061" s="4" t="str">
        <f>HYPERLINK("http://141.218.60.56/~jnz1568/getInfo.php?workbook=18_08.xlsx&amp;sheet=U0&amp;row=1061&amp;col=7&amp;number=0.0997&amp;sourceID=14","0.0997")</f>
        <v>0.0997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HYPERLINK("http://141.218.60.56/~jnz1568/getInfo.php?workbook=18_08.xlsx&amp;sheet=U0&amp;row=1062&amp;col=6&amp;number=4.8&amp;sourceID=14","4.8")</f>
        <v>4.8</v>
      </c>
      <c r="G1062" s="4" t="str">
        <f>HYPERLINK("http://141.218.60.56/~jnz1568/getInfo.php?workbook=18_08.xlsx&amp;sheet=U0&amp;row=1062&amp;col=7&amp;number=0.0999&amp;sourceID=14","0.0999")</f>
        <v>0.0999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HYPERLINK("http://141.218.60.56/~jnz1568/getInfo.php?workbook=18_08.xlsx&amp;sheet=U0&amp;row=1063&amp;col=6&amp;number=4.9&amp;sourceID=14","4.9")</f>
        <v>4.9</v>
      </c>
      <c r="G1063" s="4" t="str">
        <f>HYPERLINK("http://141.218.60.56/~jnz1568/getInfo.php?workbook=18_08.xlsx&amp;sheet=U0&amp;row=1063&amp;col=7&amp;number=0.1&amp;sourceID=14","0.1")</f>
        <v>0.1</v>
      </c>
    </row>
    <row r="1064" spans="1:7">
      <c r="A1064" s="3">
        <v>18</v>
      </c>
      <c r="B1064" s="3">
        <v>8</v>
      </c>
      <c r="C1064" s="3" t="s">
        <v>50</v>
      </c>
      <c r="D1064" s="3">
        <v>5</v>
      </c>
      <c r="E1064" s="3">
        <v>1</v>
      </c>
      <c r="F1064" s="4" t="str">
        <f>HYPERLINK("http://141.218.60.56/~jnz1568/getInfo.php?workbook=18_08.xlsx&amp;sheet=U0&amp;row=1064&amp;col=6&amp;number=3&amp;sourceID=14","3")</f>
        <v>3</v>
      </c>
      <c r="G1064" s="4" t="str">
        <f>HYPERLINK("http://141.218.60.56/~jnz1568/getInfo.php?workbook=18_08.xlsx&amp;sheet=U0&amp;row=1064&amp;col=7&amp;number=0.00734&amp;sourceID=14","0.00734")</f>
        <v>0.00734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HYPERLINK("http://141.218.60.56/~jnz1568/getInfo.php?workbook=18_08.xlsx&amp;sheet=U0&amp;row=1065&amp;col=6&amp;number=3.1&amp;sourceID=14","3.1")</f>
        <v>3.1</v>
      </c>
      <c r="G1065" s="4" t="str">
        <f>HYPERLINK("http://141.218.60.56/~jnz1568/getInfo.php?workbook=18_08.xlsx&amp;sheet=U0&amp;row=1065&amp;col=7&amp;number=0.00734&amp;sourceID=14","0.00734")</f>
        <v>0.00734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HYPERLINK("http://141.218.60.56/~jnz1568/getInfo.php?workbook=18_08.xlsx&amp;sheet=U0&amp;row=1066&amp;col=6&amp;number=3.2&amp;sourceID=14","3.2")</f>
        <v>3.2</v>
      </c>
      <c r="G1066" s="4" t="str">
        <f>HYPERLINK("http://141.218.60.56/~jnz1568/getInfo.php?workbook=18_08.xlsx&amp;sheet=U0&amp;row=1066&amp;col=7&amp;number=0.00734&amp;sourceID=14","0.00734")</f>
        <v>0.00734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HYPERLINK("http://141.218.60.56/~jnz1568/getInfo.php?workbook=18_08.xlsx&amp;sheet=U0&amp;row=1067&amp;col=6&amp;number=3.3&amp;sourceID=14","3.3")</f>
        <v>3.3</v>
      </c>
      <c r="G1067" s="4" t="str">
        <f>HYPERLINK("http://141.218.60.56/~jnz1568/getInfo.php?workbook=18_08.xlsx&amp;sheet=U0&amp;row=1067&amp;col=7&amp;number=0.00734&amp;sourceID=14","0.00734")</f>
        <v>0.00734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HYPERLINK("http://141.218.60.56/~jnz1568/getInfo.php?workbook=18_08.xlsx&amp;sheet=U0&amp;row=1068&amp;col=6&amp;number=3.4&amp;sourceID=14","3.4")</f>
        <v>3.4</v>
      </c>
      <c r="G1068" s="4" t="str">
        <f>HYPERLINK("http://141.218.60.56/~jnz1568/getInfo.php?workbook=18_08.xlsx&amp;sheet=U0&amp;row=1068&amp;col=7&amp;number=0.00734&amp;sourceID=14","0.00734")</f>
        <v>0.00734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HYPERLINK("http://141.218.60.56/~jnz1568/getInfo.php?workbook=18_08.xlsx&amp;sheet=U0&amp;row=1069&amp;col=6&amp;number=3.5&amp;sourceID=14","3.5")</f>
        <v>3.5</v>
      </c>
      <c r="G1069" s="4" t="str">
        <f>HYPERLINK("http://141.218.60.56/~jnz1568/getInfo.php?workbook=18_08.xlsx&amp;sheet=U0&amp;row=1069&amp;col=7&amp;number=0.00733&amp;sourceID=14","0.00733")</f>
        <v>0.00733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HYPERLINK("http://141.218.60.56/~jnz1568/getInfo.php?workbook=18_08.xlsx&amp;sheet=U0&amp;row=1070&amp;col=6&amp;number=3.6&amp;sourceID=14","3.6")</f>
        <v>3.6</v>
      </c>
      <c r="G1070" s="4" t="str">
        <f>HYPERLINK("http://141.218.60.56/~jnz1568/getInfo.php?workbook=18_08.xlsx&amp;sheet=U0&amp;row=1070&amp;col=7&amp;number=0.00733&amp;sourceID=14","0.00733")</f>
        <v>0.00733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HYPERLINK("http://141.218.60.56/~jnz1568/getInfo.php?workbook=18_08.xlsx&amp;sheet=U0&amp;row=1071&amp;col=6&amp;number=3.7&amp;sourceID=14","3.7")</f>
        <v>3.7</v>
      </c>
      <c r="G1071" s="4" t="str">
        <f>HYPERLINK("http://141.218.60.56/~jnz1568/getInfo.php?workbook=18_08.xlsx&amp;sheet=U0&amp;row=1071&amp;col=7&amp;number=0.00733&amp;sourceID=14","0.00733")</f>
        <v>0.00733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HYPERLINK("http://141.218.60.56/~jnz1568/getInfo.php?workbook=18_08.xlsx&amp;sheet=U0&amp;row=1072&amp;col=6&amp;number=3.8&amp;sourceID=14","3.8")</f>
        <v>3.8</v>
      </c>
      <c r="G1072" s="4" t="str">
        <f>HYPERLINK("http://141.218.60.56/~jnz1568/getInfo.php?workbook=18_08.xlsx&amp;sheet=U0&amp;row=1072&amp;col=7&amp;number=0.00733&amp;sourceID=14","0.00733")</f>
        <v>0.00733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HYPERLINK("http://141.218.60.56/~jnz1568/getInfo.php?workbook=18_08.xlsx&amp;sheet=U0&amp;row=1073&amp;col=6&amp;number=3.9&amp;sourceID=14","3.9")</f>
        <v>3.9</v>
      </c>
      <c r="G1073" s="4" t="str">
        <f>HYPERLINK("http://141.218.60.56/~jnz1568/getInfo.php?workbook=18_08.xlsx&amp;sheet=U0&amp;row=1073&amp;col=7&amp;number=0.00733&amp;sourceID=14","0.00733")</f>
        <v>0.00733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HYPERLINK("http://141.218.60.56/~jnz1568/getInfo.php?workbook=18_08.xlsx&amp;sheet=U0&amp;row=1074&amp;col=6&amp;number=4&amp;sourceID=14","4")</f>
        <v>4</v>
      </c>
      <c r="G1074" s="4" t="str">
        <f>HYPERLINK("http://141.218.60.56/~jnz1568/getInfo.php?workbook=18_08.xlsx&amp;sheet=U0&amp;row=1074&amp;col=7&amp;number=0.00733&amp;sourceID=14","0.00733")</f>
        <v>0.00733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HYPERLINK("http://141.218.60.56/~jnz1568/getInfo.php?workbook=18_08.xlsx&amp;sheet=U0&amp;row=1075&amp;col=6&amp;number=4.1&amp;sourceID=14","4.1")</f>
        <v>4.1</v>
      </c>
      <c r="G1075" s="4" t="str">
        <f>HYPERLINK("http://141.218.60.56/~jnz1568/getInfo.php?workbook=18_08.xlsx&amp;sheet=U0&amp;row=1075&amp;col=7&amp;number=0.00733&amp;sourceID=14","0.00733")</f>
        <v>0.00733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HYPERLINK("http://141.218.60.56/~jnz1568/getInfo.php?workbook=18_08.xlsx&amp;sheet=U0&amp;row=1076&amp;col=6&amp;number=4.2&amp;sourceID=14","4.2")</f>
        <v>4.2</v>
      </c>
      <c r="G1076" s="4" t="str">
        <f>HYPERLINK("http://141.218.60.56/~jnz1568/getInfo.php?workbook=18_08.xlsx&amp;sheet=U0&amp;row=1076&amp;col=7&amp;number=0.00732&amp;sourceID=14","0.00732")</f>
        <v>0.00732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HYPERLINK("http://141.218.60.56/~jnz1568/getInfo.php?workbook=18_08.xlsx&amp;sheet=U0&amp;row=1077&amp;col=6&amp;number=4.3&amp;sourceID=14","4.3")</f>
        <v>4.3</v>
      </c>
      <c r="G1077" s="4" t="str">
        <f>HYPERLINK("http://141.218.60.56/~jnz1568/getInfo.php?workbook=18_08.xlsx&amp;sheet=U0&amp;row=1077&amp;col=7&amp;number=0.00732&amp;sourceID=14","0.00732")</f>
        <v>0.00732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HYPERLINK("http://141.218.60.56/~jnz1568/getInfo.php?workbook=18_08.xlsx&amp;sheet=U0&amp;row=1078&amp;col=6&amp;number=4.4&amp;sourceID=14","4.4")</f>
        <v>4.4</v>
      </c>
      <c r="G1078" s="4" t="str">
        <f>HYPERLINK("http://141.218.60.56/~jnz1568/getInfo.php?workbook=18_08.xlsx&amp;sheet=U0&amp;row=1078&amp;col=7&amp;number=0.00731&amp;sourceID=14","0.00731")</f>
        <v>0.00731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HYPERLINK("http://141.218.60.56/~jnz1568/getInfo.php?workbook=18_08.xlsx&amp;sheet=U0&amp;row=1079&amp;col=6&amp;number=4.5&amp;sourceID=14","4.5")</f>
        <v>4.5</v>
      </c>
      <c r="G1079" s="4" t="str">
        <f>HYPERLINK("http://141.218.60.56/~jnz1568/getInfo.php?workbook=18_08.xlsx&amp;sheet=U0&amp;row=1079&amp;col=7&amp;number=0.00731&amp;sourceID=14","0.00731")</f>
        <v>0.00731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HYPERLINK("http://141.218.60.56/~jnz1568/getInfo.php?workbook=18_08.xlsx&amp;sheet=U0&amp;row=1080&amp;col=6&amp;number=4.6&amp;sourceID=14","4.6")</f>
        <v>4.6</v>
      </c>
      <c r="G1080" s="4" t="str">
        <f>HYPERLINK("http://141.218.60.56/~jnz1568/getInfo.php?workbook=18_08.xlsx&amp;sheet=U0&amp;row=1080&amp;col=7&amp;number=0.0073&amp;sourceID=14","0.0073")</f>
        <v>0.0073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HYPERLINK("http://141.218.60.56/~jnz1568/getInfo.php?workbook=18_08.xlsx&amp;sheet=U0&amp;row=1081&amp;col=6&amp;number=4.7&amp;sourceID=14","4.7")</f>
        <v>4.7</v>
      </c>
      <c r="G1081" s="4" t="str">
        <f>HYPERLINK("http://141.218.60.56/~jnz1568/getInfo.php?workbook=18_08.xlsx&amp;sheet=U0&amp;row=1081&amp;col=7&amp;number=0.00729&amp;sourceID=14","0.00729")</f>
        <v>0.00729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HYPERLINK("http://141.218.60.56/~jnz1568/getInfo.php?workbook=18_08.xlsx&amp;sheet=U0&amp;row=1082&amp;col=6&amp;number=4.8&amp;sourceID=14","4.8")</f>
        <v>4.8</v>
      </c>
      <c r="G1082" s="4" t="str">
        <f>HYPERLINK("http://141.218.60.56/~jnz1568/getInfo.php?workbook=18_08.xlsx&amp;sheet=U0&amp;row=1082&amp;col=7&amp;number=0.00728&amp;sourceID=14","0.00728")</f>
        <v>0.00728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HYPERLINK("http://141.218.60.56/~jnz1568/getInfo.php?workbook=18_08.xlsx&amp;sheet=U0&amp;row=1083&amp;col=6&amp;number=4.9&amp;sourceID=14","4.9")</f>
        <v>4.9</v>
      </c>
      <c r="G1083" s="4" t="str">
        <f>HYPERLINK("http://141.218.60.56/~jnz1568/getInfo.php?workbook=18_08.xlsx&amp;sheet=U0&amp;row=1083&amp;col=7&amp;number=0.00726&amp;sourceID=14","0.00726")</f>
        <v>0.00726</v>
      </c>
    </row>
    <row r="1084" spans="1:7">
      <c r="A1084" s="3">
        <v>18</v>
      </c>
      <c r="B1084" s="3">
        <v>8</v>
      </c>
      <c r="C1084" s="3" t="s">
        <v>50</v>
      </c>
      <c r="D1084" s="3">
        <v>6</v>
      </c>
      <c r="E1084" s="3">
        <v>1</v>
      </c>
      <c r="F1084" s="4" t="str">
        <f>HYPERLINK("http://141.218.60.56/~jnz1568/getInfo.php?workbook=18_08.xlsx&amp;sheet=U0&amp;row=1084&amp;col=6&amp;number=3&amp;sourceID=14","3")</f>
        <v>3</v>
      </c>
      <c r="G1084" s="4" t="str">
        <f>HYPERLINK("http://141.218.60.56/~jnz1568/getInfo.php?workbook=18_08.xlsx&amp;sheet=U0&amp;row=1084&amp;col=7&amp;number=0.00755&amp;sourceID=14","0.00755")</f>
        <v>0.00755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HYPERLINK("http://141.218.60.56/~jnz1568/getInfo.php?workbook=18_08.xlsx&amp;sheet=U0&amp;row=1085&amp;col=6&amp;number=3.1&amp;sourceID=14","3.1")</f>
        <v>3.1</v>
      </c>
      <c r="G1085" s="4" t="str">
        <f>HYPERLINK("http://141.218.60.56/~jnz1568/getInfo.php?workbook=18_08.xlsx&amp;sheet=U0&amp;row=1085&amp;col=7&amp;number=0.00755&amp;sourceID=14","0.00755")</f>
        <v>0.00755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HYPERLINK("http://141.218.60.56/~jnz1568/getInfo.php?workbook=18_08.xlsx&amp;sheet=U0&amp;row=1086&amp;col=6&amp;number=3.2&amp;sourceID=14","3.2")</f>
        <v>3.2</v>
      </c>
      <c r="G1086" s="4" t="str">
        <f>HYPERLINK("http://141.218.60.56/~jnz1568/getInfo.php?workbook=18_08.xlsx&amp;sheet=U0&amp;row=1086&amp;col=7&amp;number=0.00755&amp;sourceID=14","0.00755")</f>
        <v>0.00755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HYPERLINK("http://141.218.60.56/~jnz1568/getInfo.php?workbook=18_08.xlsx&amp;sheet=U0&amp;row=1087&amp;col=6&amp;number=3.3&amp;sourceID=14","3.3")</f>
        <v>3.3</v>
      </c>
      <c r="G1087" s="4" t="str">
        <f>HYPERLINK("http://141.218.60.56/~jnz1568/getInfo.php?workbook=18_08.xlsx&amp;sheet=U0&amp;row=1087&amp;col=7&amp;number=0.00755&amp;sourceID=14","0.00755")</f>
        <v>0.00755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HYPERLINK("http://141.218.60.56/~jnz1568/getInfo.php?workbook=18_08.xlsx&amp;sheet=U0&amp;row=1088&amp;col=6&amp;number=3.4&amp;sourceID=14","3.4")</f>
        <v>3.4</v>
      </c>
      <c r="G1088" s="4" t="str">
        <f>HYPERLINK("http://141.218.60.56/~jnz1568/getInfo.php?workbook=18_08.xlsx&amp;sheet=U0&amp;row=1088&amp;col=7&amp;number=0.00755&amp;sourceID=14","0.00755")</f>
        <v>0.00755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HYPERLINK("http://141.218.60.56/~jnz1568/getInfo.php?workbook=18_08.xlsx&amp;sheet=U0&amp;row=1089&amp;col=6&amp;number=3.5&amp;sourceID=14","3.5")</f>
        <v>3.5</v>
      </c>
      <c r="G1089" s="4" t="str">
        <f>HYPERLINK("http://141.218.60.56/~jnz1568/getInfo.php?workbook=18_08.xlsx&amp;sheet=U0&amp;row=1089&amp;col=7&amp;number=0.00755&amp;sourceID=14","0.00755")</f>
        <v>0.00755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HYPERLINK("http://141.218.60.56/~jnz1568/getInfo.php?workbook=18_08.xlsx&amp;sheet=U0&amp;row=1090&amp;col=6&amp;number=3.6&amp;sourceID=14","3.6")</f>
        <v>3.6</v>
      </c>
      <c r="G1090" s="4" t="str">
        <f>HYPERLINK("http://141.218.60.56/~jnz1568/getInfo.php?workbook=18_08.xlsx&amp;sheet=U0&amp;row=1090&amp;col=7&amp;number=0.00755&amp;sourceID=14","0.00755")</f>
        <v>0.00755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HYPERLINK("http://141.218.60.56/~jnz1568/getInfo.php?workbook=18_08.xlsx&amp;sheet=U0&amp;row=1091&amp;col=6&amp;number=3.7&amp;sourceID=14","3.7")</f>
        <v>3.7</v>
      </c>
      <c r="G1091" s="4" t="str">
        <f>HYPERLINK("http://141.218.60.56/~jnz1568/getInfo.php?workbook=18_08.xlsx&amp;sheet=U0&amp;row=1091&amp;col=7&amp;number=0.00755&amp;sourceID=14","0.00755")</f>
        <v>0.00755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HYPERLINK("http://141.218.60.56/~jnz1568/getInfo.php?workbook=18_08.xlsx&amp;sheet=U0&amp;row=1092&amp;col=6&amp;number=3.8&amp;sourceID=14","3.8")</f>
        <v>3.8</v>
      </c>
      <c r="G1092" s="4" t="str">
        <f>HYPERLINK("http://141.218.60.56/~jnz1568/getInfo.php?workbook=18_08.xlsx&amp;sheet=U0&amp;row=1092&amp;col=7&amp;number=0.00755&amp;sourceID=14","0.00755")</f>
        <v>0.00755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HYPERLINK("http://141.218.60.56/~jnz1568/getInfo.php?workbook=18_08.xlsx&amp;sheet=U0&amp;row=1093&amp;col=6&amp;number=3.9&amp;sourceID=14","3.9")</f>
        <v>3.9</v>
      </c>
      <c r="G1093" s="4" t="str">
        <f>HYPERLINK("http://141.218.60.56/~jnz1568/getInfo.php?workbook=18_08.xlsx&amp;sheet=U0&amp;row=1093&amp;col=7&amp;number=0.00754&amp;sourceID=14","0.00754")</f>
        <v>0.00754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HYPERLINK("http://141.218.60.56/~jnz1568/getInfo.php?workbook=18_08.xlsx&amp;sheet=U0&amp;row=1094&amp;col=6&amp;number=4&amp;sourceID=14","4")</f>
        <v>4</v>
      </c>
      <c r="G1094" s="4" t="str">
        <f>HYPERLINK("http://141.218.60.56/~jnz1568/getInfo.php?workbook=18_08.xlsx&amp;sheet=U0&amp;row=1094&amp;col=7&amp;number=0.00754&amp;sourceID=14","0.00754")</f>
        <v>0.00754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HYPERLINK("http://141.218.60.56/~jnz1568/getInfo.php?workbook=18_08.xlsx&amp;sheet=U0&amp;row=1095&amp;col=6&amp;number=4.1&amp;sourceID=14","4.1")</f>
        <v>4.1</v>
      </c>
      <c r="G1095" s="4" t="str">
        <f>HYPERLINK("http://141.218.60.56/~jnz1568/getInfo.php?workbook=18_08.xlsx&amp;sheet=U0&amp;row=1095&amp;col=7&amp;number=0.00754&amp;sourceID=14","0.00754")</f>
        <v>0.00754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HYPERLINK("http://141.218.60.56/~jnz1568/getInfo.php?workbook=18_08.xlsx&amp;sheet=U0&amp;row=1096&amp;col=6&amp;number=4.2&amp;sourceID=14","4.2")</f>
        <v>4.2</v>
      </c>
      <c r="G1096" s="4" t="str">
        <f>HYPERLINK("http://141.218.60.56/~jnz1568/getInfo.php?workbook=18_08.xlsx&amp;sheet=U0&amp;row=1096&amp;col=7&amp;number=0.00753&amp;sourceID=14","0.00753")</f>
        <v>0.00753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HYPERLINK("http://141.218.60.56/~jnz1568/getInfo.php?workbook=18_08.xlsx&amp;sheet=U0&amp;row=1097&amp;col=6&amp;number=4.3&amp;sourceID=14","4.3")</f>
        <v>4.3</v>
      </c>
      <c r="G1097" s="4" t="str">
        <f>HYPERLINK("http://141.218.60.56/~jnz1568/getInfo.php?workbook=18_08.xlsx&amp;sheet=U0&amp;row=1097&amp;col=7&amp;number=0.00753&amp;sourceID=14","0.00753")</f>
        <v>0.00753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HYPERLINK("http://141.218.60.56/~jnz1568/getInfo.php?workbook=18_08.xlsx&amp;sheet=U0&amp;row=1098&amp;col=6&amp;number=4.4&amp;sourceID=14","4.4")</f>
        <v>4.4</v>
      </c>
      <c r="G1098" s="4" t="str">
        <f>HYPERLINK("http://141.218.60.56/~jnz1568/getInfo.php?workbook=18_08.xlsx&amp;sheet=U0&amp;row=1098&amp;col=7&amp;number=0.00752&amp;sourceID=14","0.00752")</f>
        <v>0.00752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HYPERLINK("http://141.218.60.56/~jnz1568/getInfo.php?workbook=18_08.xlsx&amp;sheet=U0&amp;row=1099&amp;col=6&amp;number=4.5&amp;sourceID=14","4.5")</f>
        <v>4.5</v>
      </c>
      <c r="G1099" s="4" t="str">
        <f>HYPERLINK("http://141.218.60.56/~jnz1568/getInfo.php?workbook=18_08.xlsx&amp;sheet=U0&amp;row=1099&amp;col=7&amp;number=0.00751&amp;sourceID=14","0.00751")</f>
        <v>0.00751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HYPERLINK("http://141.218.60.56/~jnz1568/getInfo.php?workbook=18_08.xlsx&amp;sheet=U0&amp;row=1100&amp;col=6&amp;number=4.6&amp;sourceID=14","4.6")</f>
        <v>4.6</v>
      </c>
      <c r="G1100" s="4" t="str">
        <f>HYPERLINK("http://141.218.60.56/~jnz1568/getInfo.php?workbook=18_08.xlsx&amp;sheet=U0&amp;row=1100&amp;col=7&amp;number=0.0075&amp;sourceID=14","0.0075")</f>
        <v>0.0075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HYPERLINK("http://141.218.60.56/~jnz1568/getInfo.php?workbook=18_08.xlsx&amp;sheet=U0&amp;row=1101&amp;col=6&amp;number=4.7&amp;sourceID=14","4.7")</f>
        <v>4.7</v>
      </c>
      <c r="G1101" s="4" t="str">
        <f>HYPERLINK("http://141.218.60.56/~jnz1568/getInfo.php?workbook=18_08.xlsx&amp;sheet=U0&amp;row=1101&amp;col=7&amp;number=0.00748&amp;sourceID=14","0.00748")</f>
        <v>0.00748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HYPERLINK("http://141.218.60.56/~jnz1568/getInfo.php?workbook=18_08.xlsx&amp;sheet=U0&amp;row=1102&amp;col=6&amp;number=4.8&amp;sourceID=14","4.8")</f>
        <v>4.8</v>
      </c>
      <c r="G1102" s="4" t="str">
        <f>HYPERLINK("http://141.218.60.56/~jnz1568/getInfo.php?workbook=18_08.xlsx&amp;sheet=U0&amp;row=1102&amp;col=7&amp;number=0.00747&amp;sourceID=14","0.00747")</f>
        <v>0.00747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HYPERLINK("http://141.218.60.56/~jnz1568/getInfo.php?workbook=18_08.xlsx&amp;sheet=U0&amp;row=1103&amp;col=6&amp;number=4.9&amp;sourceID=14","4.9")</f>
        <v>4.9</v>
      </c>
      <c r="G1103" s="4" t="str">
        <f>HYPERLINK("http://141.218.60.56/~jnz1568/getInfo.php?workbook=18_08.xlsx&amp;sheet=U0&amp;row=1103&amp;col=7&amp;number=0.00744&amp;sourceID=14","0.00744")</f>
        <v>0.00744</v>
      </c>
    </row>
    <row r="1104" spans="1:7">
      <c r="A1104" s="3">
        <v>18</v>
      </c>
      <c r="B1104" s="3">
        <v>8</v>
      </c>
      <c r="C1104" s="3" t="s">
        <v>50</v>
      </c>
      <c r="D1104" s="3">
        <v>7</v>
      </c>
      <c r="E1104" s="3">
        <v>1</v>
      </c>
      <c r="F1104" s="4" t="str">
        <f>HYPERLINK("http://141.218.60.56/~jnz1568/getInfo.php?workbook=18_08.xlsx&amp;sheet=U0&amp;row=1104&amp;col=6&amp;number=3&amp;sourceID=14","3")</f>
        <v>3</v>
      </c>
      <c r="G1104" s="4" t="str">
        <f>HYPERLINK("http://141.218.60.56/~jnz1568/getInfo.php?workbook=18_08.xlsx&amp;sheet=U0&amp;row=1104&amp;col=7&amp;number=0.012&amp;sourceID=14","0.012")</f>
        <v>0.012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HYPERLINK("http://141.218.60.56/~jnz1568/getInfo.php?workbook=18_08.xlsx&amp;sheet=U0&amp;row=1105&amp;col=6&amp;number=3.1&amp;sourceID=14","3.1")</f>
        <v>3.1</v>
      </c>
      <c r="G1105" s="4" t="str">
        <f>HYPERLINK("http://141.218.60.56/~jnz1568/getInfo.php?workbook=18_08.xlsx&amp;sheet=U0&amp;row=1105&amp;col=7&amp;number=0.012&amp;sourceID=14","0.012")</f>
        <v>0.012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HYPERLINK("http://141.218.60.56/~jnz1568/getInfo.php?workbook=18_08.xlsx&amp;sheet=U0&amp;row=1106&amp;col=6&amp;number=3.2&amp;sourceID=14","3.2")</f>
        <v>3.2</v>
      </c>
      <c r="G1106" s="4" t="str">
        <f>HYPERLINK("http://141.218.60.56/~jnz1568/getInfo.php?workbook=18_08.xlsx&amp;sheet=U0&amp;row=1106&amp;col=7&amp;number=0.012&amp;sourceID=14","0.012")</f>
        <v>0.012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HYPERLINK("http://141.218.60.56/~jnz1568/getInfo.php?workbook=18_08.xlsx&amp;sheet=U0&amp;row=1107&amp;col=6&amp;number=3.3&amp;sourceID=14","3.3")</f>
        <v>3.3</v>
      </c>
      <c r="G1107" s="4" t="str">
        <f>HYPERLINK("http://141.218.60.56/~jnz1568/getInfo.php?workbook=18_08.xlsx&amp;sheet=U0&amp;row=1107&amp;col=7&amp;number=0.012&amp;sourceID=14","0.012")</f>
        <v>0.012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HYPERLINK("http://141.218.60.56/~jnz1568/getInfo.php?workbook=18_08.xlsx&amp;sheet=U0&amp;row=1108&amp;col=6&amp;number=3.4&amp;sourceID=14","3.4")</f>
        <v>3.4</v>
      </c>
      <c r="G1108" s="4" t="str">
        <f>HYPERLINK("http://141.218.60.56/~jnz1568/getInfo.php?workbook=18_08.xlsx&amp;sheet=U0&amp;row=1108&amp;col=7&amp;number=0.012&amp;sourceID=14","0.012")</f>
        <v>0.012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HYPERLINK("http://141.218.60.56/~jnz1568/getInfo.php?workbook=18_08.xlsx&amp;sheet=U0&amp;row=1109&amp;col=6&amp;number=3.5&amp;sourceID=14","3.5")</f>
        <v>3.5</v>
      </c>
      <c r="G1109" s="4" t="str">
        <f>HYPERLINK("http://141.218.60.56/~jnz1568/getInfo.php?workbook=18_08.xlsx&amp;sheet=U0&amp;row=1109&amp;col=7&amp;number=0.012&amp;sourceID=14","0.012")</f>
        <v>0.012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HYPERLINK("http://141.218.60.56/~jnz1568/getInfo.php?workbook=18_08.xlsx&amp;sheet=U0&amp;row=1110&amp;col=6&amp;number=3.6&amp;sourceID=14","3.6")</f>
        <v>3.6</v>
      </c>
      <c r="G1110" s="4" t="str">
        <f>HYPERLINK("http://141.218.60.56/~jnz1568/getInfo.php?workbook=18_08.xlsx&amp;sheet=U0&amp;row=1110&amp;col=7&amp;number=0.012&amp;sourceID=14","0.012")</f>
        <v>0.012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HYPERLINK("http://141.218.60.56/~jnz1568/getInfo.php?workbook=18_08.xlsx&amp;sheet=U0&amp;row=1111&amp;col=6&amp;number=3.7&amp;sourceID=14","3.7")</f>
        <v>3.7</v>
      </c>
      <c r="G1111" s="4" t="str">
        <f>HYPERLINK("http://141.218.60.56/~jnz1568/getInfo.php?workbook=18_08.xlsx&amp;sheet=U0&amp;row=1111&amp;col=7&amp;number=0.012&amp;sourceID=14","0.012")</f>
        <v>0.012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HYPERLINK("http://141.218.60.56/~jnz1568/getInfo.php?workbook=18_08.xlsx&amp;sheet=U0&amp;row=1112&amp;col=6&amp;number=3.8&amp;sourceID=14","3.8")</f>
        <v>3.8</v>
      </c>
      <c r="G1112" s="4" t="str">
        <f>HYPERLINK("http://141.218.60.56/~jnz1568/getInfo.php?workbook=18_08.xlsx&amp;sheet=U0&amp;row=1112&amp;col=7&amp;number=0.012&amp;sourceID=14","0.012")</f>
        <v>0.012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HYPERLINK("http://141.218.60.56/~jnz1568/getInfo.php?workbook=18_08.xlsx&amp;sheet=U0&amp;row=1113&amp;col=6&amp;number=3.9&amp;sourceID=14","3.9")</f>
        <v>3.9</v>
      </c>
      <c r="G1113" s="4" t="str">
        <f>HYPERLINK("http://141.218.60.56/~jnz1568/getInfo.php?workbook=18_08.xlsx&amp;sheet=U0&amp;row=1113&amp;col=7&amp;number=0.012&amp;sourceID=14","0.012")</f>
        <v>0.012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HYPERLINK("http://141.218.60.56/~jnz1568/getInfo.php?workbook=18_08.xlsx&amp;sheet=U0&amp;row=1114&amp;col=6&amp;number=4&amp;sourceID=14","4")</f>
        <v>4</v>
      </c>
      <c r="G1114" s="4" t="str">
        <f>HYPERLINK("http://141.218.60.56/~jnz1568/getInfo.php?workbook=18_08.xlsx&amp;sheet=U0&amp;row=1114&amp;col=7&amp;number=0.012&amp;sourceID=14","0.012")</f>
        <v>0.012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HYPERLINK("http://141.218.60.56/~jnz1568/getInfo.php?workbook=18_08.xlsx&amp;sheet=U0&amp;row=1115&amp;col=6&amp;number=4.1&amp;sourceID=14","4.1")</f>
        <v>4.1</v>
      </c>
      <c r="G1115" s="4" t="str">
        <f>HYPERLINK("http://141.218.60.56/~jnz1568/getInfo.php?workbook=18_08.xlsx&amp;sheet=U0&amp;row=1115&amp;col=7&amp;number=0.012&amp;sourceID=14","0.012")</f>
        <v>0.012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HYPERLINK("http://141.218.60.56/~jnz1568/getInfo.php?workbook=18_08.xlsx&amp;sheet=U0&amp;row=1116&amp;col=6&amp;number=4.2&amp;sourceID=14","4.2")</f>
        <v>4.2</v>
      </c>
      <c r="G1116" s="4" t="str">
        <f>HYPERLINK("http://141.218.60.56/~jnz1568/getInfo.php?workbook=18_08.xlsx&amp;sheet=U0&amp;row=1116&amp;col=7&amp;number=0.012&amp;sourceID=14","0.012")</f>
        <v>0.012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HYPERLINK("http://141.218.60.56/~jnz1568/getInfo.php?workbook=18_08.xlsx&amp;sheet=U0&amp;row=1117&amp;col=6&amp;number=4.3&amp;sourceID=14","4.3")</f>
        <v>4.3</v>
      </c>
      <c r="G1117" s="4" t="str">
        <f>HYPERLINK("http://141.218.60.56/~jnz1568/getInfo.php?workbook=18_08.xlsx&amp;sheet=U0&amp;row=1117&amp;col=7&amp;number=0.012&amp;sourceID=14","0.012")</f>
        <v>0.012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HYPERLINK("http://141.218.60.56/~jnz1568/getInfo.php?workbook=18_08.xlsx&amp;sheet=U0&amp;row=1118&amp;col=6&amp;number=4.4&amp;sourceID=14","4.4")</f>
        <v>4.4</v>
      </c>
      <c r="G1118" s="4" t="str">
        <f>HYPERLINK("http://141.218.60.56/~jnz1568/getInfo.php?workbook=18_08.xlsx&amp;sheet=U0&amp;row=1118&amp;col=7&amp;number=0.012&amp;sourceID=14","0.012")</f>
        <v>0.012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HYPERLINK("http://141.218.60.56/~jnz1568/getInfo.php?workbook=18_08.xlsx&amp;sheet=U0&amp;row=1119&amp;col=6&amp;number=4.5&amp;sourceID=14","4.5")</f>
        <v>4.5</v>
      </c>
      <c r="G1119" s="4" t="str">
        <f>HYPERLINK("http://141.218.60.56/~jnz1568/getInfo.php?workbook=18_08.xlsx&amp;sheet=U0&amp;row=1119&amp;col=7&amp;number=0.012&amp;sourceID=14","0.012")</f>
        <v>0.012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HYPERLINK("http://141.218.60.56/~jnz1568/getInfo.php?workbook=18_08.xlsx&amp;sheet=U0&amp;row=1120&amp;col=6&amp;number=4.6&amp;sourceID=14","4.6")</f>
        <v>4.6</v>
      </c>
      <c r="G1120" s="4" t="str">
        <f>HYPERLINK("http://141.218.60.56/~jnz1568/getInfo.php?workbook=18_08.xlsx&amp;sheet=U0&amp;row=1120&amp;col=7&amp;number=0.012&amp;sourceID=14","0.012")</f>
        <v>0.012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HYPERLINK("http://141.218.60.56/~jnz1568/getInfo.php?workbook=18_08.xlsx&amp;sheet=U0&amp;row=1121&amp;col=6&amp;number=4.7&amp;sourceID=14","4.7")</f>
        <v>4.7</v>
      </c>
      <c r="G1121" s="4" t="str">
        <f>HYPERLINK("http://141.218.60.56/~jnz1568/getInfo.php?workbook=18_08.xlsx&amp;sheet=U0&amp;row=1121&amp;col=7&amp;number=0.012&amp;sourceID=14","0.012")</f>
        <v>0.012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HYPERLINK("http://141.218.60.56/~jnz1568/getInfo.php?workbook=18_08.xlsx&amp;sheet=U0&amp;row=1122&amp;col=6&amp;number=4.8&amp;sourceID=14","4.8")</f>
        <v>4.8</v>
      </c>
      <c r="G1122" s="4" t="str">
        <f>HYPERLINK("http://141.218.60.56/~jnz1568/getInfo.php?workbook=18_08.xlsx&amp;sheet=U0&amp;row=1122&amp;col=7&amp;number=0.012&amp;sourceID=14","0.012")</f>
        <v>0.012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HYPERLINK("http://141.218.60.56/~jnz1568/getInfo.php?workbook=18_08.xlsx&amp;sheet=U0&amp;row=1123&amp;col=6&amp;number=4.9&amp;sourceID=14","4.9")</f>
        <v>4.9</v>
      </c>
      <c r="G1123" s="4" t="str">
        <f>HYPERLINK("http://141.218.60.56/~jnz1568/getInfo.php?workbook=18_08.xlsx&amp;sheet=U0&amp;row=1123&amp;col=7&amp;number=0.0119&amp;sourceID=14","0.0119")</f>
        <v>0.0119</v>
      </c>
    </row>
    <row r="1124" spans="1:7">
      <c r="A1124" s="3">
        <v>18</v>
      </c>
      <c r="B1124" s="3">
        <v>8</v>
      </c>
      <c r="C1124" s="3" t="s">
        <v>50</v>
      </c>
      <c r="D1124" s="3">
        <v>8</v>
      </c>
      <c r="E1124" s="3">
        <v>1</v>
      </c>
      <c r="F1124" s="4" t="str">
        <f>HYPERLINK("http://141.218.60.56/~jnz1568/getInfo.php?workbook=18_08.xlsx&amp;sheet=U0&amp;row=1124&amp;col=6&amp;number=3&amp;sourceID=14","3")</f>
        <v>3</v>
      </c>
      <c r="G1124" s="4" t="str">
        <f>HYPERLINK("http://141.218.60.56/~jnz1568/getInfo.php?workbook=18_08.xlsx&amp;sheet=U0&amp;row=1124&amp;col=7&amp;number=0.0045&amp;sourceID=14","0.0045")</f>
        <v>0.0045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HYPERLINK("http://141.218.60.56/~jnz1568/getInfo.php?workbook=18_08.xlsx&amp;sheet=U0&amp;row=1125&amp;col=6&amp;number=3.1&amp;sourceID=14","3.1")</f>
        <v>3.1</v>
      </c>
      <c r="G1125" s="4" t="str">
        <f>HYPERLINK("http://141.218.60.56/~jnz1568/getInfo.php?workbook=18_08.xlsx&amp;sheet=U0&amp;row=1125&amp;col=7&amp;number=0.0045&amp;sourceID=14","0.0045")</f>
        <v>0.0045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HYPERLINK("http://141.218.60.56/~jnz1568/getInfo.php?workbook=18_08.xlsx&amp;sheet=U0&amp;row=1126&amp;col=6&amp;number=3.2&amp;sourceID=14","3.2")</f>
        <v>3.2</v>
      </c>
      <c r="G1126" s="4" t="str">
        <f>HYPERLINK("http://141.218.60.56/~jnz1568/getInfo.php?workbook=18_08.xlsx&amp;sheet=U0&amp;row=1126&amp;col=7&amp;number=0.0045&amp;sourceID=14","0.0045")</f>
        <v>0.0045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HYPERLINK("http://141.218.60.56/~jnz1568/getInfo.php?workbook=18_08.xlsx&amp;sheet=U0&amp;row=1127&amp;col=6&amp;number=3.3&amp;sourceID=14","3.3")</f>
        <v>3.3</v>
      </c>
      <c r="G1127" s="4" t="str">
        <f>HYPERLINK("http://141.218.60.56/~jnz1568/getInfo.php?workbook=18_08.xlsx&amp;sheet=U0&amp;row=1127&amp;col=7&amp;number=0.00449&amp;sourceID=14","0.00449")</f>
        <v>0.00449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HYPERLINK("http://141.218.60.56/~jnz1568/getInfo.php?workbook=18_08.xlsx&amp;sheet=U0&amp;row=1128&amp;col=6&amp;number=3.4&amp;sourceID=14","3.4")</f>
        <v>3.4</v>
      </c>
      <c r="G1128" s="4" t="str">
        <f>HYPERLINK("http://141.218.60.56/~jnz1568/getInfo.php?workbook=18_08.xlsx&amp;sheet=U0&amp;row=1128&amp;col=7&amp;number=0.00449&amp;sourceID=14","0.00449")</f>
        <v>0.00449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HYPERLINK("http://141.218.60.56/~jnz1568/getInfo.php?workbook=18_08.xlsx&amp;sheet=U0&amp;row=1129&amp;col=6&amp;number=3.5&amp;sourceID=14","3.5")</f>
        <v>3.5</v>
      </c>
      <c r="G1129" s="4" t="str">
        <f>HYPERLINK("http://141.218.60.56/~jnz1568/getInfo.php?workbook=18_08.xlsx&amp;sheet=U0&amp;row=1129&amp;col=7&amp;number=0.00449&amp;sourceID=14","0.00449")</f>
        <v>0.00449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HYPERLINK("http://141.218.60.56/~jnz1568/getInfo.php?workbook=18_08.xlsx&amp;sheet=U0&amp;row=1130&amp;col=6&amp;number=3.6&amp;sourceID=14","3.6")</f>
        <v>3.6</v>
      </c>
      <c r="G1130" s="4" t="str">
        <f>HYPERLINK("http://141.218.60.56/~jnz1568/getInfo.php?workbook=18_08.xlsx&amp;sheet=U0&amp;row=1130&amp;col=7&amp;number=0.00449&amp;sourceID=14","0.00449")</f>
        <v>0.00449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HYPERLINK("http://141.218.60.56/~jnz1568/getInfo.php?workbook=18_08.xlsx&amp;sheet=U0&amp;row=1131&amp;col=6&amp;number=3.7&amp;sourceID=14","3.7")</f>
        <v>3.7</v>
      </c>
      <c r="G1131" s="4" t="str">
        <f>HYPERLINK("http://141.218.60.56/~jnz1568/getInfo.php?workbook=18_08.xlsx&amp;sheet=U0&amp;row=1131&amp;col=7&amp;number=0.00449&amp;sourceID=14","0.00449")</f>
        <v>0.00449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HYPERLINK("http://141.218.60.56/~jnz1568/getInfo.php?workbook=18_08.xlsx&amp;sheet=U0&amp;row=1132&amp;col=6&amp;number=3.8&amp;sourceID=14","3.8")</f>
        <v>3.8</v>
      </c>
      <c r="G1132" s="4" t="str">
        <f>HYPERLINK("http://141.218.60.56/~jnz1568/getInfo.php?workbook=18_08.xlsx&amp;sheet=U0&amp;row=1132&amp;col=7&amp;number=0.00449&amp;sourceID=14","0.00449")</f>
        <v>0.00449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HYPERLINK("http://141.218.60.56/~jnz1568/getInfo.php?workbook=18_08.xlsx&amp;sheet=U0&amp;row=1133&amp;col=6&amp;number=3.9&amp;sourceID=14","3.9")</f>
        <v>3.9</v>
      </c>
      <c r="G1133" s="4" t="str">
        <f>HYPERLINK("http://141.218.60.56/~jnz1568/getInfo.php?workbook=18_08.xlsx&amp;sheet=U0&amp;row=1133&amp;col=7&amp;number=0.00449&amp;sourceID=14","0.00449")</f>
        <v>0.00449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HYPERLINK("http://141.218.60.56/~jnz1568/getInfo.php?workbook=18_08.xlsx&amp;sheet=U0&amp;row=1134&amp;col=6&amp;number=4&amp;sourceID=14","4")</f>
        <v>4</v>
      </c>
      <c r="G1134" s="4" t="str">
        <f>HYPERLINK("http://141.218.60.56/~jnz1568/getInfo.php?workbook=18_08.xlsx&amp;sheet=U0&amp;row=1134&amp;col=7&amp;number=0.00448&amp;sourceID=14","0.00448")</f>
        <v>0.00448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HYPERLINK("http://141.218.60.56/~jnz1568/getInfo.php?workbook=18_08.xlsx&amp;sheet=U0&amp;row=1135&amp;col=6&amp;number=4.1&amp;sourceID=14","4.1")</f>
        <v>4.1</v>
      </c>
      <c r="G1135" s="4" t="str">
        <f>HYPERLINK("http://141.218.60.56/~jnz1568/getInfo.php?workbook=18_08.xlsx&amp;sheet=U0&amp;row=1135&amp;col=7&amp;number=0.00448&amp;sourceID=14","0.00448")</f>
        <v>0.00448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HYPERLINK("http://141.218.60.56/~jnz1568/getInfo.php?workbook=18_08.xlsx&amp;sheet=U0&amp;row=1136&amp;col=6&amp;number=4.2&amp;sourceID=14","4.2")</f>
        <v>4.2</v>
      </c>
      <c r="G1136" s="4" t="str">
        <f>HYPERLINK("http://141.218.60.56/~jnz1568/getInfo.php?workbook=18_08.xlsx&amp;sheet=U0&amp;row=1136&amp;col=7&amp;number=0.00448&amp;sourceID=14","0.00448")</f>
        <v>0.00448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HYPERLINK("http://141.218.60.56/~jnz1568/getInfo.php?workbook=18_08.xlsx&amp;sheet=U0&amp;row=1137&amp;col=6&amp;number=4.3&amp;sourceID=14","4.3")</f>
        <v>4.3</v>
      </c>
      <c r="G1137" s="4" t="str">
        <f>HYPERLINK("http://141.218.60.56/~jnz1568/getInfo.php?workbook=18_08.xlsx&amp;sheet=U0&amp;row=1137&amp;col=7&amp;number=0.00447&amp;sourceID=14","0.00447")</f>
        <v>0.00447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HYPERLINK("http://141.218.60.56/~jnz1568/getInfo.php?workbook=18_08.xlsx&amp;sheet=U0&amp;row=1138&amp;col=6&amp;number=4.4&amp;sourceID=14","4.4")</f>
        <v>4.4</v>
      </c>
      <c r="G1138" s="4" t="str">
        <f>HYPERLINK("http://141.218.60.56/~jnz1568/getInfo.php?workbook=18_08.xlsx&amp;sheet=U0&amp;row=1138&amp;col=7&amp;number=0.00447&amp;sourceID=14","0.00447")</f>
        <v>0.00447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HYPERLINK("http://141.218.60.56/~jnz1568/getInfo.php?workbook=18_08.xlsx&amp;sheet=U0&amp;row=1139&amp;col=6&amp;number=4.5&amp;sourceID=14","4.5")</f>
        <v>4.5</v>
      </c>
      <c r="G1139" s="4" t="str">
        <f>HYPERLINK("http://141.218.60.56/~jnz1568/getInfo.php?workbook=18_08.xlsx&amp;sheet=U0&amp;row=1139&amp;col=7&amp;number=0.00446&amp;sourceID=14","0.00446")</f>
        <v>0.00446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HYPERLINK("http://141.218.60.56/~jnz1568/getInfo.php?workbook=18_08.xlsx&amp;sheet=U0&amp;row=1140&amp;col=6&amp;number=4.6&amp;sourceID=14","4.6")</f>
        <v>4.6</v>
      </c>
      <c r="G1140" s="4" t="str">
        <f>HYPERLINK("http://141.218.60.56/~jnz1568/getInfo.php?workbook=18_08.xlsx&amp;sheet=U0&amp;row=1140&amp;col=7&amp;number=0.00445&amp;sourceID=14","0.00445")</f>
        <v>0.00445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HYPERLINK("http://141.218.60.56/~jnz1568/getInfo.php?workbook=18_08.xlsx&amp;sheet=U0&amp;row=1141&amp;col=6&amp;number=4.7&amp;sourceID=14","4.7")</f>
        <v>4.7</v>
      </c>
      <c r="G1141" s="4" t="str">
        <f>HYPERLINK("http://141.218.60.56/~jnz1568/getInfo.php?workbook=18_08.xlsx&amp;sheet=U0&amp;row=1141&amp;col=7&amp;number=0.00444&amp;sourceID=14","0.00444")</f>
        <v>0.00444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HYPERLINK("http://141.218.60.56/~jnz1568/getInfo.php?workbook=18_08.xlsx&amp;sheet=U0&amp;row=1142&amp;col=6&amp;number=4.8&amp;sourceID=14","4.8")</f>
        <v>4.8</v>
      </c>
      <c r="G1142" s="4" t="str">
        <f>HYPERLINK("http://141.218.60.56/~jnz1568/getInfo.php?workbook=18_08.xlsx&amp;sheet=U0&amp;row=1142&amp;col=7&amp;number=0.00442&amp;sourceID=14","0.00442")</f>
        <v>0.00442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HYPERLINK("http://141.218.60.56/~jnz1568/getInfo.php?workbook=18_08.xlsx&amp;sheet=U0&amp;row=1143&amp;col=6&amp;number=4.9&amp;sourceID=14","4.9")</f>
        <v>4.9</v>
      </c>
      <c r="G1143" s="4" t="str">
        <f>HYPERLINK("http://141.218.60.56/~jnz1568/getInfo.php?workbook=18_08.xlsx&amp;sheet=U0&amp;row=1143&amp;col=7&amp;number=0.0044&amp;sourceID=14","0.0044")</f>
        <v>0.0044</v>
      </c>
    </row>
    <row r="1144" spans="1:7">
      <c r="A1144" s="3">
        <v>18</v>
      </c>
      <c r="B1144" s="3">
        <v>8</v>
      </c>
      <c r="C1144" s="3" t="s">
        <v>50</v>
      </c>
      <c r="D1144" s="3">
        <v>9</v>
      </c>
      <c r="E1144" s="3">
        <v>1</v>
      </c>
      <c r="F1144" s="4" t="str">
        <f>HYPERLINK("http://141.218.60.56/~jnz1568/getInfo.php?workbook=18_08.xlsx&amp;sheet=U0&amp;row=1144&amp;col=6&amp;number=3&amp;sourceID=14","3")</f>
        <v>3</v>
      </c>
      <c r="G1144" s="4" t="str">
        <f>HYPERLINK("http://141.218.60.56/~jnz1568/getInfo.php?workbook=18_08.xlsx&amp;sheet=U0&amp;row=1144&amp;col=7&amp;number=0.0152&amp;sourceID=14","0.0152")</f>
        <v>0.0152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HYPERLINK("http://141.218.60.56/~jnz1568/getInfo.php?workbook=18_08.xlsx&amp;sheet=U0&amp;row=1145&amp;col=6&amp;number=3.1&amp;sourceID=14","3.1")</f>
        <v>3.1</v>
      </c>
      <c r="G1145" s="4" t="str">
        <f>HYPERLINK("http://141.218.60.56/~jnz1568/getInfo.php?workbook=18_08.xlsx&amp;sheet=U0&amp;row=1145&amp;col=7&amp;number=0.0152&amp;sourceID=14","0.0152")</f>
        <v>0.0152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HYPERLINK("http://141.218.60.56/~jnz1568/getInfo.php?workbook=18_08.xlsx&amp;sheet=U0&amp;row=1146&amp;col=6&amp;number=3.2&amp;sourceID=14","3.2")</f>
        <v>3.2</v>
      </c>
      <c r="G1146" s="4" t="str">
        <f>HYPERLINK("http://141.218.60.56/~jnz1568/getInfo.php?workbook=18_08.xlsx&amp;sheet=U0&amp;row=1146&amp;col=7&amp;number=0.0152&amp;sourceID=14","0.0152")</f>
        <v>0.0152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HYPERLINK("http://141.218.60.56/~jnz1568/getInfo.php?workbook=18_08.xlsx&amp;sheet=U0&amp;row=1147&amp;col=6&amp;number=3.3&amp;sourceID=14","3.3")</f>
        <v>3.3</v>
      </c>
      <c r="G1147" s="4" t="str">
        <f>HYPERLINK("http://141.218.60.56/~jnz1568/getInfo.php?workbook=18_08.xlsx&amp;sheet=U0&amp;row=1147&amp;col=7&amp;number=0.0152&amp;sourceID=14","0.0152")</f>
        <v>0.0152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HYPERLINK("http://141.218.60.56/~jnz1568/getInfo.php?workbook=18_08.xlsx&amp;sheet=U0&amp;row=1148&amp;col=6&amp;number=3.4&amp;sourceID=14","3.4")</f>
        <v>3.4</v>
      </c>
      <c r="G1148" s="4" t="str">
        <f>HYPERLINK("http://141.218.60.56/~jnz1568/getInfo.php?workbook=18_08.xlsx&amp;sheet=U0&amp;row=1148&amp;col=7&amp;number=0.0152&amp;sourceID=14","0.0152")</f>
        <v>0.0152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HYPERLINK("http://141.218.60.56/~jnz1568/getInfo.php?workbook=18_08.xlsx&amp;sheet=U0&amp;row=1149&amp;col=6&amp;number=3.5&amp;sourceID=14","3.5")</f>
        <v>3.5</v>
      </c>
      <c r="G1149" s="4" t="str">
        <f>HYPERLINK("http://141.218.60.56/~jnz1568/getInfo.php?workbook=18_08.xlsx&amp;sheet=U0&amp;row=1149&amp;col=7&amp;number=0.0152&amp;sourceID=14","0.0152")</f>
        <v>0.0152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HYPERLINK("http://141.218.60.56/~jnz1568/getInfo.php?workbook=18_08.xlsx&amp;sheet=U0&amp;row=1150&amp;col=6&amp;number=3.6&amp;sourceID=14","3.6")</f>
        <v>3.6</v>
      </c>
      <c r="G1150" s="4" t="str">
        <f>HYPERLINK("http://141.218.60.56/~jnz1568/getInfo.php?workbook=18_08.xlsx&amp;sheet=U0&amp;row=1150&amp;col=7&amp;number=0.0152&amp;sourceID=14","0.0152")</f>
        <v>0.0152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HYPERLINK("http://141.218.60.56/~jnz1568/getInfo.php?workbook=18_08.xlsx&amp;sheet=U0&amp;row=1151&amp;col=6&amp;number=3.7&amp;sourceID=14","3.7")</f>
        <v>3.7</v>
      </c>
      <c r="G1151" s="4" t="str">
        <f>HYPERLINK("http://141.218.60.56/~jnz1568/getInfo.php?workbook=18_08.xlsx&amp;sheet=U0&amp;row=1151&amp;col=7&amp;number=0.0152&amp;sourceID=14","0.0152")</f>
        <v>0.0152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HYPERLINK("http://141.218.60.56/~jnz1568/getInfo.php?workbook=18_08.xlsx&amp;sheet=U0&amp;row=1152&amp;col=6&amp;number=3.8&amp;sourceID=14","3.8")</f>
        <v>3.8</v>
      </c>
      <c r="G1152" s="4" t="str">
        <f>HYPERLINK("http://141.218.60.56/~jnz1568/getInfo.php?workbook=18_08.xlsx&amp;sheet=U0&amp;row=1152&amp;col=7&amp;number=0.0152&amp;sourceID=14","0.0152")</f>
        <v>0.0152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HYPERLINK("http://141.218.60.56/~jnz1568/getInfo.php?workbook=18_08.xlsx&amp;sheet=U0&amp;row=1153&amp;col=6&amp;number=3.9&amp;sourceID=14","3.9")</f>
        <v>3.9</v>
      </c>
      <c r="G1153" s="4" t="str">
        <f>HYPERLINK("http://141.218.60.56/~jnz1568/getInfo.php?workbook=18_08.xlsx&amp;sheet=U0&amp;row=1153&amp;col=7&amp;number=0.0152&amp;sourceID=14","0.0152")</f>
        <v>0.0152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HYPERLINK("http://141.218.60.56/~jnz1568/getInfo.php?workbook=18_08.xlsx&amp;sheet=U0&amp;row=1154&amp;col=6&amp;number=4&amp;sourceID=14","4")</f>
        <v>4</v>
      </c>
      <c r="G1154" s="4" t="str">
        <f>HYPERLINK("http://141.218.60.56/~jnz1568/getInfo.php?workbook=18_08.xlsx&amp;sheet=U0&amp;row=1154&amp;col=7&amp;number=0.0152&amp;sourceID=14","0.0152")</f>
        <v>0.0152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HYPERLINK("http://141.218.60.56/~jnz1568/getInfo.php?workbook=18_08.xlsx&amp;sheet=U0&amp;row=1155&amp;col=6&amp;number=4.1&amp;sourceID=14","4.1")</f>
        <v>4.1</v>
      </c>
      <c r="G1155" s="4" t="str">
        <f>HYPERLINK("http://141.218.60.56/~jnz1568/getInfo.php?workbook=18_08.xlsx&amp;sheet=U0&amp;row=1155&amp;col=7&amp;number=0.0152&amp;sourceID=14","0.0152")</f>
        <v>0.0152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HYPERLINK("http://141.218.60.56/~jnz1568/getInfo.php?workbook=18_08.xlsx&amp;sheet=U0&amp;row=1156&amp;col=6&amp;number=4.2&amp;sourceID=14","4.2")</f>
        <v>4.2</v>
      </c>
      <c r="G1156" s="4" t="str">
        <f>HYPERLINK("http://141.218.60.56/~jnz1568/getInfo.php?workbook=18_08.xlsx&amp;sheet=U0&amp;row=1156&amp;col=7&amp;number=0.0152&amp;sourceID=14","0.0152")</f>
        <v>0.0152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HYPERLINK("http://141.218.60.56/~jnz1568/getInfo.php?workbook=18_08.xlsx&amp;sheet=U0&amp;row=1157&amp;col=6&amp;number=4.3&amp;sourceID=14","4.3")</f>
        <v>4.3</v>
      </c>
      <c r="G1157" s="4" t="str">
        <f>HYPERLINK("http://141.218.60.56/~jnz1568/getInfo.php?workbook=18_08.xlsx&amp;sheet=U0&amp;row=1157&amp;col=7&amp;number=0.0152&amp;sourceID=14","0.0152")</f>
        <v>0.0152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HYPERLINK("http://141.218.60.56/~jnz1568/getInfo.php?workbook=18_08.xlsx&amp;sheet=U0&amp;row=1158&amp;col=6&amp;number=4.4&amp;sourceID=14","4.4")</f>
        <v>4.4</v>
      </c>
      <c r="G1158" s="4" t="str">
        <f>HYPERLINK("http://141.218.60.56/~jnz1568/getInfo.php?workbook=18_08.xlsx&amp;sheet=U0&amp;row=1158&amp;col=7&amp;number=0.0151&amp;sourceID=14","0.0151")</f>
        <v>0.0151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HYPERLINK("http://141.218.60.56/~jnz1568/getInfo.php?workbook=18_08.xlsx&amp;sheet=U0&amp;row=1159&amp;col=6&amp;number=4.5&amp;sourceID=14","4.5")</f>
        <v>4.5</v>
      </c>
      <c r="G1159" s="4" t="str">
        <f>HYPERLINK("http://141.218.60.56/~jnz1568/getInfo.php?workbook=18_08.xlsx&amp;sheet=U0&amp;row=1159&amp;col=7&amp;number=0.0151&amp;sourceID=14","0.0151")</f>
        <v>0.0151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HYPERLINK("http://141.218.60.56/~jnz1568/getInfo.php?workbook=18_08.xlsx&amp;sheet=U0&amp;row=1160&amp;col=6&amp;number=4.6&amp;sourceID=14","4.6")</f>
        <v>4.6</v>
      </c>
      <c r="G1160" s="4" t="str">
        <f>HYPERLINK("http://141.218.60.56/~jnz1568/getInfo.php?workbook=18_08.xlsx&amp;sheet=U0&amp;row=1160&amp;col=7&amp;number=0.0151&amp;sourceID=14","0.0151")</f>
        <v>0.0151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HYPERLINK("http://141.218.60.56/~jnz1568/getInfo.php?workbook=18_08.xlsx&amp;sheet=U0&amp;row=1161&amp;col=6&amp;number=4.7&amp;sourceID=14","4.7")</f>
        <v>4.7</v>
      </c>
      <c r="G1161" s="4" t="str">
        <f>HYPERLINK("http://141.218.60.56/~jnz1568/getInfo.php?workbook=18_08.xlsx&amp;sheet=U0&amp;row=1161&amp;col=7&amp;number=0.0151&amp;sourceID=14","0.0151")</f>
        <v>0.0151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HYPERLINK("http://141.218.60.56/~jnz1568/getInfo.php?workbook=18_08.xlsx&amp;sheet=U0&amp;row=1162&amp;col=6&amp;number=4.8&amp;sourceID=14","4.8")</f>
        <v>4.8</v>
      </c>
      <c r="G1162" s="4" t="str">
        <f>HYPERLINK("http://141.218.60.56/~jnz1568/getInfo.php?workbook=18_08.xlsx&amp;sheet=U0&amp;row=1162&amp;col=7&amp;number=0.0151&amp;sourceID=14","0.0151")</f>
        <v>0.0151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HYPERLINK("http://141.218.60.56/~jnz1568/getInfo.php?workbook=18_08.xlsx&amp;sheet=U0&amp;row=1163&amp;col=6&amp;number=4.9&amp;sourceID=14","4.9")</f>
        <v>4.9</v>
      </c>
      <c r="G1163" s="4" t="str">
        <f>HYPERLINK("http://141.218.60.56/~jnz1568/getInfo.php?workbook=18_08.xlsx&amp;sheet=U0&amp;row=1163&amp;col=7&amp;number=0.015&amp;sourceID=14","0.015")</f>
        <v>0.015</v>
      </c>
    </row>
    <row r="1164" spans="1:7">
      <c r="A1164" s="3">
        <v>18</v>
      </c>
      <c r="B1164" s="3">
        <v>8</v>
      </c>
      <c r="C1164" s="3" t="s">
        <v>51</v>
      </c>
      <c r="D1164" s="3">
        <v>0</v>
      </c>
      <c r="E1164" s="3">
        <v>1</v>
      </c>
      <c r="F1164" s="4" t="str">
        <f>HYPERLINK("http://141.218.60.56/~jnz1568/getInfo.php?workbook=18_08.xlsx&amp;sheet=U0&amp;row=1164&amp;col=6&amp;number=3&amp;sourceID=14","3")</f>
        <v>3</v>
      </c>
      <c r="G1164" s="4" t="str">
        <f>HYPERLINK("http://141.218.60.56/~jnz1568/getInfo.php?workbook=18_08.xlsx&amp;sheet=U0&amp;row=1164&amp;col=7&amp;number=0.00745&amp;sourceID=14","0.00745")</f>
        <v>0.00745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HYPERLINK("http://141.218.60.56/~jnz1568/getInfo.php?workbook=18_08.xlsx&amp;sheet=U0&amp;row=1165&amp;col=6&amp;number=3.1&amp;sourceID=14","3.1")</f>
        <v>3.1</v>
      </c>
      <c r="G1165" s="4" t="str">
        <f>HYPERLINK("http://141.218.60.56/~jnz1568/getInfo.php?workbook=18_08.xlsx&amp;sheet=U0&amp;row=1165&amp;col=7&amp;number=0.00745&amp;sourceID=14","0.00745")</f>
        <v>0.00745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HYPERLINK("http://141.218.60.56/~jnz1568/getInfo.php?workbook=18_08.xlsx&amp;sheet=U0&amp;row=1166&amp;col=6&amp;number=3.2&amp;sourceID=14","3.2")</f>
        <v>3.2</v>
      </c>
      <c r="G1166" s="4" t="str">
        <f>HYPERLINK("http://141.218.60.56/~jnz1568/getInfo.php?workbook=18_08.xlsx&amp;sheet=U0&amp;row=1166&amp;col=7&amp;number=0.00745&amp;sourceID=14","0.00745")</f>
        <v>0.00745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HYPERLINK("http://141.218.60.56/~jnz1568/getInfo.php?workbook=18_08.xlsx&amp;sheet=U0&amp;row=1167&amp;col=6&amp;number=3.3&amp;sourceID=14","3.3")</f>
        <v>3.3</v>
      </c>
      <c r="G1167" s="4" t="str">
        <f>HYPERLINK("http://141.218.60.56/~jnz1568/getInfo.php?workbook=18_08.xlsx&amp;sheet=U0&amp;row=1167&amp;col=7&amp;number=0.00745&amp;sourceID=14","0.00745")</f>
        <v>0.00745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HYPERLINK("http://141.218.60.56/~jnz1568/getInfo.php?workbook=18_08.xlsx&amp;sheet=U0&amp;row=1168&amp;col=6&amp;number=3.4&amp;sourceID=14","3.4")</f>
        <v>3.4</v>
      </c>
      <c r="G1168" s="4" t="str">
        <f>HYPERLINK("http://141.218.60.56/~jnz1568/getInfo.php?workbook=18_08.xlsx&amp;sheet=U0&amp;row=1168&amp;col=7&amp;number=0.00745&amp;sourceID=14","0.00745")</f>
        <v>0.00745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HYPERLINK("http://141.218.60.56/~jnz1568/getInfo.php?workbook=18_08.xlsx&amp;sheet=U0&amp;row=1169&amp;col=6&amp;number=3.5&amp;sourceID=14","3.5")</f>
        <v>3.5</v>
      </c>
      <c r="G1169" s="4" t="str">
        <f>HYPERLINK("http://141.218.60.56/~jnz1568/getInfo.php?workbook=18_08.xlsx&amp;sheet=U0&amp;row=1169&amp;col=7&amp;number=0.00745&amp;sourceID=14","0.00745")</f>
        <v>0.00745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HYPERLINK("http://141.218.60.56/~jnz1568/getInfo.php?workbook=18_08.xlsx&amp;sheet=U0&amp;row=1170&amp;col=6&amp;number=3.6&amp;sourceID=14","3.6")</f>
        <v>3.6</v>
      </c>
      <c r="G1170" s="4" t="str">
        <f>HYPERLINK("http://141.218.60.56/~jnz1568/getInfo.php?workbook=18_08.xlsx&amp;sheet=U0&amp;row=1170&amp;col=7&amp;number=0.00744&amp;sourceID=14","0.00744")</f>
        <v>0.00744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HYPERLINK("http://141.218.60.56/~jnz1568/getInfo.php?workbook=18_08.xlsx&amp;sheet=U0&amp;row=1171&amp;col=6&amp;number=3.7&amp;sourceID=14","3.7")</f>
        <v>3.7</v>
      </c>
      <c r="G1171" s="4" t="str">
        <f>HYPERLINK("http://141.218.60.56/~jnz1568/getInfo.php?workbook=18_08.xlsx&amp;sheet=U0&amp;row=1171&amp;col=7&amp;number=0.00744&amp;sourceID=14","0.00744")</f>
        <v>0.00744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HYPERLINK("http://141.218.60.56/~jnz1568/getInfo.php?workbook=18_08.xlsx&amp;sheet=U0&amp;row=1172&amp;col=6&amp;number=3.8&amp;sourceID=14","3.8")</f>
        <v>3.8</v>
      </c>
      <c r="G1172" s="4" t="str">
        <f>HYPERLINK("http://141.218.60.56/~jnz1568/getInfo.php?workbook=18_08.xlsx&amp;sheet=U0&amp;row=1172&amp;col=7&amp;number=0.00744&amp;sourceID=14","0.00744")</f>
        <v>0.00744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HYPERLINK("http://141.218.60.56/~jnz1568/getInfo.php?workbook=18_08.xlsx&amp;sheet=U0&amp;row=1173&amp;col=6&amp;number=3.9&amp;sourceID=14","3.9")</f>
        <v>3.9</v>
      </c>
      <c r="G1173" s="4" t="str">
        <f>HYPERLINK("http://141.218.60.56/~jnz1568/getInfo.php?workbook=18_08.xlsx&amp;sheet=U0&amp;row=1173&amp;col=7&amp;number=0.00744&amp;sourceID=14","0.00744")</f>
        <v>0.00744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HYPERLINK("http://141.218.60.56/~jnz1568/getInfo.php?workbook=18_08.xlsx&amp;sheet=U0&amp;row=1174&amp;col=6&amp;number=4&amp;sourceID=14","4")</f>
        <v>4</v>
      </c>
      <c r="G1174" s="4" t="str">
        <f>HYPERLINK("http://141.218.60.56/~jnz1568/getInfo.php?workbook=18_08.xlsx&amp;sheet=U0&amp;row=1174&amp;col=7&amp;number=0.00744&amp;sourceID=14","0.00744")</f>
        <v>0.00744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HYPERLINK("http://141.218.60.56/~jnz1568/getInfo.php?workbook=18_08.xlsx&amp;sheet=U0&amp;row=1175&amp;col=6&amp;number=4.1&amp;sourceID=14","4.1")</f>
        <v>4.1</v>
      </c>
      <c r="G1175" s="4" t="str">
        <f>HYPERLINK("http://141.218.60.56/~jnz1568/getInfo.php?workbook=18_08.xlsx&amp;sheet=U0&amp;row=1175&amp;col=7&amp;number=0.00743&amp;sourceID=14","0.00743")</f>
        <v>0.00743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HYPERLINK("http://141.218.60.56/~jnz1568/getInfo.php?workbook=18_08.xlsx&amp;sheet=U0&amp;row=1176&amp;col=6&amp;number=4.2&amp;sourceID=14","4.2")</f>
        <v>4.2</v>
      </c>
      <c r="G1176" s="4" t="str">
        <f>HYPERLINK("http://141.218.60.56/~jnz1568/getInfo.php?workbook=18_08.xlsx&amp;sheet=U0&amp;row=1176&amp;col=7&amp;number=0.00743&amp;sourceID=14","0.00743")</f>
        <v>0.00743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HYPERLINK("http://141.218.60.56/~jnz1568/getInfo.php?workbook=18_08.xlsx&amp;sheet=U0&amp;row=1177&amp;col=6&amp;number=4.3&amp;sourceID=14","4.3")</f>
        <v>4.3</v>
      </c>
      <c r="G1177" s="4" t="str">
        <f>HYPERLINK("http://141.218.60.56/~jnz1568/getInfo.php?workbook=18_08.xlsx&amp;sheet=U0&amp;row=1177&amp;col=7&amp;number=0.00742&amp;sourceID=14","0.00742")</f>
        <v>0.00742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HYPERLINK("http://141.218.60.56/~jnz1568/getInfo.php?workbook=18_08.xlsx&amp;sheet=U0&amp;row=1178&amp;col=6&amp;number=4.4&amp;sourceID=14","4.4")</f>
        <v>4.4</v>
      </c>
      <c r="G1178" s="4" t="str">
        <f>HYPERLINK("http://141.218.60.56/~jnz1568/getInfo.php?workbook=18_08.xlsx&amp;sheet=U0&amp;row=1178&amp;col=7&amp;number=0.00741&amp;sourceID=14","0.00741")</f>
        <v>0.00741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HYPERLINK("http://141.218.60.56/~jnz1568/getInfo.php?workbook=18_08.xlsx&amp;sheet=U0&amp;row=1179&amp;col=6&amp;number=4.5&amp;sourceID=14","4.5")</f>
        <v>4.5</v>
      </c>
      <c r="G1179" s="4" t="str">
        <f>HYPERLINK("http://141.218.60.56/~jnz1568/getInfo.php?workbook=18_08.xlsx&amp;sheet=U0&amp;row=1179&amp;col=7&amp;number=0.0074&amp;sourceID=14","0.0074")</f>
        <v>0.0074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HYPERLINK("http://141.218.60.56/~jnz1568/getInfo.php?workbook=18_08.xlsx&amp;sheet=U0&amp;row=1180&amp;col=6&amp;number=4.6&amp;sourceID=14","4.6")</f>
        <v>4.6</v>
      </c>
      <c r="G1180" s="4" t="str">
        <f>HYPERLINK("http://141.218.60.56/~jnz1568/getInfo.php?workbook=18_08.xlsx&amp;sheet=U0&amp;row=1180&amp;col=7&amp;number=0.00739&amp;sourceID=14","0.00739")</f>
        <v>0.00739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HYPERLINK("http://141.218.60.56/~jnz1568/getInfo.php?workbook=18_08.xlsx&amp;sheet=U0&amp;row=1181&amp;col=6&amp;number=4.7&amp;sourceID=14","4.7")</f>
        <v>4.7</v>
      </c>
      <c r="G1181" s="4" t="str">
        <f>HYPERLINK("http://141.218.60.56/~jnz1568/getInfo.php?workbook=18_08.xlsx&amp;sheet=U0&amp;row=1181&amp;col=7&amp;number=0.00737&amp;sourceID=14","0.00737")</f>
        <v>0.00737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HYPERLINK("http://141.218.60.56/~jnz1568/getInfo.php?workbook=18_08.xlsx&amp;sheet=U0&amp;row=1182&amp;col=6&amp;number=4.8&amp;sourceID=14","4.8")</f>
        <v>4.8</v>
      </c>
      <c r="G1182" s="4" t="str">
        <f>HYPERLINK("http://141.218.60.56/~jnz1568/getInfo.php?workbook=18_08.xlsx&amp;sheet=U0&amp;row=1182&amp;col=7&amp;number=0.00735&amp;sourceID=14","0.00735")</f>
        <v>0.00735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HYPERLINK("http://141.218.60.56/~jnz1568/getInfo.php?workbook=18_08.xlsx&amp;sheet=U0&amp;row=1183&amp;col=6&amp;number=4.9&amp;sourceID=14","4.9")</f>
        <v>4.9</v>
      </c>
      <c r="G1183" s="4" t="str">
        <f>HYPERLINK("http://141.218.60.56/~jnz1568/getInfo.php?workbook=18_08.xlsx&amp;sheet=U0&amp;row=1183&amp;col=7&amp;number=0.00733&amp;sourceID=14","0.00733")</f>
        <v>0.00733</v>
      </c>
    </row>
    <row r="1184" spans="1:7">
      <c r="A1184" s="3">
        <v>18</v>
      </c>
      <c r="B1184" s="3">
        <v>8</v>
      </c>
      <c r="C1184" s="3" t="s">
        <v>51</v>
      </c>
      <c r="D1184" s="3">
        <v>1</v>
      </c>
      <c r="E1184" s="3">
        <v>1</v>
      </c>
      <c r="F1184" s="4" t="str">
        <f>HYPERLINK("http://141.218.60.56/~jnz1568/getInfo.php?workbook=18_08.xlsx&amp;sheet=U0&amp;row=1184&amp;col=6&amp;number=3&amp;sourceID=14","3")</f>
        <v>3</v>
      </c>
      <c r="G1184" s="4" t="str">
        <f>HYPERLINK("http://141.218.60.56/~jnz1568/getInfo.php?workbook=18_08.xlsx&amp;sheet=U0&amp;row=1184&amp;col=7&amp;number=0.011&amp;sourceID=14","0.011")</f>
        <v>0.011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HYPERLINK("http://141.218.60.56/~jnz1568/getInfo.php?workbook=18_08.xlsx&amp;sheet=U0&amp;row=1185&amp;col=6&amp;number=3.1&amp;sourceID=14","3.1")</f>
        <v>3.1</v>
      </c>
      <c r="G1185" s="4" t="str">
        <f>HYPERLINK("http://141.218.60.56/~jnz1568/getInfo.php?workbook=18_08.xlsx&amp;sheet=U0&amp;row=1185&amp;col=7&amp;number=0.011&amp;sourceID=14","0.011")</f>
        <v>0.011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HYPERLINK("http://141.218.60.56/~jnz1568/getInfo.php?workbook=18_08.xlsx&amp;sheet=U0&amp;row=1186&amp;col=6&amp;number=3.2&amp;sourceID=14","3.2")</f>
        <v>3.2</v>
      </c>
      <c r="G1186" s="4" t="str">
        <f>HYPERLINK("http://141.218.60.56/~jnz1568/getInfo.php?workbook=18_08.xlsx&amp;sheet=U0&amp;row=1186&amp;col=7&amp;number=0.011&amp;sourceID=14","0.011")</f>
        <v>0.011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HYPERLINK("http://141.218.60.56/~jnz1568/getInfo.php?workbook=18_08.xlsx&amp;sheet=U0&amp;row=1187&amp;col=6&amp;number=3.3&amp;sourceID=14","3.3")</f>
        <v>3.3</v>
      </c>
      <c r="G1187" s="4" t="str">
        <f>HYPERLINK("http://141.218.60.56/~jnz1568/getInfo.php?workbook=18_08.xlsx&amp;sheet=U0&amp;row=1187&amp;col=7&amp;number=0.011&amp;sourceID=14","0.011")</f>
        <v>0.011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HYPERLINK("http://141.218.60.56/~jnz1568/getInfo.php?workbook=18_08.xlsx&amp;sheet=U0&amp;row=1188&amp;col=6&amp;number=3.4&amp;sourceID=14","3.4")</f>
        <v>3.4</v>
      </c>
      <c r="G1188" s="4" t="str">
        <f>HYPERLINK("http://141.218.60.56/~jnz1568/getInfo.php?workbook=18_08.xlsx&amp;sheet=U0&amp;row=1188&amp;col=7&amp;number=0.011&amp;sourceID=14","0.011")</f>
        <v>0.011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HYPERLINK("http://141.218.60.56/~jnz1568/getInfo.php?workbook=18_08.xlsx&amp;sheet=U0&amp;row=1189&amp;col=6&amp;number=3.5&amp;sourceID=14","3.5")</f>
        <v>3.5</v>
      </c>
      <c r="G1189" s="4" t="str">
        <f>HYPERLINK("http://141.218.60.56/~jnz1568/getInfo.php?workbook=18_08.xlsx&amp;sheet=U0&amp;row=1189&amp;col=7&amp;number=0.011&amp;sourceID=14","0.011")</f>
        <v>0.011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HYPERLINK("http://141.218.60.56/~jnz1568/getInfo.php?workbook=18_08.xlsx&amp;sheet=U0&amp;row=1190&amp;col=6&amp;number=3.6&amp;sourceID=14","3.6")</f>
        <v>3.6</v>
      </c>
      <c r="G1190" s="4" t="str">
        <f>HYPERLINK("http://141.218.60.56/~jnz1568/getInfo.php?workbook=18_08.xlsx&amp;sheet=U0&amp;row=1190&amp;col=7&amp;number=0.011&amp;sourceID=14","0.011")</f>
        <v>0.011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HYPERLINK("http://141.218.60.56/~jnz1568/getInfo.php?workbook=18_08.xlsx&amp;sheet=U0&amp;row=1191&amp;col=6&amp;number=3.7&amp;sourceID=14","3.7")</f>
        <v>3.7</v>
      </c>
      <c r="G1191" s="4" t="str">
        <f>HYPERLINK("http://141.218.60.56/~jnz1568/getInfo.php?workbook=18_08.xlsx&amp;sheet=U0&amp;row=1191&amp;col=7&amp;number=0.011&amp;sourceID=14","0.011")</f>
        <v>0.011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HYPERLINK("http://141.218.60.56/~jnz1568/getInfo.php?workbook=18_08.xlsx&amp;sheet=U0&amp;row=1192&amp;col=6&amp;number=3.8&amp;sourceID=14","3.8")</f>
        <v>3.8</v>
      </c>
      <c r="G1192" s="4" t="str">
        <f>HYPERLINK("http://141.218.60.56/~jnz1568/getInfo.php?workbook=18_08.xlsx&amp;sheet=U0&amp;row=1192&amp;col=7&amp;number=0.011&amp;sourceID=14","0.011")</f>
        <v>0.011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HYPERLINK("http://141.218.60.56/~jnz1568/getInfo.php?workbook=18_08.xlsx&amp;sheet=U0&amp;row=1193&amp;col=6&amp;number=3.9&amp;sourceID=14","3.9")</f>
        <v>3.9</v>
      </c>
      <c r="G1193" s="4" t="str">
        <f>HYPERLINK("http://141.218.60.56/~jnz1568/getInfo.php?workbook=18_08.xlsx&amp;sheet=U0&amp;row=1193&amp;col=7&amp;number=0.011&amp;sourceID=14","0.011")</f>
        <v>0.011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HYPERLINK("http://141.218.60.56/~jnz1568/getInfo.php?workbook=18_08.xlsx&amp;sheet=U0&amp;row=1194&amp;col=6&amp;number=4&amp;sourceID=14","4")</f>
        <v>4</v>
      </c>
      <c r="G1194" s="4" t="str">
        <f>HYPERLINK("http://141.218.60.56/~jnz1568/getInfo.php?workbook=18_08.xlsx&amp;sheet=U0&amp;row=1194&amp;col=7&amp;number=0.011&amp;sourceID=14","0.011")</f>
        <v>0.011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HYPERLINK("http://141.218.60.56/~jnz1568/getInfo.php?workbook=18_08.xlsx&amp;sheet=U0&amp;row=1195&amp;col=6&amp;number=4.1&amp;sourceID=14","4.1")</f>
        <v>4.1</v>
      </c>
      <c r="G1195" s="4" t="str">
        <f>HYPERLINK("http://141.218.60.56/~jnz1568/getInfo.php?workbook=18_08.xlsx&amp;sheet=U0&amp;row=1195&amp;col=7&amp;number=0.011&amp;sourceID=14","0.011")</f>
        <v>0.011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HYPERLINK("http://141.218.60.56/~jnz1568/getInfo.php?workbook=18_08.xlsx&amp;sheet=U0&amp;row=1196&amp;col=6&amp;number=4.2&amp;sourceID=14","4.2")</f>
        <v>4.2</v>
      </c>
      <c r="G1196" s="4" t="str">
        <f>HYPERLINK("http://141.218.60.56/~jnz1568/getInfo.php?workbook=18_08.xlsx&amp;sheet=U0&amp;row=1196&amp;col=7&amp;number=0.011&amp;sourceID=14","0.011")</f>
        <v>0.011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HYPERLINK("http://141.218.60.56/~jnz1568/getInfo.php?workbook=18_08.xlsx&amp;sheet=U0&amp;row=1197&amp;col=6&amp;number=4.3&amp;sourceID=14","4.3")</f>
        <v>4.3</v>
      </c>
      <c r="G1197" s="4" t="str">
        <f>HYPERLINK("http://141.218.60.56/~jnz1568/getInfo.php?workbook=18_08.xlsx&amp;sheet=U0&amp;row=1197&amp;col=7&amp;number=0.011&amp;sourceID=14","0.011")</f>
        <v>0.011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HYPERLINK("http://141.218.60.56/~jnz1568/getInfo.php?workbook=18_08.xlsx&amp;sheet=U0&amp;row=1198&amp;col=6&amp;number=4.4&amp;sourceID=14","4.4")</f>
        <v>4.4</v>
      </c>
      <c r="G1198" s="4" t="str">
        <f>HYPERLINK("http://141.218.60.56/~jnz1568/getInfo.php?workbook=18_08.xlsx&amp;sheet=U0&amp;row=1198&amp;col=7&amp;number=0.011&amp;sourceID=14","0.011")</f>
        <v>0.011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HYPERLINK("http://141.218.60.56/~jnz1568/getInfo.php?workbook=18_08.xlsx&amp;sheet=U0&amp;row=1199&amp;col=6&amp;number=4.5&amp;sourceID=14","4.5")</f>
        <v>4.5</v>
      </c>
      <c r="G1199" s="4" t="str">
        <f>HYPERLINK("http://141.218.60.56/~jnz1568/getInfo.php?workbook=18_08.xlsx&amp;sheet=U0&amp;row=1199&amp;col=7&amp;number=0.0109&amp;sourceID=14","0.0109")</f>
        <v>0.0109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HYPERLINK("http://141.218.60.56/~jnz1568/getInfo.php?workbook=18_08.xlsx&amp;sheet=U0&amp;row=1200&amp;col=6&amp;number=4.6&amp;sourceID=14","4.6")</f>
        <v>4.6</v>
      </c>
      <c r="G1200" s="4" t="str">
        <f>HYPERLINK("http://141.218.60.56/~jnz1568/getInfo.php?workbook=18_08.xlsx&amp;sheet=U0&amp;row=1200&amp;col=7&amp;number=0.0109&amp;sourceID=14","0.0109")</f>
        <v>0.0109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HYPERLINK("http://141.218.60.56/~jnz1568/getInfo.php?workbook=18_08.xlsx&amp;sheet=U0&amp;row=1201&amp;col=6&amp;number=4.7&amp;sourceID=14","4.7")</f>
        <v>4.7</v>
      </c>
      <c r="G1201" s="4" t="str">
        <f>HYPERLINK("http://141.218.60.56/~jnz1568/getInfo.php?workbook=18_08.xlsx&amp;sheet=U0&amp;row=1201&amp;col=7&amp;number=0.0109&amp;sourceID=14","0.0109")</f>
        <v>0.0109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HYPERLINK("http://141.218.60.56/~jnz1568/getInfo.php?workbook=18_08.xlsx&amp;sheet=U0&amp;row=1202&amp;col=6&amp;number=4.8&amp;sourceID=14","4.8")</f>
        <v>4.8</v>
      </c>
      <c r="G1202" s="4" t="str">
        <f>HYPERLINK("http://141.218.60.56/~jnz1568/getInfo.php?workbook=18_08.xlsx&amp;sheet=U0&amp;row=1202&amp;col=7&amp;number=0.0109&amp;sourceID=14","0.0109")</f>
        <v>0.0109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HYPERLINK("http://141.218.60.56/~jnz1568/getInfo.php?workbook=18_08.xlsx&amp;sheet=U0&amp;row=1203&amp;col=6&amp;number=4.9&amp;sourceID=14","4.9")</f>
        <v>4.9</v>
      </c>
      <c r="G1203" s="4" t="str">
        <f>HYPERLINK("http://141.218.60.56/~jnz1568/getInfo.php?workbook=18_08.xlsx&amp;sheet=U0&amp;row=1203&amp;col=7&amp;number=0.0109&amp;sourceID=14","0.0109")</f>
        <v>0.0109</v>
      </c>
    </row>
    <row r="1204" spans="1:7">
      <c r="A1204" s="3">
        <v>18</v>
      </c>
      <c r="B1204" s="3">
        <v>8</v>
      </c>
      <c r="C1204" s="3" t="s">
        <v>51</v>
      </c>
      <c r="D1204" s="3">
        <v>2</v>
      </c>
      <c r="E1204" s="3">
        <v>1</v>
      </c>
      <c r="F1204" s="4" t="str">
        <f>HYPERLINK("http://141.218.60.56/~jnz1568/getInfo.php?workbook=18_08.xlsx&amp;sheet=U0&amp;row=1204&amp;col=6&amp;number=3&amp;sourceID=14","3")</f>
        <v>3</v>
      </c>
      <c r="G1204" s="4" t="str">
        <f>HYPERLINK("http://141.218.60.56/~jnz1568/getInfo.php?workbook=18_08.xlsx&amp;sheet=U0&amp;row=1204&amp;col=7&amp;number=0.0204&amp;sourceID=14","0.0204")</f>
        <v>0.0204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HYPERLINK("http://141.218.60.56/~jnz1568/getInfo.php?workbook=18_08.xlsx&amp;sheet=U0&amp;row=1205&amp;col=6&amp;number=3.1&amp;sourceID=14","3.1")</f>
        <v>3.1</v>
      </c>
      <c r="G1205" s="4" t="str">
        <f>HYPERLINK("http://141.218.60.56/~jnz1568/getInfo.php?workbook=18_08.xlsx&amp;sheet=U0&amp;row=1205&amp;col=7&amp;number=0.0204&amp;sourceID=14","0.0204")</f>
        <v>0.0204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HYPERLINK("http://141.218.60.56/~jnz1568/getInfo.php?workbook=18_08.xlsx&amp;sheet=U0&amp;row=1206&amp;col=6&amp;number=3.2&amp;sourceID=14","3.2")</f>
        <v>3.2</v>
      </c>
      <c r="G1206" s="4" t="str">
        <f>HYPERLINK("http://141.218.60.56/~jnz1568/getInfo.php?workbook=18_08.xlsx&amp;sheet=U0&amp;row=1206&amp;col=7&amp;number=0.0204&amp;sourceID=14","0.0204")</f>
        <v>0.0204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HYPERLINK("http://141.218.60.56/~jnz1568/getInfo.php?workbook=18_08.xlsx&amp;sheet=U0&amp;row=1207&amp;col=6&amp;number=3.3&amp;sourceID=14","3.3")</f>
        <v>3.3</v>
      </c>
      <c r="G1207" s="4" t="str">
        <f>HYPERLINK("http://141.218.60.56/~jnz1568/getInfo.php?workbook=18_08.xlsx&amp;sheet=U0&amp;row=1207&amp;col=7&amp;number=0.0204&amp;sourceID=14","0.0204")</f>
        <v>0.0204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HYPERLINK("http://141.218.60.56/~jnz1568/getInfo.php?workbook=18_08.xlsx&amp;sheet=U0&amp;row=1208&amp;col=6&amp;number=3.4&amp;sourceID=14","3.4")</f>
        <v>3.4</v>
      </c>
      <c r="G1208" s="4" t="str">
        <f>HYPERLINK("http://141.218.60.56/~jnz1568/getInfo.php?workbook=18_08.xlsx&amp;sheet=U0&amp;row=1208&amp;col=7&amp;number=0.0204&amp;sourceID=14","0.0204")</f>
        <v>0.0204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HYPERLINK("http://141.218.60.56/~jnz1568/getInfo.php?workbook=18_08.xlsx&amp;sheet=U0&amp;row=1209&amp;col=6&amp;number=3.5&amp;sourceID=14","3.5")</f>
        <v>3.5</v>
      </c>
      <c r="G1209" s="4" t="str">
        <f>HYPERLINK("http://141.218.60.56/~jnz1568/getInfo.php?workbook=18_08.xlsx&amp;sheet=U0&amp;row=1209&amp;col=7&amp;number=0.0204&amp;sourceID=14","0.0204")</f>
        <v>0.0204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HYPERLINK("http://141.218.60.56/~jnz1568/getInfo.php?workbook=18_08.xlsx&amp;sheet=U0&amp;row=1210&amp;col=6&amp;number=3.6&amp;sourceID=14","3.6")</f>
        <v>3.6</v>
      </c>
      <c r="G1210" s="4" t="str">
        <f>HYPERLINK("http://141.218.60.56/~jnz1568/getInfo.php?workbook=18_08.xlsx&amp;sheet=U0&amp;row=1210&amp;col=7&amp;number=0.0204&amp;sourceID=14","0.0204")</f>
        <v>0.0204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HYPERLINK("http://141.218.60.56/~jnz1568/getInfo.php?workbook=18_08.xlsx&amp;sheet=U0&amp;row=1211&amp;col=6&amp;number=3.7&amp;sourceID=14","3.7")</f>
        <v>3.7</v>
      </c>
      <c r="G1211" s="4" t="str">
        <f>HYPERLINK("http://141.218.60.56/~jnz1568/getInfo.php?workbook=18_08.xlsx&amp;sheet=U0&amp;row=1211&amp;col=7&amp;number=0.0204&amp;sourceID=14","0.0204")</f>
        <v>0.0204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HYPERLINK("http://141.218.60.56/~jnz1568/getInfo.php?workbook=18_08.xlsx&amp;sheet=U0&amp;row=1212&amp;col=6&amp;number=3.8&amp;sourceID=14","3.8")</f>
        <v>3.8</v>
      </c>
      <c r="G1212" s="4" t="str">
        <f>HYPERLINK("http://141.218.60.56/~jnz1568/getInfo.php?workbook=18_08.xlsx&amp;sheet=U0&amp;row=1212&amp;col=7&amp;number=0.0204&amp;sourceID=14","0.0204")</f>
        <v>0.0204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HYPERLINK("http://141.218.60.56/~jnz1568/getInfo.php?workbook=18_08.xlsx&amp;sheet=U0&amp;row=1213&amp;col=6&amp;number=3.9&amp;sourceID=14","3.9")</f>
        <v>3.9</v>
      </c>
      <c r="G1213" s="4" t="str">
        <f>HYPERLINK("http://141.218.60.56/~jnz1568/getInfo.php?workbook=18_08.xlsx&amp;sheet=U0&amp;row=1213&amp;col=7&amp;number=0.0204&amp;sourceID=14","0.0204")</f>
        <v>0.0204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HYPERLINK("http://141.218.60.56/~jnz1568/getInfo.php?workbook=18_08.xlsx&amp;sheet=U0&amp;row=1214&amp;col=6&amp;number=4&amp;sourceID=14","4")</f>
        <v>4</v>
      </c>
      <c r="G1214" s="4" t="str">
        <f>HYPERLINK("http://141.218.60.56/~jnz1568/getInfo.php?workbook=18_08.xlsx&amp;sheet=U0&amp;row=1214&amp;col=7&amp;number=0.0204&amp;sourceID=14","0.0204")</f>
        <v>0.0204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HYPERLINK("http://141.218.60.56/~jnz1568/getInfo.php?workbook=18_08.xlsx&amp;sheet=U0&amp;row=1215&amp;col=6&amp;number=4.1&amp;sourceID=14","4.1")</f>
        <v>4.1</v>
      </c>
      <c r="G1215" s="4" t="str">
        <f>HYPERLINK("http://141.218.60.56/~jnz1568/getInfo.php?workbook=18_08.xlsx&amp;sheet=U0&amp;row=1215&amp;col=7&amp;number=0.0204&amp;sourceID=14","0.0204")</f>
        <v>0.0204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HYPERLINK("http://141.218.60.56/~jnz1568/getInfo.php?workbook=18_08.xlsx&amp;sheet=U0&amp;row=1216&amp;col=6&amp;number=4.2&amp;sourceID=14","4.2")</f>
        <v>4.2</v>
      </c>
      <c r="G1216" s="4" t="str">
        <f>HYPERLINK("http://141.218.60.56/~jnz1568/getInfo.php?workbook=18_08.xlsx&amp;sheet=U0&amp;row=1216&amp;col=7&amp;number=0.0204&amp;sourceID=14","0.0204")</f>
        <v>0.0204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HYPERLINK("http://141.218.60.56/~jnz1568/getInfo.php?workbook=18_08.xlsx&amp;sheet=U0&amp;row=1217&amp;col=6&amp;number=4.3&amp;sourceID=14","4.3")</f>
        <v>4.3</v>
      </c>
      <c r="G1217" s="4" t="str">
        <f>HYPERLINK("http://141.218.60.56/~jnz1568/getInfo.php?workbook=18_08.xlsx&amp;sheet=U0&amp;row=1217&amp;col=7&amp;number=0.0204&amp;sourceID=14","0.0204")</f>
        <v>0.0204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HYPERLINK("http://141.218.60.56/~jnz1568/getInfo.php?workbook=18_08.xlsx&amp;sheet=U0&amp;row=1218&amp;col=6&amp;number=4.4&amp;sourceID=14","4.4")</f>
        <v>4.4</v>
      </c>
      <c r="G1218" s="4" t="str">
        <f>HYPERLINK("http://141.218.60.56/~jnz1568/getInfo.php?workbook=18_08.xlsx&amp;sheet=U0&amp;row=1218&amp;col=7&amp;number=0.0204&amp;sourceID=14","0.0204")</f>
        <v>0.0204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HYPERLINK("http://141.218.60.56/~jnz1568/getInfo.php?workbook=18_08.xlsx&amp;sheet=U0&amp;row=1219&amp;col=6&amp;number=4.5&amp;sourceID=14","4.5")</f>
        <v>4.5</v>
      </c>
      <c r="G1219" s="4" t="str">
        <f>HYPERLINK("http://141.218.60.56/~jnz1568/getInfo.php?workbook=18_08.xlsx&amp;sheet=U0&amp;row=1219&amp;col=7&amp;number=0.0204&amp;sourceID=14","0.0204")</f>
        <v>0.0204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HYPERLINK("http://141.218.60.56/~jnz1568/getInfo.php?workbook=18_08.xlsx&amp;sheet=U0&amp;row=1220&amp;col=6&amp;number=4.6&amp;sourceID=14","4.6")</f>
        <v>4.6</v>
      </c>
      <c r="G1220" s="4" t="str">
        <f>HYPERLINK("http://141.218.60.56/~jnz1568/getInfo.php?workbook=18_08.xlsx&amp;sheet=U0&amp;row=1220&amp;col=7&amp;number=0.0204&amp;sourceID=14","0.0204")</f>
        <v>0.0204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HYPERLINK("http://141.218.60.56/~jnz1568/getInfo.php?workbook=18_08.xlsx&amp;sheet=U0&amp;row=1221&amp;col=6&amp;number=4.7&amp;sourceID=14","4.7")</f>
        <v>4.7</v>
      </c>
      <c r="G1221" s="4" t="str">
        <f>HYPERLINK("http://141.218.60.56/~jnz1568/getInfo.php?workbook=18_08.xlsx&amp;sheet=U0&amp;row=1221&amp;col=7&amp;number=0.0204&amp;sourceID=14","0.0204")</f>
        <v>0.0204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HYPERLINK("http://141.218.60.56/~jnz1568/getInfo.php?workbook=18_08.xlsx&amp;sheet=U0&amp;row=1222&amp;col=6&amp;number=4.8&amp;sourceID=14","4.8")</f>
        <v>4.8</v>
      </c>
      <c r="G1222" s="4" t="str">
        <f>HYPERLINK("http://141.218.60.56/~jnz1568/getInfo.php?workbook=18_08.xlsx&amp;sheet=U0&amp;row=1222&amp;col=7&amp;number=0.0203&amp;sourceID=14","0.0203")</f>
        <v>0.0203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HYPERLINK("http://141.218.60.56/~jnz1568/getInfo.php?workbook=18_08.xlsx&amp;sheet=U0&amp;row=1223&amp;col=6&amp;number=4.9&amp;sourceID=14","4.9")</f>
        <v>4.9</v>
      </c>
      <c r="G1223" s="4" t="str">
        <f>HYPERLINK("http://141.218.60.56/~jnz1568/getInfo.php?workbook=18_08.xlsx&amp;sheet=U0&amp;row=1223&amp;col=7&amp;number=0.0203&amp;sourceID=14","0.0203")</f>
        <v>0.0203</v>
      </c>
    </row>
    <row r="1224" spans="1:7">
      <c r="A1224" s="3">
        <v>18</v>
      </c>
      <c r="B1224" s="3">
        <v>8</v>
      </c>
      <c r="C1224" s="3" t="s">
        <v>51</v>
      </c>
      <c r="D1224" s="3">
        <v>3</v>
      </c>
      <c r="E1224" s="3">
        <v>1</v>
      </c>
      <c r="F1224" s="4" t="str">
        <f>HYPERLINK("http://141.218.60.56/~jnz1568/getInfo.php?workbook=18_08.xlsx&amp;sheet=U0&amp;row=1224&amp;col=6&amp;number=3&amp;sourceID=14","3")</f>
        <v>3</v>
      </c>
      <c r="G1224" s="4" t="str">
        <f>HYPERLINK("http://141.218.60.56/~jnz1568/getInfo.php?workbook=18_08.xlsx&amp;sheet=U0&amp;row=1224&amp;col=7&amp;number=0.0178&amp;sourceID=14","0.0178")</f>
        <v>0.0178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HYPERLINK("http://141.218.60.56/~jnz1568/getInfo.php?workbook=18_08.xlsx&amp;sheet=U0&amp;row=1225&amp;col=6&amp;number=3.1&amp;sourceID=14","3.1")</f>
        <v>3.1</v>
      </c>
      <c r="G1225" s="4" t="str">
        <f>HYPERLINK("http://141.218.60.56/~jnz1568/getInfo.php?workbook=18_08.xlsx&amp;sheet=U0&amp;row=1225&amp;col=7&amp;number=0.0178&amp;sourceID=14","0.0178")</f>
        <v>0.0178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HYPERLINK("http://141.218.60.56/~jnz1568/getInfo.php?workbook=18_08.xlsx&amp;sheet=U0&amp;row=1226&amp;col=6&amp;number=3.2&amp;sourceID=14","3.2")</f>
        <v>3.2</v>
      </c>
      <c r="G1226" s="4" t="str">
        <f>HYPERLINK("http://141.218.60.56/~jnz1568/getInfo.php?workbook=18_08.xlsx&amp;sheet=U0&amp;row=1226&amp;col=7&amp;number=0.0178&amp;sourceID=14","0.0178")</f>
        <v>0.0178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HYPERLINK("http://141.218.60.56/~jnz1568/getInfo.php?workbook=18_08.xlsx&amp;sheet=U0&amp;row=1227&amp;col=6&amp;number=3.3&amp;sourceID=14","3.3")</f>
        <v>3.3</v>
      </c>
      <c r="G1227" s="4" t="str">
        <f>HYPERLINK("http://141.218.60.56/~jnz1568/getInfo.php?workbook=18_08.xlsx&amp;sheet=U0&amp;row=1227&amp;col=7&amp;number=0.0178&amp;sourceID=14","0.0178")</f>
        <v>0.0178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HYPERLINK("http://141.218.60.56/~jnz1568/getInfo.php?workbook=18_08.xlsx&amp;sheet=U0&amp;row=1228&amp;col=6&amp;number=3.4&amp;sourceID=14","3.4")</f>
        <v>3.4</v>
      </c>
      <c r="G1228" s="4" t="str">
        <f>HYPERLINK("http://141.218.60.56/~jnz1568/getInfo.php?workbook=18_08.xlsx&amp;sheet=U0&amp;row=1228&amp;col=7&amp;number=0.0178&amp;sourceID=14","0.0178")</f>
        <v>0.0178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HYPERLINK("http://141.218.60.56/~jnz1568/getInfo.php?workbook=18_08.xlsx&amp;sheet=U0&amp;row=1229&amp;col=6&amp;number=3.5&amp;sourceID=14","3.5")</f>
        <v>3.5</v>
      </c>
      <c r="G1229" s="4" t="str">
        <f>HYPERLINK("http://141.218.60.56/~jnz1568/getInfo.php?workbook=18_08.xlsx&amp;sheet=U0&amp;row=1229&amp;col=7&amp;number=0.0178&amp;sourceID=14","0.0178")</f>
        <v>0.0178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HYPERLINK("http://141.218.60.56/~jnz1568/getInfo.php?workbook=18_08.xlsx&amp;sheet=U0&amp;row=1230&amp;col=6&amp;number=3.6&amp;sourceID=14","3.6")</f>
        <v>3.6</v>
      </c>
      <c r="G1230" s="4" t="str">
        <f>HYPERLINK("http://141.218.60.56/~jnz1568/getInfo.php?workbook=18_08.xlsx&amp;sheet=U0&amp;row=1230&amp;col=7&amp;number=0.0178&amp;sourceID=14","0.0178")</f>
        <v>0.0178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HYPERLINK("http://141.218.60.56/~jnz1568/getInfo.php?workbook=18_08.xlsx&amp;sheet=U0&amp;row=1231&amp;col=6&amp;number=3.7&amp;sourceID=14","3.7")</f>
        <v>3.7</v>
      </c>
      <c r="G1231" s="4" t="str">
        <f>HYPERLINK("http://141.218.60.56/~jnz1568/getInfo.php?workbook=18_08.xlsx&amp;sheet=U0&amp;row=1231&amp;col=7&amp;number=0.0178&amp;sourceID=14","0.0178")</f>
        <v>0.0178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HYPERLINK("http://141.218.60.56/~jnz1568/getInfo.php?workbook=18_08.xlsx&amp;sheet=U0&amp;row=1232&amp;col=6&amp;number=3.8&amp;sourceID=14","3.8")</f>
        <v>3.8</v>
      </c>
      <c r="G1232" s="4" t="str">
        <f>HYPERLINK("http://141.218.60.56/~jnz1568/getInfo.php?workbook=18_08.xlsx&amp;sheet=U0&amp;row=1232&amp;col=7&amp;number=0.0178&amp;sourceID=14","0.0178")</f>
        <v>0.0178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HYPERLINK("http://141.218.60.56/~jnz1568/getInfo.php?workbook=18_08.xlsx&amp;sheet=U0&amp;row=1233&amp;col=6&amp;number=3.9&amp;sourceID=14","3.9")</f>
        <v>3.9</v>
      </c>
      <c r="G1233" s="4" t="str">
        <f>HYPERLINK("http://141.218.60.56/~jnz1568/getInfo.php?workbook=18_08.xlsx&amp;sheet=U0&amp;row=1233&amp;col=7&amp;number=0.0177&amp;sourceID=14","0.0177")</f>
        <v>0.0177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HYPERLINK("http://141.218.60.56/~jnz1568/getInfo.php?workbook=18_08.xlsx&amp;sheet=U0&amp;row=1234&amp;col=6&amp;number=4&amp;sourceID=14","4")</f>
        <v>4</v>
      </c>
      <c r="G1234" s="4" t="str">
        <f>HYPERLINK("http://141.218.60.56/~jnz1568/getInfo.php?workbook=18_08.xlsx&amp;sheet=U0&amp;row=1234&amp;col=7&amp;number=0.0177&amp;sourceID=14","0.0177")</f>
        <v>0.0177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HYPERLINK("http://141.218.60.56/~jnz1568/getInfo.php?workbook=18_08.xlsx&amp;sheet=U0&amp;row=1235&amp;col=6&amp;number=4.1&amp;sourceID=14","4.1")</f>
        <v>4.1</v>
      </c>
      <c r="G1235" s="4" t="str">
        <f>HYPERLINK("http://141.218.60.56/~jnz1568/getInfo.php?workbook=18_08.xlsx&amp;sheet=U0&amp;row=1235&amp;col=7&amp;number=0.0177&amp;sourceID=14","0.0177")</f>
        <v>0.0177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HYPERLINK("http://141.218.60.56/~jnz1568/getInfo.php?workbook=18_08.xlsx&amp;sheet=U0&amp;row=1236&amp;col=6&amp;number=4.2&amp;sourceID=14","4.2")</f>
        <v>4.2</v>
      </c>
      <c r="G1236" s="4" t="str">
        <f>HYPERLINK("http://141.218.60.56/~jnz1568/getInfo.php?workbook=18_08.xlsx&amp;sheet=U0&amp;row=1236&amp;col=7&amp;number=0.0177&amp;sourceID=14","0.0177")</f>
        <v>0.0177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HYPERLINK("http://141.218.60.56/~jnz1568/getInfo.php?workbook=18_08.xlsx&amp;sheet=U0&amp;row=1237&amp;col=6&amp;number=4.3&amp;sourceID=14","4.3")</f>
        <v>4.3</v>
      </c>
      <c r="G1237" s="4" t="str">
        <f>HYPERLINK("http://141.218.60.56/~jnz1568/getInfo.php?workbook=18_08.xlsx&amp;sheet=U0&amp;row=1237&amp;col=7&amp;number=0.0177&amp;sourceID=14","0.0177")</f>
        <v>0.0177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HYPERLINK("http://141.218.60.56/~jnz1568/getInfo.php?workbook=18_08.xlsx&amp;sheet=U0&amp;row=1238&amp;col=6&amp;number=4.4&amp;sourceID=14","4.4")</f>
        <v>4.4</v>
      </c>
      <c r="G1238" s="4" t="str">
        <f>HYPERLINK("http://141.218.60.56/~jnz1568/getInfo.php?workbook=18_08.xlsx&amp;sheet=U0&amp;row=1238&amp;col=7&amp;number=0.0177&amp;sourceID=14","0.0177")</f>
        <v>0.0177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HYPERLINK("http://141.218.60.56/~jnz1568/getInfo.php?workbook=18_08.xlsx&amp;sheet=U0&amp;row=1239&amp;col=6&amp;number=4.5&amp;sourceID=14","4.5")</f>
        <v>4.5</v>
      </c>
      <c r="G1239" s="4" t="str">
        <f>HYPERLINK("http://141.218.60.56/~jnz1568/getInfo.php?workbook=18_08.xlsx&amp;sheet=U0&amp;row=1239&amp;col=7&amp;number=0.0176&amp;sourceID=14","0.0176")</f>
        <v>0.0176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HYPERLINK("http://141.218.60.56/~jnz1568/getInfo.php?workbook=18_08.xlsx&amp;sheet=U0&amp;row=1240&amp;col=6&amp;number=4.6&amp;sourceID=14","4.6")</f>
        <v>4.6</v>
      </c>
      <c r="G1240" s="4" t="str">
        <f>HYPERLINK("http://141.218.60.56/~jnz1568/getInfo.php?workbook=18_08.xlsx&amp;sheet=U0&amp;row=1240&amp;col=7&amp;number=0.0176&amp;sourceID=14","0.0176")</f>
        <v>0.0176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HYPERLINK("http://141.218.60.56/~jnz1568/getInfo.php?workbook=18_08.xlsx&amp;sheet=U0&amp;row=1241&amp;col=6&amp;number=4.7&amp;sourceID=14","4.7")</f>
        <v>4.7</v>
      </c>
      <c r="G1241" s="4" t="str">
        <f>HYPERLINK("http://141.218.60.56/~jnz1568/getInfo.php?workbook=18_08.xlsx&amp;sheet=U0&amp;row=1241&amp;col=7&amp;number=0.0175&amp;sourceID=14","0.0175")</f>
        <v>0.0175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HYPERLINK("http://141.218.60.56/~jnz1568/getInfo.php?workbook=18_08.xlsx&amp;sheet=U0&amp;row=1242&amp;col=6&amp;number=4.8&amp;sourceID=14","4.8")</f>
        <v>4.8</v>
      </c>
      <c r="G1242" s="4" t="str">
        <f>HYPERLINK("http://141.218.60.56/~jnz1568/getInfo.php?workbook=18_08.xlsx&amp;sheet=U0&amp;row=1242&amp;col=7&amp;number=0.0175&amp;sourceID=14","0.0175")</f>
        <v>0.0175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HYPERLINK("http://141.218.60.56/~jnz1568/getInfo.php?workbook=18_08.xlsx&amp;sheet=U0&amp;row=1243&amp;col=6&amp;number=4.9&amp;sourceID=14","4.9")</f>
        <v>4.9</v>
      </c>
      <c r="G1243" s="4" t="str">
        <f>HYPERLINK("http://141.218.60.56/~jnz1568/getInfo.php?workbook=18_08.xlsx&amp;sheet=U0&amp;row=1243&amp;col=7&amp;number=0.0174&amp;sourceID=14","0.0174")</f>
        <v>0.0174</v>
      </c>
    </row>
    <row r="1244" spans="1:7">
      <c r="A1244" s="3">
        <v>18</v>
      </c>
      <c r="B1244" s="3">
        <v>8</v>
      </c>
      <c r="C1244" s="3" t="s">
        <v>51</v>
      </c>
      <c r="D1244" s="3">
        <v>4</v>
      </c>
      <c r="E1244" s="3">
        <v>1</v>
      </c>
      <c r="F1244" s="4" t="str">
        <f>HYPERLINK("http://141.218.60.56/~jnz1568/getInfo.php?workbook=18_08.xlsx&amp;sheet=U0&amp;row=1244&amp;col=6&amp;number=3&amp;sourceID=14","3")</f>
        <v>3</v>
      </c>
      <c r="G1244" s="4" t="str">
        <f>HYPERLINK("http://141.218.60.56/~jnz1568/getInfo.php?workbook=18_08.xlsx&amp;sheet=U0&amp;row=1244&amp;col=7&amp;number=0.00804&amp;sourceID=14","0.00804")</f>
        <v>0.00804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HYPERLINK("http://141.218.60.56/~jnz1568/getInfo.php?workbook=18_08.xlsx&amp;sheet=U0&amp;row=1245&amp;col=6&amp;number=3.1&amp;sourceID=14","3.1")</f>
        <v>3.1</v>
      </c>
      <c r="G1245" s="4" t="str">
        <f>HYPERLINK("http://141.218.60.56/~jnz1568/getInfo.php?workbook=18_08.xlsx&amp;sheet=U0&amp;row=1245&amp;col=7&amp;number=0.00804&amp;sourceID=14","0.00804")</f>
        <v>0.00804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HYPERLINK("http://141.218.60.56/~jnz1568/getInfo.php?workbook=18_08.xlsx&amp;sheet=U0&amp;row=1246&amp;col=6&amp;number=3.2&amp;sourceID=14","3.2")</f>
        <v>3.2</v>
      </c>
      <c r="G1246" s="4" t="str">
        <f>HYPERLINK("http://141.218.60.56/~jnz1568/getInfo.php?workbook=18_08.xlsx&amp;sheet=U0&amp;row=1246&amp;col=7&amp;number=0.00804&amp;sourceID=14","0.00804")</f>
        <v>0.00804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HYPERLINK("http://141.218.60.56/~jnz1568/getInfo.php?workbook=18_08.xlsx&amp;sheet=U0&amp;row=1247&amp;col=6&amp;number=3.3&amp;sourceID=14","3.3")</f>
        <v>3.3</v>
      </c>
      <c r="G1247" s="4" t="str">
        <f>HYPERLINK("http://141.218.60.56/~jnz1568/getInfo.php?workbook=18_08.xlsx&amp;sheet=U0&amp;row=1247&amp;col=7&amp;number=0.00804&amp;sourceID=14","0.00804")</f>
        <v>0.00804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HYPERLINK("http://141.218.60.56/~jnz1568/getInfo.php?workbook=18_08.xlsx&amp;sheet=U0&amp;row=1248&amp;col=6&amp;number=3.4&amp;sourceID=14","3.4")</f>
        <v>3.4</v>
      </c>
      <c r="G1248" s="4" t="str">
        <f>HYPERLINK("http://141.218.60.56/~jnz1568/getInfo.php?workbook=18_08.xlsx&amp;sheet=U0&amp;row=1248&amp;col=7&amp;number=0.00804&amp;sourceID=14","0.00804")</f>
        <v>0.00804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HYPERLINK("http://141.218.60.56/~jnz1568/getInfo.php?workbook=18_08.xlsx&amp;sheet=U0&amp;row=1249&amp;col=6&amp;number=3.5&amp;sourceID=14","3.5")</f>
        <v>3.5</v>
      </c>
      <c r="G1249" s="4" t="str">
        <f>HYPERLINK("http://141.218.60.56/~jnz1568/getInfo.php?workbook=18_08.xlsx&amp;sheet=U0&amp;row=1249&amp;col=7&amp;number=0.00804&amp;sourceID=14","0.00804")</f>
        <v>0.00804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HYPERLINK("http://141.218.60.56/~jnz1568/getInfo.php?workbook=18_08.xlsx&amp;sheet=U0&amp;row=1250&amp;col=6&amp;number=3.6&amp;sourceID=14","3.6")</f>
        <v>3.6</v>
      </c>
      <c r="G1250" s="4" t="str">
        <f>HYPERLINK("http://141.218.60.56/~jnz1568/getInfo.php?workbook=18_08.xlsx&amp;sheet=U0&amp;row=1250&amp;col=7&amp;number=0.00804&amp;sourceID=14","0.00804")</f>
        <v>0.00804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HYPERLINK("http://141.218.60.56/~jnz1568/getInfo.php?workbook=18_08.xlsx&amp;sheet=U0&amp;row=1251&amp;col=6&amp;number=3.7&amp;sourceID=14","3.7")</f>
        <v>3.7</v>
      </c>
      <c r="G1251" s="4" t="str">
        <f>HYPERLINK("http://141.218.60.56/~jnz1568/getInfo.php?workbook=18_08.xlsx&amp;sheet=U0&amp;row=1251&amp;col=7&amp;number=0.00804&amp;sourceID=14","0.00804")</f>
        <v>0.00804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HYPERLINK("http://141.218.60.56/~jnz1568/getInfo.php?workbook=18_08.xlsx&amp;sheet=U0&amp;row=1252&amp;col=6&amp;number=3.8&amp;sourceID=14","3.8")</f>
        <v>3.8</v>
      </c>
      <c r="G1252" s="4" t="str">
        <f>HYPERLINK("http://141.218.60.56/~jnz1568/getInfo.php?workbook=18_08.xlsx&amp;sheet=U0&amp;row=1252&amp;col=7&amp;number=0.00803&amp;sourceID=14","0.00803")</f>
        <v>0.00803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HYPERLINK("http://141.218.60.56/~jnz1568/getInfo.php?workbook=18_08.xlsx&amp;sheet=U0&amp;row=1253&amp;col=6&amp;number=3.9&amp;sourceID=14","3.9")</f>
        <v>3.9</v>
      </c>
      <c r="G1253" s="4" t="str">
        <f>HYPERLINK("http://141.218.60.56/~jnz1568/getInfo.php?workbook=18_08.xlsx&amp;sheet=U0&amp;row=1253&amp;col=7&amp;number=0.00803&amp;sourceID=14","0.00803")</f>
        <v>0.00803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HYPERLINK("http://141.218.60.56/~jnz1568/getInfo.php?workbook=18_08.xlsx&amp;sheet=U0&amp;row=1254&amp;col=6&amp;number=4&amp;sourceID=14","4")</f>
        <v>4</v>
      </c>
      <c r="G1254" s="4" t="str">
        <f>HYPERLINK("http://141.218.60.56/~jnz1568/getInfo.php?workbook=18_08.xlsx&amp;sheet=U0&amp;row=1254&amp;col=7&amp;number=0.00803&amp;sourceID=14","0.00803")</f>
        <v>0.00803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HYPERLINK("http://141.218.60.56/~jnz1568/getInfo.php?workbook=18_08.xlsx&amp;sheet=U0&amp;row=1255&amp;col=6&amp;number=4.1&amp;sourceID=14","4.1")</f>
        <v>4.1</v>
      </c>
      <c r="G1255" s="4" t="str">
        <f>HYPERLINK("http://141.218.60.56/~jnz1568/getInfo.php?workbook=18_08.xlsx&amp;sheet=U0&amp;row=1255&amp;col=7&amp;number=0.00803&amp;sourceID=14","0.00803")</f>
        <v>0.00803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HYPERLINK("http://141.218.60.56/~jnz1568/getInfo.php?workbook=18_08.xlsx&amp;sheet=U0&amp;row=1256&amp;col=6&amp;number=4.2&amp;sourceID=14","4.2")</f>
        <v>4.2</v>
      </c>
      <c r="G1256" s="4" t="str">
        <f>HYPERLINK("http://141.218.60.56/~jnz1568/getInfo.php?workbook=18_08.xlsx&amp;sheet=U0&amp;row=1256&amp;col=7&amp;number=0.00802&amp;sourceID=14","0.00802")</f>
        <v>0.00802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HYPERLINK("http://141.218.60.56/~jnz1568/getInfo.php?workbook=18_08.xlsx&amp;sheet=U0&amp;row=1257&amp;col=6&amp;number=4.3&amp;sourceID=14","4.3")</f>
        <v>4.3</v>
      </c>
      <c r="G1257" s="4" t="str">
        <f>HYPERLINK("http://141.218.60.56/~jnz1568/getInfo.php?workbook=18_08.xlsx&amp;sheet=U0&amp;row=1257&amp;col=7&amp;number=0.00802&amp;sourceID=14","0.00802")</f>
        <v>0.00802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HYPERLINK("http://141.218.60.56/~jnz1568/getInfo.php?workbook=18_08.xlsx&amp;sheet=U0&amp;row=1258&amp;col=6&amp;number=4.4&amp;sourceID=14","4.4")</f>
        <v>4.4</v>
      </c>
      <c r="G1258" s="4" t="str">
        <f>HYPERLINK("http://141.218.60.56/~jnz1568/getInfo.php?workbook=18_08.xlsx&amp;sheet=U0&amp;row=1258&amp;col=7&amp;number=0.00801&amp;sourceID=14","0.00801")</f>
        <v>0.00801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HYPERLINK("http://141.218.60.56/~jnz1568/getInfo.php?workbook=18_08.xlsx&amp;sheet=U0&amp;row=1259&amp;col=6&amp;number=4.5&amp;sourceID=14","4.5")</f>
        <v>4.5</v>
      </c>
      <c r="G1259" s="4" t="str">
        <f>HYPERLINK("http://141.218.60.56/~jnz1568/getInfo.php?workbook=18_08.xlsx&amp;sheet=U0&amp;row=1259&amp;col=7&amp;number=0.008&amp;sourceID=14","0.008")</f>
        <v>0.008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HYPERLINK("http://141.218.60.56/~jnz1568/getInfo.php?workbook=18_08.xlsx&amp;sheet=U0&amp;row=1260&amp;col=6&amp;number=4.6&amp;sourceID=14","4.6")</f>
        <v>4.6</v>
      </c>
      <c r="G1260" s="4" t="str">
        <f>HYPERLINK("http://141.218.60.56/~jnz1568/getInfo.php?workbook=18_08.xlsx&amp;sheet=U0&amp;row=1260&amp;col=7&amp;number=0.00799&amp;sourceID=14","0.00799")</f>
        <v>0.00799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HYPERLINK("http://141.218.60.56/~jnz1568/getInfo.php?workbook=18_08.xlsx&amp;sheet=U0&amp;row=1261&amp;col=6&amp;number=4.7&amp;sourceID=14","4.7")</f>
        <v>4.7</v>
      </c>
      <c r="G1261" s="4" t="str">
        <f>HYPERLINK("http://141.218.60.56/~jnz1568/getInfo.php?workbook=18_08.xlsx&amp;sheet=U0&amp;row=1261&amp;col=7&amp;number=0.00798&amp;sourceID=14","0.00798")</f>
        <v>0.00798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HYPERLINK("http://141.218.60.56/~jnz1568/getInfo.php?workbook=18_08.xlsx&amp;sheet=U0&amp;row=1262&amp;col=6&amp;number=4.8&amp;sourceID=14","4.8")</f>
        <v>4.8</v>
      </c>
      <c r="G1262" s="4" t="str">
        <f>HYPERLINK("http://141.218.60.56/~jnz1568/getInfo.php?workbook=18_08.xlsx&amp;sheet=U0&amp;row=1262&amp;col=7&amp;number=0.00797&amp;sourceID=14","0.00797")</f>
        <v>0.00797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HYPERLINK("http://141.218.60.56/~jnz1568/getInfo.php?workbook=18_08.xlsx&amp;sheet=U0&amp;row=1263&amp;col=6&amp;number=4.9&amp;sourceID=14","4.9")</f>
        <v>4.9</v>
      </c>
      <c r="G1263" s="4" t="str">
        <f>HYPERLINK("http://141.218.60.56/~jnz1568/getInfo.php?workbook=18_08.xlsx&amp;sheet=U0&amp;row=1263&amp;col=7&amp;number=0.00795&amp;sourceID=14","0.00795")</f>
        <v>0.00795</v>
      </c>
    </row>
    <row r="1264" spans="1:7">
      <c r="A1264" s="3">
        <v>18</v>
      </c>
      <c r="B1264" s="3">
        <v>8</v>
      </c>
      <c r="C1264" s="3" t="s">
        <v>51</v>
      </c>
      <c r="D1264" s="3">
        <v>5</v>
      </c>
      <c r="E1264" s="3">
        <v>1</v>
      </c>
      <c r="F1264" s="4" t="str">
        <f>HYPERLINK("http://141.218.60.56/~jnz1568/getInfo.php?workbook=18_08.xlsx&amp;sheet=U0&amp;row=1264&amp;col=6&amp;number=3&amp;sourceID=14","3")</f>
        <v>3</v>
      </c>
      <c r="G1264" s="4" t="str">
        <f>HYPERLINK("http://141.218.60.56/~jnz1568/getInfo.php?workbook=18_08.xlsx&amp;sheet=U0&amp;row=1264&amp;col=7&amp;number=0.00091&amp;sourceID=14","0.00091")</f>
        <v>0.00091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HYPERLINK("http://141.218.60.56/~jnz1568/getInfo.php?workbook=18_08.xlsx&amp;sheet=U0&amp;row=1265&amp;col=6&amp;number=3.1&amp;sourceID=14","3.1")</f>
        <v>3.1</v>
      </c>
      <c r="G1265" s="4" t="str">
        <f>HYPERLINK("http://141.218.60.56/~jnz1568/getInfo.php?workbook=18_08.xlsx&amp;sheet=U0&amp;row=1265&amp;col=7&amp;number=0.00091&amp;sourceID=14","0.00091")</f>
        <v>0.00091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HYPERLINK("http://141.218.60.56/~jnz1568/getInfo.php?workbook=18_08.xlsx&amp;sheet=U0&amp;row=1266&amp;col=6&amp;number=3.2&amp;sourceID=14","3.2")</f>
        <v>3.2</v>
      </c>
      <c r="G1266" s="4" t="str">
        <f>HYPERLINK("http://141.218.60.56/~jnz1568/getInfo.php?workbook=18_08.xlsx&amp;sheet=U0&amp;row=1266&amp;col=7&amp;number=0.00091&amp;sourceID=14","0.00091")</f>
        <v>0.00091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HYPERLINK("http://141.218.60.56/~jnz1568/getInfo.php?workbook=18_08.xlsx&amp;sheet=U0&amp;row=1267&amp;col=6&amp;number=3.3&amp;sourceID=14","3.3")</f>
        <v>3.3</v>
      </c>
      <c r="G1267" s="4" t="str">
        <f>HYPERLINK("http://141.218.60.56/~jnz1568/getInfo.php?workbook=18_08.xlsx&amp;sheet=U0&amp;row=1267&amp;col=7&amp;number=0.000909&amp;sourceID=14","0.000909")</f>
        <v>0.000909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HYPERLINK("http://141.218.60.56/~jnz1568/getInfo.php?workbook=18_08.xlsx&amp;sheet=U0&amp;row=1268&amp;col=6&amp;number=3.4&amp;sourceID=14","3.4")</f>
        <v>3.4</v>
      </c>
      <c r="G1268" s="4" t="str">
        <f>HYPERLINK("http://141.218.60.56/~jnz1568/getInfo.php?workbook=18_08.xlsx&amp;sheet=U0&amp;row=1268&amp;col=7&amp;number=0.000909&amp;sourceID=14","0.000909")</f>
        <v>0.000909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HYPERLINK("http://141.218.60.56/~jnz1568/getInfo.php?workbook=18_08.xlsx&amp;sheet=U0&amp;row=1269&amp;col=6&amp;number=3.5&amp;sourceID=14","3.5")</f>
        <v>3.5</v>
      </c>
      <c r="G1269" s="4" t="str">
        <f>HYPERLINK("http://141.218.60.56/~jnz1568/getInfo.php?workbook=18_08.xlsx&amp;sheet=U0&amp;row=1269&amp;col=7&amp;number=0.000909&amp;sourceID=14","0.000909")</f>
        <v>0.000909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HYPERLINK("http://141.218.60.56/~jnz1568/getInfo.php?workbook=18_08.xlsx&amp;sheet=U0&amp;row=1270&amp;col=6&amp;number=3.6&amp;sourceID=14","3.6")</f>
        <v>3.6</v>
      </c>
      <c r="G1270" s="4" t="str">
        <f>HYPERLINK("http://141.218.60.56/~jnz1568/getInfo.php?workbook=18_08.xlsx&amp;sheet=U0&amp;row=1270&amp;col=7&amp;number=0.000909&amp;sourceID=14","0.000909")</f>
        <v>0.000909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HYPERLINK("http://141.218.60.56/~jnz1568/getInfo.php?workbook=18_08.xlsx&amp;sheet=U0&amp;row=1271&amp;col=6&amp;number=3.7&amp;sourceID=14","3.7")</f>
        <v>3.7</v>
      </c>
      <c r="G1271" s="4" t="str">
        <f>HYPERLINK("http://141.218.60.56/~jnz1568/getInfo.php?workbook=18_08.xlsx&amp;sheet=U0&amp;row=1271&amp;col=7&amp;number=0.000909&amp;sourceID=14","0.000909")</f>
        <v>0.000909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HYPERLINK("http://141.218.60.56/~jnz1568/getInfo.php?workbook=18_08.xlsx&amp;sheet=U0&amp;row=1272&amp;col=6&amp;number=3.8&amp;sourceID=14","3.8")</f>
        <v>3.8</v>
      </c>
      <c r="G1272" s="4" t="str">
        <f>HYPERLINK("http://141.218.60.56/~jnz1568/getInfo.php?workbook=18_08.xlsx&amp;sheet=U0&amp;row=1272&amp;col=7&amp;number=0.000909&amp;sourceID=14","0.000909")</f>
        <v>0.000909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HYPERLINK("http://141.218.60.56/~jnz1568/getInfo.php?workbook=18_08.xlsx&amp;sheet=U0&amp;row=1273&amp;col=6&amp;number=3.9&amp;sourceID=14","3.9")</f>
        <v>3.9</v>
      </c>
      <c r="G1273" s="4" t="str">
        <f>HYPERLINK("http://141.218.60.56/~jnz1568/getInfo.php?workbook=18_08.xlsx&amp;sheet=U0&amp;row=1273&amp;col=7&amp;number=0.000908&amp;sourceID=14","0.000908")</f>
        <v>0.000908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HYPERLINK("http://141.218.60.56/~jnz1568/getInfo.php?workbook=18_08.xlsx&amp;sheet=U0&amp;row=1274&amp;col=6&amp;number=4&amp;sourceID=14","4")</f>
        <v>4</v>
      </c>
      <c r="G1274" s="4" t="str">
        <f>HYPERLINK("http://141.218.60.56/~jnz1568/getInfo.php?workbook=18_08.xlsx&amp;sheet=U0&amp;row=1274&amp;col=7&amp;number=0.000908&amp;sourceID=14","0.000908")</f>
        <v>0.000908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HYPERLINK("http://141.218.60.56/~jnz1568/getInfo.php?workbook=18_08.xlsx&amp;sheet=U0&amp;row=1275&amp;col=6&amp;number=4.1&amp;sourceID=14","4.1")</f>
        <v>4.1</v>
      </c>
      <c r="G1275" s="4" t="str">
        <f>HYPERLINK("http://141.218.60.56/~jnz1568/getInfo.php?workbook=18_08.xlsx&amp;sheet=U0&amp;row=1275&amp;col=7&amp;number=0.000907&amp;sourceID=14","0.000907")</f>
        <v>0.000907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HYPERLINK("http://141.218.60.56/~jnz1568/getInfo.php?workbook=18_08.xlsx&amp;sheet=U0&amp;row=1276&amp;col=6&amp;number=4.2&amp;sourceID=14","4.2")</f>
        <v>4.2</v>
      </c>
      <c r="G1276" s="4" t="str">
        <f>HYPERLINK("http://141.218.60.56/~jnz1568/getInfo.php?workbook=18_08.xlsx&amp;sheet=U0&amp;row=1276&amp;col=7&amp;number=0.000907&amp;sourceID=14","0.000907")</f>
        <v>0.000907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HYPERLINK("http://141.218.60.56/~jnz1568/getInfo.php?workbook=18_08.xlsx&amp;sheet=U0&amp;row=1277&amp;col=6&amp;number=4.3&amp;sourceID=14","4.3")</f>
        <v>4.3</v>
      </c>
      <c r="G1277" s="4" t="str">
        <f>HYPERLINK("http://141.218.60.56/~jnz1568/getInfo.php?workbook=18_08.xlsx&amp;sheet=U0&amp;row=1277&amp;col=7&amp;number=0.000906&amp;sourceID=14","0.000906")</f>
        <v>0.000906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HYPERLINK("http://141.218.60.56/~jnz1568/getInfo.php?workbook=18_08.xlsx&amp;sheet=U0&amp;row=1278&amp;col=6&amp;number=4.4&amp;sourceID=14","4.4")</f>
        <v>4.4</v>
      </c>
      <c r="G1278" s="4" t="str">
        <f>HYPERLINK("http://141.218.60.56/~jnz1568/getInfo.php?workbook=18_08.xlsx&amp;sheet=U0&amp;row=1278&amp;col=7&amp;number=0.000905&amp;sourceID=14","0.000905")</f>
        <v>0.000905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HYPERLINK("http://141.218.60.56/~jnz1568/getInfo.php?workbook=18_08.xlsx&amp;sheet=U0&amp;row=1279&amp;col=6&amp;number=4.5&amp;sourceID=14","4.5")</f>
        <v>4.5</v>
      </c>
      <c r="G1279" s="4" t="str">
        <f>HYPERLINK("http://141.218.60.56/~jnz1568/getInfo.php?workbook=18_08.xlsx&amp;sheet=U0&amp;row=1279&amp;col=7&amp;number=0.000903&amp;sourceID=14","0.000903")</f>
        <v>0.000903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HYPERLINK("http://141.218.60.56/~jnz1568/getInfo.php?workbook=18_08.xlsx&amp;sheet=U0&amp;row=1280&amp;col=6&amp;number=4.6&amp;sourceID=14","4.6")</f>
        <v>4.6</v>
      </c>
      <c r="G1280" s="4" t="str">
        <f>HYPERLINK("http://141.218.60.56/~jnz1568/getInfo.php?workbook=18_08.xlsx&amp;sheet=U0&amp;row=1280&amp;col=7&amp;number=0.000902&amp;sourceID=14","0.000902")</f>
        <v>0.000902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HYPERLINK("http://141.218.60.56/~jnz1568/getInfo.php?workbook=18_08.xlsx&amp;sheet=U0&amp;row=1281&amp;col=6&amp;number=4.7&amp;sourceID=14","4.7")</f>
        <v>4.7</v>
      </c>
      <c r="G1281" s="4" t="str">
        <f>HYPERLINK("http://141.218.60.56/~jnz1568/getInfo.php?workbook=18_08.xlsx&amp;sheet=U0&amp;row=1281&amp;col=7&amp;number=0.0009&amp;sourceID=14","0.0009")</f>
        <v>0.0009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HYPERLINK("http://141.218.60.56/~jnz1568/getInfo.php?workbook=18_08.xlsx&amp;sheet=U0&amp;row=1282&amp;col=6&amp;number=4.8&amp;sourceID=14","4.8")</f>
        <v>4.8</v>
      </c>
      <c r="G1282" s="4" t="str">
        <f>HYPERLINK("http://141.218.60.56/~jnz1568/getInfo.php?workbook=18_08.xlsx&amp;sheet=U0&amp;row=1282&amp;col=7&amp;number=0.000897&amp;sourceID=14","0.000897")</f>
        <v>0.000897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HYPERLINK("http://141.218.60.56/~jnz1568/getInfo.php?workbook=18_08.xlsx&amp;sheet=U0&amp;row=1283&amp;col=6&amp;number=4.9&amp;sourceID=14","4.9")</f>
        <v>4.9</v>
      </c>
      <c r="G1283" s="4" t="str">
        <f>HYPERLINK("http://141.218.60.56/~jnz1568/getInfo.php?workbook=18_08.xlsx&amp;sheet=U0&amp;row=1283&amp;col=7&amp;number=0.000894&amp;sourceID=14","0.000894")</f>
        <v>0.000894</v>
      </c>
    </row>
    <row r="1284" spans="1:7">
      <c r="A1284" s="3">
        <v>18</v>
      </c>
      <c r="B1284" s="3">
        <v>8</v>
      </c>
      <c r="C1284" s="3" t="s">
        <v>51</v>
      </c>
      <c r="D1284" s="3">
        <v>6</v>
      </c>
      <c r="E1284" s="3">
        <v>1</v>
      </c>
      <c r="F1284" s="4" t="str">
        <f>HYPERLINK("http://141.218.60.56/~jnz1568/getInfo.php?workbook=18_08.xlsx&amp;sheet=U0&amp;row=1284&amp;col=6&amp;number=3&amp;sourceID=14","3")</f>
        <v>3</v>
      </c>
      <c r="G1284" s="4" t="str">
        <f>HYPERLINK("http://141.218.60.56/~jnz1568/getInfo.php?workbook=18_08.xlsx&amp;sheet=U0&amp;row=1284&amp;col=7&amp;number=0.0153&amp;sourceID=14","0.0153")</f>
        <v>0.0153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HYPERLINK("http://141.218.60.56/~jnz1568/getInfo.php?workbook=18_08.xlsx&amp;sheet=U0&amp;row=1285&amp;col=6&amp;number=3.1&amp;sourceID=14","3.1")</f>
        <v>3.1</v>
      </c>
      <c r="G1285" s="4" t="str">
        <f>HYPERLINK("http://141.218.60.56/~jnz1568/getInfo.php?workbook=18_08.xlsx&amp;sheet=U0&amp;row=1285&amp;col=7&amp;number=0.0153&amp;sourceID=14","0.0153")</f>
        <v>0.0153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HYPERLINK("http://141.218.60.56/~jnz1568/getInfo.php?workbook=18_08.xlsx&amp;sheet=U0&amp;row=1286&amp;col=6&amp;number=3.2&amp;sourceID=14","3.2")</f>
        <v>3.2</v>
      </c>
      <c r="G1286" s="4" t="str">
        <f>HYPERLINK("http://141.218.60.56/~jnz1568/getInfo.php?workbook=18_08.xlsx&amp;sheet=U0&amp;row=1286&amp;col=7&amp;number=0.0153&amp;sourceID=14","0.0153")</f>
        <v>0.0153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HYPERLINK("http://141.218.60.56/~jnz1568/getInfo.php?workbook=18_08.xlsx&amp;sheet=U0&amp;row=1287&amp;col=6&amp;number=3.3&amp;sourceID=14","3.3")</f>
        <v>3.3</v>
      </c>
      <c r="G1287" s="4" t="str">
        <f>HYPERLINK("http://141.218.60.56/~jnz1568/getInfo.php?workbook=18_08.xlsx&amp;sheet=U0&amp;row=1287&amp;col=7&amp;number=0.0153&amp;sourceID=14","0.0153")</f>
        <v>0.0153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HYPERLINK("http://141.218.60.56/~jnz1568/getInfo.php?workbook=18_08.xlsx&amp;sheet=U0&amp;row=1288&amp;col=6&amp;number=3.4&amp;sourceID=14","3.4")</f>
        <v>3.4</v>
      </c>
      <c r="G1288" s="4" t="str">
        <f>HYPERLINK("http://141.218.60.56/~jnz1568/getInfo.php?workbook=18_08.xlsx&amp;sheet=U0&amp;row=1288&amp;col=7&amp;number=0.0153&amp;sourceID=14","0.0153")</f>
        <v>0.0153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HYPERLINK("http://141.218.60.56/~jnz1568/getInfo.php?workbook=18_08.xlsx&amp;sheet=U0&amp;row=1289&amp;col=6&amp;number=3.5&amp;sourceID=14","3.5")</f>
        <v>3.5</v>
      </c>
      <c r="G1289" s="4" t="str">
        <f>HYPERLINK("http://141.218.60.56/~jnz1568/getInfo.php?workbook=18_08.xlsx&amp;sheet=U0&amp;row=1289&amp;col=7&amp;number=0.0153&amp;sourceID=14","0.0153")</f>
        <v>0.0153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HYPERLINK("http://141.218.60.56/~jnz1568/getInfo.php?workbook=18_08.xlsx&amp;sheet=U0&amp;row=1290&amp;col=6&amp;number=3.6&amp;sourceID=14","3.6")</f>
        <v>3.6</v>
      </c>
      <c r="G1290" s="4" t="str">
        <f>HYPERLINK("http://141.218.60.56/~jnz1568/getInfo.php?workbook=18_08.xlsx&amp;sheet=U0&amp;row=1290&amp;col=7&amp;number=0.0153&amp;sourceID=14","0.0153")</f>
        <v>0.0153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HYPERLINK("http://141.218.60.56/~jnz1568/getInfo.php?workbook=18_08.xlsx&amp;sheet=U0&amp;row=1291&amp;col=6&amp;number=3.7&amp;sourceID=14","3.7")</f>
        <v>3.7</v>
      </c>
      <c r="G1291" s="4" t="str">
        <f>HYPERLINK("http://141.218.60.56/~jnz1568/getInfo.php?workbook=18_08.xlsx&amp;sheet=U0&amp;row=1291&amp;col=7&amp;number=0.0153&amp;sourceID=14","0.0153")</f>
        <v>0.0153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HYPERLINK("http://141.218.60.56/~jnz1568/getInfo.php?workbook=18_08.xlsx&amp;sheet=U0&amp;row=1292&amp;col=6&amp;number=3.8&amp;sourceID=14","3.8")</f>
        <v>3.8</v>
      </c>
      <c r="G1292" s="4" t="str">
        <f>HYPERLINK("http://141.218.60.56/~jnz1568/getInfo.php?workbook=18_08.xlsx&amp;sheet=U0&amp;row=1292&amp;col=7&amp;number=0.0153&amp;sourceID=14","0.0153")</f>
        <v>0.0153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HYPERLINK("http://141.218.60.56/~jnz1568/getInfo.php?workbook=18_08.xlsx&amp;sheet=U0&amp;row=1293&amp;col=6&amp;number=3.9&amp;sourceID=14","3.9")</f>
        <v>3.9</v>
      </c>
      <c r="G1293" s="4" t="str">
        <f>HYPERLINK("http://141.218.60.56/~jnz1568/getInfo.php?workbook=18_08.xlsx&amp;sheet=U0&amp;row=1293&amp;col=7&amp;number=0.0153&amp;sourceID=14","0.0153")</f>
        <v>0.0153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HYPERLINK("http://141.218.60.56/~jnz1568/getInfo.php?workbook=18_08.xlsx&amp;sheet=U0&amp;row=1294&amp;col=6&amp;number=4&amp;sourceID=14","4")</f>
        <v>4</v>
      </c>
      <c r="G1294" s="4" t="str">
        <f>HYPERLINK("http://141.218.60.56/~jnz1568/getInfo.php?workbook=18_08.xlsx&amp;sheet=U0&amp;row=1294&amp;col=7&amp;number=0.0154&amp;sourceID=14","0.0154")</f>
        <v>0.0154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HYPERLINK("http://141.218.60.56/~jnz1568/getInfo.php?workbook=18_08.xlsx&amp;sheet=U0&amp;row=1295&amp;col=6&amp;number=4.1&amp;sourceID=14","4.1")</f>
        <v>4.1</v>
      </c>
      <c r="G1295" s="4" t="str">
        <f>HYPERLINK("http://141.218.60.56/~jnz1568/getInfo.php?workbook=18_08.xlsx&amp;sheet=U0&amp;row=1295&amp;col=7&amp;number=0.0154&amp;sourceID=14","0.0154")</f>
        <v>0.0154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HYPERLINK("http://141.218.60.56/~jnz1568/getInfo.php?workbook=18_08.xlsx&amp;sheet=U0&amp;row=1296&amp;col=6&amp;number=4.2&amp;sourceID=14","4.2")</f>
        <v>4.2</v>
      </c>
      <c r="G1296" s="4" t="str">
        <f>HYPERLINK("http://141.218.60.56/~jnz1568/getInfo.php?workbook=18_08.xlsx&amp;sheet=U0&amp;row=1296&amp;col=7&amp;number=0.0154&amp;sourceID=14","0.0154")</f>
        <v>0.0154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HYPERLINK("http://141.218.60.56/~jnz1568/getInfo.php?workbook=18_08.xlsx&amp;sheet=U0&amp;row=1297&amp;col=6&amp;number=4.3&amp;sourceID=14","4.3")</f>
        <v>4.3</v>
      </c>
      <c r="G1297" s="4" t="str">
        <f>HYPERLINK("http://141.218.60.56/~jnz1568/getInfo.php?workbook=18_08.xlsx&amp;sheet=U0&amp;row=1297&amp;col=7&amp;number=0.0154&amp;sourceID=14","0.0154")</f>
        <v>0.0154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HYPERLINK("http://141.218.60.56/~jnz1568/getInfo.php?workbook=18_08.xlsx&amp;sheet=U0&amp;row=1298&amp;col=6&amp;number=4.4&amp;sourceID=14","4.4")</f>
        <v>4.4</v>
      </c>
      <c r="G1298" s="4" t="str">
        <f>HYPERLINK("http://141.218.60.56/~jnz1568/getInfo.php?workbook=18_08.xlsx&amp;sheet=U0&amp;row=1298&amp;col=7&amp;number=0.0154&amp;sourceID=14","0.0154")</f>
        <v>0.0154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HYPERLINK("http://141.218.60.56/~jnz1568/getInfo.php?workbook=18_08.xlsx&amp;sheet=U0&amp;row=1299&amp;col=6&amp;number=4.5&amp;sourceID=14","4.5")</f>
        <v>4.5</v>
      </c>
      <c r="G1299" s="4" t="str">
        <f>HYPERLINK("http://141.218.60.56/~jnz1568/getInfo.php?workbook=18_08.xlsx&amp;sheet=U0&amp;row=1299&amp;col=7&amp;number=0.0154&amp;sourceID=14","0.0154")</f>
        <v>0.0154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HYPERLINK("http://141.218.60.56/~jnz1568/getInfo.php?workbook=18_08.xlsx&amp;sheet=U0&amp;row=1300&amp;col=6&amp;number=4.6&amp;sourceID=14","4.6")</f>
        <v>4.6</v>
      </c>
      <c r="G1300" s="4" t="str">
        <f>HYPERLINK("http://141.218.60.56/~jnz1568/getInfo.php?workbook=18_08.xlsx&amp;sheet=U0&amp;row=1300&amp;col=7&amp;number=0.0154&amp;sourceID=14","0.0154")</f>
        <v>0.0154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HYPERLINK("http://141.218.60.56/~jnz1568/getInfo.php?workbook=18_08.xlsx&amp;sheet=U0&amp;row=1301&amp;col=6&amp;number=4.7&amp;sourceID=14","4.7")</f>
        <v>4.7</v>
      </c>
      <c r="G1301" s="4" t="str">
        <f>HYPERLINK("http://141.218.60.56/~jnz1568/getInfo.php?workbook=18_08.xlsx&amp;sheet=U0&amp;row=1301&amp;col=7&amp;number=0.0154&amp;sourceID=14","0.0154")</f>
        <v>0.0154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HYPERLINK("http://141.218.60.56/~jnz1568/getInfo.php?workbook=18_08.xlsx&amp;sheet=U0&amp;row=1302&amp;col=6&amp;number=4.8&amp;sourceID=14","4.8")</f>
        <v>4.8</v>
      </c>
      <c r="G1302" s="4" t="str">
        <f>HYPERLINK("http://141.218.60.56/~jnz1568/getInfo.php?workbook=18_08.xlsx&amp;sheet=U0&amp;row=1302&amp;col=7&amp;number=0.0154&amp;sourceID=14","0.0154")</f>
        <v>0.0154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HYPERLINK("http://141.218.60.56/~jnz1568/getInfo.php?workbook=18_08.xlsx&amp;sheet=U0&amp;row=1303&amp;col=6&amp;number=4.9&amp;sourceID=14","4.9")</f>
        <v>4.9</v>
      </c>
      <c r="G1303" s="4" t="str">
        <f>HYPERLINK("http://141.218.60.56/~jnz1568/getInfo.php?workbook=18_08.xlsx&amp;sheet=U0&amp;row=1303&amp;col=7&amp;number=0.0154&amp;sourceID=14","0.0154")</f>
        <v>0.0154</v>
      </c>
    </row>
    <row r="1304" spans="1:7">
      <c r="A1304" s="3">
        <v>18</v>
      </c>
      <c r="B1304" s="3">
        <v>8</v>
      </c>
      <c r="C1304" s="3" t="s">
        <v>51</v>
      </c>
      <c r="D1304" s="3">
        <v>7</v>
      </c>
      <c r="E1304" s="3">
        <v>1</v>
      </c>
      <c r="F1304" s="4" t="str">
        <f>HYPERLINK("http://141.218.60.56/~jnz1568/getInfo.php?workbook=18_08.xlsx&amp;sheet=U0&amp;row=1304&amp;col=6&amp;number=3&amp;sourceID=14","3")</f>
        <v>3</v>
      </c>
      <c r="G1304" s="4" t="str">
        <f>HYPERLINK("http://141.218.60.56/~jnz1568/getInfo.php?workbook=18_08.xlsx&amp;sheet=U0&amp;row=1304&amp;col=7&amp;number=0.0122&amp;sourceID=14","0.0122")</f>
        <v>0.0122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HYPERLINK("http://141.218.60.56/~jnz1568/getInfo.php?workbook=18_08.xlsx&amp;sheet=U0&amp;row=1305&amp;col=6&amp;number=3.1&amp;sourceID=14","3.1")</f>
        <v>3.1</v>
      </c>
      <c r="G1305" s="4" t="str">
        <f>HYPERLINK("http://141.218.60.56/~jnz1568/getInfo.php?workbook=18_08.xlsx&amp;sheet=U0&amp;row=1305&amp;col=7&amp;number=0.0122&amp;sourceID=14","0.0122")</f>
        <v>0.0122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HYPERLINK("http://141.218.60.56/~jnz1568/getInfo.php?workbook=18_08.xlsx&amp;sheet=U0&amp;row=1306&amp;col=6&amp;number=3.2&amp;sourceID=14","3.2")</f>
        <v>3.2</v>
      </c>
      <c r="G1306" s="4" t="str">
        <f>HYPERLINK("http://141.218.60.56/~jnz1568/getInfo.php?workbook=18_08.xlsx&amp;sheet=U0&amp;row=1306&amp;col=7&amp;number=0.0122&amp;sourceID=14","0.0122")</f>
        <v>0.0122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HYPERLINK("http://141.218.60.56/~jnz1568/getInfo.php?workbook=18_08.xlsx&amp;sheet=U0&amp;row=1307&amp;col=6&amp;number=3.3&amp;sourceID=14","3.3")</f>
        <v>3.3</v>
      </c>
      <c r="G1307" s="4" t="str">
        <f>HYPERLINK("http://141.218.60.56/~jnz1568/getInfo.php?workbook=18_08.xlsx&amp;sheet=U0&amp;row=1307&amp;col=7&amp;number=0.0122&amp;sourceID=14","0.0122")</f>
        <v>0.0122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HYPERLINK("http://141.218.60.56/~jnz1568/getInfo.php?workbook=18_08.xlsx&amp;sheet=U0&amp;row=1308&amp;col=6&amp;number=3.4&amp;sourceID=14","3.4")</f>
        <v>3.4</v>
      </c>
      <c r="G1308" s="4" t="str">
        <f>HYPERLINK("http://141.218.60.56/~jnz1568/getInfo.php?workbook=18_08.xlsx&amp;sheet=U0&amp;row=1308&amp;col=7&amp;number=0.0122&amp;sourceID=14","0.0122")</f>
        <v>0.0122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HYPERLINK("http://141.218.60.56/~jnz1568/getInfo.php?workbook=18_08.xlsx&amp;sheet=U0&amp;row=1309&amp;col=6&amp;number=3.5&amp;sourceID=14","3.5")</f>
        <v>3.5</v>
      </c>
      <c r="G1309" s="4" t="str">
        <f>HYPERLINK("http://141.218.60.56/~jnz1568/getInfo.php?workbook=18_08.xlsx&amp;sheet=U0&amp;row=1309&amp;col=7&amp;number=0.0122&amp;sourceID=14","0.0122")</f>
        <v>0.0122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HYPERLINK("http://141.218.60.56/~jnz1568/getInfo.php?workbook=18_08.xlsx&amp;sheet=U0&amp;row=1310&amp;col=6&amp;number=3.6&amp;sourceID=14","3.6")</f>
        <v>3.6</v>
      </c>
      <c r="G1310" s="4" t="str">
        <f>HYPERLINK("http://141.218.60.56/~jnz1568/getInfo.php?workbook=18_08.xlsx&amp;sheet=U0&amp;row=1310&amp;col=7&amp;number=0.0122&amp;sourceID=14","0.0122")</f>
        <v>0.0122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HYPERLINK("http://141.218.60.56/~jnz1568/getInfo.php?workbook=18_08.xlsx&amp;sheet=U0&amp;row=1311&amp;col=6&amp;number=3.7&amp;sourceID=14","3.7")</f>
        <v>3.7</v>
      </c>
      <c r="G1311" s="4" t="str">
        <f>HYPERLINK("http://141.218.60.56/~jnz1568/getInfo.php?workbook=18_08.xlsx&amp;sheet=U0&amp;row=1311&amp;col=7&amp;number=0.0122&amp;sourceID=14","0.0122")</f>
        <v>0.0122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HYPERLINK("http://141.218.60.56/~jnz1568/getInfo.php?workbook=18_08.xlsx&amp;sheet=U0&amp;row=1312&amp;col=6&amp;number=3.8&amp;sourceID=14","3.8")</f>
        <v>3.8</v>
      </c>
      <c r="G1312" s="4" t="str">
        <f>HYPERLINK("http://141.218.60.56/~jnz1568/getInfo.php?workbook=18_08.xlsx&amp;sheet=U0&amp;row=1312&amp;col=7&amp;number=0.0122&amp;sourceID=14","0.0122")</f>
        <v>0.0122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HYPERLINK("http://141.218.60.56/~jnz1568/getInfo.php?workbook=18_08.xlsx&amp;sheet=U0&amp;row=1313&amp;col=6&amp;number=3.9&amp;sourceID=14","3.9")</f>
        <v>3.9</v>
      </c>
      <c r="G1313" s="4" t="str">
        <f>HYPERLINK("http://141.218.60.56/~jnz1568/getInfo.php?workbook=18_08.xlsx&amp;sheet=U0&amp;row=1313&amp;col=7&amp;number=0.0122&amp;sourceID=14","0.0122")</f>
        <v>0.0122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HYPERLINK("http://141.218.60.56/~jnz1568/getInfo.php?workbook=18_08.xlsx&amp;sheet=U0&amp;row=1314&amp;col=6&amp;number=4&amp;sourceID=14","4")</f>
        <v>4</v>
      </c>
      <c r="G1314" s="4" t="str">
        <f>HYPERLINK("http://141.218.60.56/~jnz1568/getInfo.php?workbook=18_08.xlsx&amp;sheet=U0&amp;row=1314&amp;col=7&amp;number=0.0122&amp;sourceID=14","0.0122")</f>
        <v>0.0122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HYPERLINK("http://141.218.60.56/~jnz1568/getInfo.php?workbook=18_08.xlsx&amp;sheet=U0&amp;row=1315&amp;col=6&amp;number=4.1&amp;sourceID=14","4.1")</f>
        <v>4.1</v>
      </c>
      <c r="G1315" s="4" t="str">
        <f>HYPERLINK("http://141.218.60.56/~jnz1568/getInfo.php?workbook=18_08.xlsx&amp;sheet=U0&amp;row=1315&amp;col=7&amp;number=0.0122&amp;sourceID=14","0.0122")</f>
        <v>0.0122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HYPERLINK("http://141.218.60.56/~jnz1568/getInfo.php?workbook=18_08.xlsx&amp;sheet=U0&amp;row=1316&amp;col=6&amp;number=4.2&amp;sourceID=14","4.2")</f>
        <v>4.2</v>
      </c>
      <c r="G1316" s="4" t="str">
        <f>HYPERLINK("http://141.218.60.56/~jnz1568/getInfo.php?workbook=18_08.xlsx&amp;sheet=U0&amp;row=1316&amp;col=7&amp;number=0.0122&amp;sourceID=14","0.0122")</f>
        <v>0.0122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HYPERLINK("http://141.218.60.56/~jnz1568/getInfo.php?workbook=18_08.xlsx&amp;sheet=U0&amp;row=1317&amp;col=6&amp;number=4.3&amp;sourceID=14","4.3")</f>
        <v>4.3</v>
      </c>
      <c r="G1317" s="4" t="str">
        <f>HYPERLINK("http://141.218.60.56/~jnz1568/getInfo.php?workbook=18_08.xlsx&amp;sheet=U0&amp;row=1317&amp;col=7&amp;number=0.0122&amp;sourceID=14","0.0122")</f>
        <v>0.0122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HYPERLINK("http://141.218.60.56/~jnz1568/getInfo.php?workbook=18_08.xlsx&amp;sheet=U0&amp;row=1318&amp;col=6&amp;number=4.4&amp;sourceID=14","4.4")</f>
        <v>4.4</v>
      </c>
      <c r="G1318" s="4" t="str">
        <f>HYPERLINK("http://141.218.60.56/~jnz1568/getInfo.php?workbook=18_08.xlsx&amp;sheet=U0&amp;row=1318&amp;col=7&amp;number=0.0122&amp;sourceID=14","0.0122")</f>
        <v>0.0122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HYPERLINK("http://141.218.60.56/~jnz1568/getInfo.php?workbook=18_08.xlsx&amp;sheet=U0&amp;row=1319&amp;col=6&amp;number=4.5&amp;sourceID=14","4.5")</f>
        <v>4.5</v>
      </c>
      <c r="G1319" s="4" t="str">
        <f>HYPERLINK("http://141.218.60.56/~jnz1568/getInfo.php?workbook=18_08.xlsx&amp;sheet=U0&amp;row=1319&amp;col=7&amp;number=0.0122&amp;sourceID=14","0.0122")</f>
        <v>0.0122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HYPERLINK("http://141.218.60.56/~jnz1568/getInfo.php?workbook=18_08.xlsx&amp;sheet=U0&amp;row=1320&amp;col=6&amp;number=4.6&amp;sourceID=14","4.6")</f>
        <v>4.6</v>
      </c>
      <c r="G1320" s="4" t="str">
        <f>HYPERLINK("http://141.218.60.56/~jnz1568/getInfo.php?workbook=18_08.xlsx&amp;sheet=U0&amp;row=1320&amp;col=7&amp;number=0.0122&amp;sourceID=14","0.0122")</f>
        <v>0.0122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HYPERLINK("http://141.218.60.56/~jnz1568/getInfo.php?workbook=18_08.xlsx&amp;sheet=U0&amp;row=1321&amp;col=6&amp;number=4.7&amp;sourceID=14","4.7")</f>
        <v>4.7</v>
      </c>
      <c r="G1321" s="4" t="str">
        <f>HYPERLINK("http://141.218.60.56/~jnz1568/getInfo.php?workbook=18_08.xlsx&amp;sheet=U0&amp;row=1321&amp;col=7&amp;number=0.0122&amp;sourceID=14","0.0122")</f>
        <v>0.0122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HYPERLINK("http://141.218.60.56/~jnz1568/getInfo.php?workbook=18_08.xlsx&amp;sheet=U0&amp;row=1322&amp;col=6&amp;number=4.8&amp;sourceID=14","4.8")</f>
        <v>4.8</v>
      </c>
      <c r="G1322" s="4" t="str">
        <f>HYPERLINK("http://141.218.60.56/~jnz1568/getInfo.php?workbook=18_08.xlsx&amp;sheet=U0&amp;row=1322&amp;col=7&amp;number=0.0122&amp;sourceID=14","0.0122")</f>
        <v>0.0122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HYPERLINK("http://141.218.60.56/~jnz1568/getInfo.php?workbook=18_08.xlsx&amp;sheet=U0&amp;row=1323&amp;col=6&amp;number=4.9&amp;sourceID=14","4.9")</f>
        <v>4.9</v>
      </c>
      <c r="G1323" s="4" t="str">
        <f>HYPERLINK("http://141.218.60.56/~jnz1568/getInfo.php?workbook=18_08.xlsx&amp;sheet=U0&amp;row=1323&amp;col=7&amp;number=0.0122&amp;sourceID=14","0.0122")</f>
        <v>0.0122</v>
      </c>
    </row>
    <row r="1324" spans="1:7">
      <c r="A1324" s="3">
        <v>18</v>
      </c>
      <c r="B1324" s="3">
        <v>8</v>
      </c>
      <c r="C1324" s="3" t="s">
        <v>51</v>
      </c>
      <c r="D1324" s="3">
        <v>8</v>
      </c>
      <c r="E1324" s="3">
        <v>1</v>
      </c>
      <c r="F1324" s="4" t="str">
        <f>HYPERLINK("http://141.218.60.56/~jnz1568/getInfo.php?workbook=18_08.xlsx&amp;sheet=U0&amp;row=1324&amp;col=6&amp;number=3&amp;sourceID=14","3")</f>
        <v>3</v>
      </c>
      <c r="G1324" s="4" t="str">
        <f>HYPERLINK("http://141.218.60.56/~jnz1568/getInfo.php?workbook=18_08.xlsx&amp;sheet=U0&amp;row=1324&amp;col=7&amp;number=0.175&amp;sourceID=14","0.175")</f>
        <v>0.175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HYPERLINK("http://141.218.60.56/~jnz1568/getInfo.php?workbook=18_08.xlsx&amp;sheet=U0&amp;row=1325&amp;col=6&amp;number=3.1&amp;sourceID=14","3.1")</f>
        <v>3.1</v>
      </c>
      <c r="G1325" s="4" t="str">
        <f>HYPERLINK("http://141.218.60.56/~jnz1568/getInfo.php?workbook=18_08.xlsx&amp;sheet=U0&amp;row=1325&amp;col=7&amp;number=0.175&amp;sourceID=14","0.175")</f>
        <v>0.175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HYPERLINK("http://141.218.60.56/~jnz1568/getInfo.php?workbook=18_08.xlsx&amp;sheet=U0&amp;row=1326&amp;col=6&amp;number=3.2&amp;sourceID=14","3.2")</f>
        <v>3.2</v>
      </c>
      <c r="G1326" s="4" t="str">
        <f>HYPERLINK("http://141.218.60.56/~jnz1568/getInfo.php?workbook=18_08.xlsx&amp;sheet=U0&amp;row=1326&amp;col=7&amp;number=0.175&amp;sourceID=14","0.175")</f>
        <v>0.175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HYPERLINK("http://141.218.60.56/~jnz1568/getInfo.php?workbook=18_08.xlsx&amp;sheet=U0&amp;row=1327&amp;col=6&amp;number=3.3&amp;sourceID=14","3.3")</f>
        <v>3.3</v>
      </c>
      <c r="G1327" s="4" t="str">
        <f>HYPERLINK("http://141.218.60.56/~jnz1568/getInfo.php?workbook=18_08.xlsx&amp;sheet=U0&amp;row=1327&amp;col=7&amp;number=0.175&amp;sourceID=14","0.175")</f>
        <v>0.175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HYPERLINK("http://141.218.60.56/~jnz1568/getInfo.php?workbook=18_08.xlsx&amp;sheet=U0&amp;row=1328&amp;col=6&amp;number=3.4&amp;sourceID=14","3.4")</f>
        <v>3.4</v>
      </c>
      <c r="G1328" s="4" t="str">
        <f>HYPERLINK("http://141.218.60.56/~jnz1568/getInfo.php?workbook=18_08.xlsx&amp;sheet=U0&amp;row=1328&amp;col=7&amp;number=0.175&amp;sourceID=14","0.175")</f>
        <v>0.175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HYPERLINK("http://141.218.60.56/~jnz1568/getInfo.php?workbook=18_08.xlsx&amp;sheet=U0&amp;row=1329&amp;col=6&amp;number=3.5&amp;sourceID=14","3.5")</f>
        <v>3.5</v>
      </c>
      <c r="G1329" s="4" t="str">
        <f>HYPERLINK("http://141.218.60.56/~jnz1568/getInfo.php?workbook=18_08.xlsx&amp;sheet=U0&amp;row=1329&amp;col=7&amp;number=0.175&amp;sourceID=14","0.175")</f>
        <v>0.175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HYPERLINK("http://141.218.60.56/~jnz1568/getInfo.php?workbook=18_08.xlsx&amp;sheet=U0&amp;row=1330&amp;col=6&amp;number=3.6&amp;sourceID=14","3.6")</f>
        <v>3.6</v>
      </c>
      <c r="G1330" s="4" t="str">
        <f>HYPERLINK("http://141.218.60.56/~jnz1568/getInfo.php?workbook=18_08.xlsx&amp;sheet=U0&amp;row=1330&amp;col=7&amp;number=0.175&amp;sourceID=14","0.175")</f>
        <v>0.175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HYPERLINK("http://141.218.60.56/~jnz1568/getInfo.php?workbook=18_08.xlsx&amp;sheet=U0&amp;row=1331&amp;col=6&amp;number=3.7&amp;sourceID=14","3.7")</f>
        <v>3.7</v>
      </c>
      <c r="G1331" s="4" t="str">
        <f>HYPERLINK("http://141.218.60.56/~jnz1568/getInfo.php?workbook=18_08.xlsx&amp;sheet=U0&amp;row=1331&amp;col=7&amp;number=0.175&amp;sourceID=14","0.175")</f>
        <v>0.175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HYPERLINK("http://141.218.60.56/~jnz1568/getInfo.php?workbook=18_08.xlsx&amp;sheet=U0&amp;row=1332&amp;col=6&amp;number=3.8&amp;sourceID=14","3.8")</f>
        <v>3.8</v>
      </c>
      <c r="G1332" s="4" t="str">
        <f>HYPERLINK("http://141.218.60.56/~jnz1568/getInfo.php?workbook=18_08.xlsx&amp;sheet=U0&amp;row=1332&amp;col=7&amp;number=0.175&amp;sourceID=14","0.175")</f>
        <v>0.175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HYPERLINK("http://141.218.60.56/~jnz1568/getInfo.php?workbook=18_08.xlsx&amp;sheet=U0&amp;row=1333&amp;col=6&amp;number=3.9&amp;sourceID=14","3.9")</f>
        <v>3.9</v>
      </c>
      <c r="G1333" s="4" t="str">
        <f>HYPERLINK("http://141.218.60.56/~jnz1568/getInfo.php?workbook=18_08.xlsx&amp;sheet=U0&amp;row=1333&amp;col=7&amp;number=0.175&amp;sourceID=14","0.175")</f>
        <v>0.175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HYPERLINK("http://141.218.60.56/~jnz1568/getInfo.php?workbook=18_08.xlsx&amp;sheet=U0&amp;row=1334&amp;col=6&amp;number=4&amp;sourceID=14","4")</f>
        <v>4</v>
      </c>
      <c r="G1334" s="4" t="str">
        <f>HYPERLINK("http://141.218.60.56/~jnz1568/getInfo.php?workbook=18_08.xlsx&amp;sheet=U0&amp;row=1334&amp;col=7&amp;number=0.175&amp;sourceID=14","0.175")</f>
        <v>0.175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HYPERLINK("http://141.218.60.56/~jnz1568/getInfo.php?workbook=18_08.xlsx&amp;sheet=U0&amp;row=1335&amp;col=6&amp;number=4.1&amp;sourceID=14","4.1")</f>
        <v>4.1</v>
      </c>
      <c r="G1335" s="4" t="str">
        <f>HYPERLINK("http://141.218.60.56/~jnz1568/getInfo.php?workbook=18_08.xlsx&amp;sheet=U0&amp;row=1335&amp;col=7&amp;number=0.176&amp;sourceID=14","0.176")</f>
        <v>0.176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HYPERLINK("http://141.218.60.56/~jnz1568/getInfo.php?workbook=18_08.xlsx&amp;sheet=U0&amp;row=1336&amp;col=6&amp;number=4.2&amp;sourceID=14","4.2")</f>
        <v>4.2</v>
      </c>
      <c r="G1336" s="4" t="str">
        <f>HYPERLINK("http://141.218.60.56/~jnz1568/getInfo.php?workbook=18_08.xlsx&amp;sheet=U0&amp;row=1336&amp;col=7&amp;number=0.176&amp;sourceID=14","0.176")</f>
        <v>0.176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HYPERLINK("http://141.218.60.56/~jnz1568/getInfo.php?workbook=18_08.xlsx&amp;sheet=U0&amp;row=1337&amp;col=6&amp;number=4.3&amp;sourceID=14","4.3")</f>
        <v>4.3</v>
      </c>
      <c r="G1337" s="4" t="str">
        <f>HYPERLINK("http://141.218.60.56/~jnz1568/getInfo.php?workbook=18_08.xlsx&amp;sheet=U0&amp;row=1337&amp;col=7&amp;number=0.176&amp;sourceID=14","0.176")</f>
        <v>0.176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HYPERLINK("http://141.218.60.56/~jnz1568/getInfo.php?workbook=18_08.xlsx&amp;sheet=U0&amp;row=1338&amp;col=6&amp;number=4.4&amp;sourceID=14","4.4")</f>
        <v>4.4</v>
      </c>
      <c r="G1338" s="4" t="str">
        <f>HYPERLINK("http://141.218.60.56/~jnz1568/getInfo.php?workbook=18_08.xlsx&amp;sheet=U0&amp;row=1338&amp;col=7&amp;number=0.176&amp;sourceID=14","0.176")</f>
        <v>0.176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HYPERLINK("http://141.218.60.56/~jnz1568/getInfo.php?workbook=18_08.xlsx&amp;sheet=U0&amp;row=1339&amp;col=6&amp;number=4.5&amp;sourceID=14","4.5")</f>
        <v>4.5</v>
      </c>
      <c r="G1339" s="4" t="str">
        <f>HYPERLINK("http://141.218.60.56/~jnz1568/getInfo.php?workbook=18_08.xlsx&amp;sheet=U0&amp;row=1339&amp;col=7&amp;number=0.177&amp;sourceID=14","0.177")</f>
        <v>0.177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HYPERLINK("http://141.218.60.56/~jnz1568/getInfo.php?workbook=18_08.xlsx&amp;sheet=U0&amp;row=1340&amp;col=6&amp;number=4.6&amp;sourceID=14","4.6")</f>
        <v>4.6</v>
      </c>
      <c r="G1340" s="4" t="str">
        <f>HYPERLINK("http://141.218.60.56/~jnz1568/getInfo.php?workbook=18_08.xlsx&amp;sheet=U0&amp;row=1340&amp;col=7&amp;number=0.177&amp;sourceID=14","0.177")</f>
        <v>0.177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HYPERLINK("http://141.218.60.56/~jnz1568/getInfo.php?workbook=18_08.xlsx&amp;sheet=U0&amp;row=1341&amp;col=6&amp;number=4.7&amp;sourceID=14","4.7")</f>
        <v>4.7</v>
      </c>
      <c r="G1341" s="4" t="str">
        <f>HYPERLINK("http://141.218.60.56/~jnz1568/getInfo.php?workbook=18_08.xlsx&amp;sheet=U0&amp;row=1341&amp;col=7&amp;number=0.177&amp;sourceID=14","0.177")</f>
        <v>0.177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HYPERLINK("http://141.218.60.56/~jnz1568/getInfo.php?workbook=18_08.xlsx&amp;sheet=U0&amp;row=1342&amp;col=6&amp;number=4.8&amp;sourceID=14","4.8")</f>
        <v>4.8</v>
      </c>
      <c r="G1342" s="4" t="str">
        <f>HYPERLINK("http://141.218.60.56/~jnz1568/getInfo.php?workbook=18_08.xlsx&amp;sheet=U0&amp;row=1342&amp;col=7&amp;number=0.178&amp;sourceID=14","0.178")</f>
        <v>0.178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HYPERLINK("http://141.218.60.56/~jnz1568/getInfo.php?workbook=18_08.xlsx&amp;sheet=U0&amp;row=1343&amp;col=6&amp;number=4.9&amp;sourceID=14","4.9")</f>
        <v>4.9</v>
      </c>
      <c r="G1343" s="4" t="str">
        <f>HYPERLINK("http://141.218.60.56/~jnz1568/getInfo.php?workbook=18_08.xlsx&amp;sheet=U0&amp;row=1343&amp;col=7&amp;number=0.179&amp;sourceID=14","0.179")</f>
        <v>0.179</v>
      </c>
    </row>
    <row r="1344" spans="1:7">
      <c r="A1344" s="3">
        <v>18</v>
      </c>
      <c r="B1344" s="3">
        <v>8</v>
      </c>
      <c r="C1344" s="3" t="s">
        <v>51</v>
      </c>
      <c r="D1344" s="3">
        <v>9</v>
      </c>
      <c r="E1344" s="3">
        <v>1</v>
      </c>
      <c r="F1344" s="4" t="str">
        <f>HYPERLINK("http://141.218.60.56/~jnz1568/getInfo.php?workbook=18_08.xlsx&amp;sheet=U0&amp;row=1344&amp;col=6&amp;number=3&amp;sourceID=14","3")</f>
        <v>3</v>
      </c>
      <c r="G1344" s="4" t="str">
        <f>HYPERLINK("http://141.218.60.56/~jnz1568/getInfo.php?workbook=18_08.xlsx&amp;sheet=U0&amp;row=1344&amp;col=7&amp;number=0.158&amp;sourceID=14","0.158")</f>
        <v>0.158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HYPERLINK("http://141.218.60.56/~jnz1568/getInfo.php?workbook=18_08.xlsx&amp;sheet=U0&amp;row=1345&amp;col=6&amp;number=3.1&amp;sourceID=14","3.1")</f>
        <v>3.1</v>
      </c>
      <c r="G1345" s="4" t="str">
        <f>HYPERLINK("http://141.218.60.56/~jnz1568/getInfo.php?workbook=18_08.xlsx&amp;sheet=U0&amp;row=1345&amp;col=7&amp;number=0.158&amp;sourceID=14","0.158")</f>
        <v>0.158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HYPERLINK("http://141.218.60.56/~jnz1568/getInfo.php?workbook=18_08.xlsx&amp;sheet=U0&amp;row=1346&amp;col=6&amp;number=3.2&amp;sourceID=14","3.2")</f>
        <v>3.2</v>
      </c>
      <c r="G1346" s="4" t="str">
        <f>HYPERLINK("http://141.218.60.56/~jnz1568/getInfo.php?workbook=18_08.xlsx&amp;sheet=U0&amp;row=1346&amp;col=7&amp;number=0.158&amp;sourceID=14","0.158")</f>
        <v>0.158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HYPERLINK("http://141.218.60.56/~jnz1568/getInfo.php?workbook=18_08.xlsx&amp;sheet=U0&amp;row=1347&amp;col=6&amp;number=3.3&amp;sourceID=14","3.3")</f>
        <v>3.3</v>
      </c>
      <c r="G1347" s="4" t="str">
        <f>HYPERLINK("http://141.218.60.56/~jnz1568/getInfo.php?workbook=18_08.xlsx&amp;sheet=U0&amp;row=1347&amp;col=7&amp;number=0.158&amp;sourceID=14","0.158")</f>
        <v>0.158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HYPERLINK("http://141.218.60.56/~jnz1568/getInfo.php?workbook=18_08.xlsx&amp;sheet=U0&amp;row=1348&amp;col=6&amp;number=3.4&amp;sourceID=14","3.4")</f>
        <v>3.4</v>
      </c>
      <c r="G1348" s="4" t="str">
        <f>HYPERLINK("http://141.218.60.56/~jnz1568/getInfo.php?workbook=18_08.xlsx&amp;sheet=U0&amp;row=1348&amp;col=7&amp;number=0.158&amp;sourceID=14","0.158")</f>
        <v>0.158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HYPERLINK("http://141.218.60.56/~jnz1568/getInfo.php?workbook=18_08.xlsx&amp;sheet=U0&amp;row=1349&amp;col=6&amp;number=3.5&amp;sourceID=14","3.5")</f>
        <v>3.5</v>
      </c>
      <c r="G1349" s="4" t="str">
        <f>HYPERLINK("http://141.218.60.56/~jnz1568/getInfo.php?workbook=18_08.xlsx&amp;sheet=U0&amp;row=1349&amp;col=7&amp;number=0.158&amp;sourceID=14","0.158")</f>
        <v>0.158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HYPERLINK("http://141.218.60.56/~jnz1568/getInfo.php?workbook=18_08.xlsx&amp;sheet=U0&amp;row=1350&amp;col=6&amp;number=3.6&amp;sourceID=14","3.6")</f>
        <v>3.6</v>
      </c>
      <c r="G1350" s="4" t="str">
        <f>HYPERLINK("http://141.218.60.56/~jnz1568/getInfo.php?workbook=18_08.xlsx&amp;sheet=U0&amp;row=1350&amp;col=7&amp;number=0.158&amp;sourceID=14","0.158")</f>
        <v>0.158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HYPERLINK("http://141.218.60.56/~jnz1568/getInfo.php?workbook=18_08.xlsx&amp;sheet=U0&amp;row=1351&amp;col=6&amp;number=3.7&amp;sourceID=14","3.7")</f>
        <v>3.7</v>
      </c>
      <c r="G1351" s="4" t="str">
        <f>HYPERLINK("http://141.218.60.56/~jnz1568/getInfo.php?workbook=18_08.xlsx&amp;sheet=U0&amp;row=1351&amp;col=7&amp;number=0.158&amp;sourceID=14","0.158")</f>
        <v>0.158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HYPERLINK("http://141.218.60.56/~jnz1568/getInfo.php?workbook=18_08.xlsx&amp;sheet=U0&amp;row=1352&amp;col=6&amp;number=3.8&amp;sourceID=14","3.8")</f>
        <v>3.8</v>
      </c>
      <c r="G1352" s="4" t="str">
        <f>HYPERLINK("http://141.218.60.56/~jnz1568/getInfo.php?workbook=18_08.xlsx&amp;sheet=U0&amp;row=1352&amp;col=7&amp;number=0.158&amp;sourceID=14","0.158")</f>
        <v>0.158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HYPERLINK("http://141.218.60.56/~jnz1568/getInfo.php?workbook=18_08.xlsx&amp;sheet=U0&amp;row=1353&amp;col=6&amp;number=3.9&amp;sourceID=14","3.9")</f>
        <v>3.9</v>
      </c>
      <c r="G1353" s="4" t="str">
        <f>HYPERLINK("http://141.218.60.56/~jnz1568/getInfo.php?workbook=18_08.xlsx&amp;sheet=U0&amp;row=1353&amp;col=7&amp;number=0.158&amp;sourceID=14","0.158")</f>
        <v>0.158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HYPERLINK("http://141.218.60.56/~jnz1568/getInfo.php?workbook=18_08.xlsx&amp;sheet=U0&amp;row=1354&amp;col=6&amp;number=4&amp;sourceID=14","4")</f>
        <v>4</v>
      </c>
      <c r="G1354" s="4" t="str">
        <f>HYPERLINK("http://141.218.60.56/~jnz1568/getInfo.php?workbook=18_08.xlsx&amp;sheet=U0&amp;row=1354&amp;col=7&amp;number=0.158&amp;sourceID=14","0.158")</f>
        <v>0.158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HYPERLINK("http://141.218.60.56/~jnz1568/getInfo.php?workbook=18_08.xlsx&amp;sheet=U0&amp;row=1355&amp;col=6&amp;number=4.1&amp;sourceID=14","4.1")</f>
        <v>4.1</v>
      </c>
      <c r="G1355" s="4" t="str">
        <f>HYPERLINK("http://141.218.60.56/~jnz1568/getInfo.php?workbook=18_08.xlsx&amp;sheet=U0&amp;row=1355&amp;col=7&amp;number=0.159&amp;sourceID=14","0.159")</f>
        <v>0.159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HYPERLINK("http://141.218.60.56/~jnz1568/getInfo.php?workbook=18_08.xlsx&amp;sheet=U0&amp;row=1356&amp;col=6&amp;number=4.2&amp;sourceID=14","4.2")</f>
        <v>4.2</v>
      </c>
      <c r="G1356" s="4" t="str">
        <f>HYPERLINK("http://141.218.60.56/~jnz1568/getInfo.php?workbook=18_08.xlsx&amp;sheet=U0&amp;row=1356&amp;col=7&amp;number=0.159&amp;sourceID=14","0.159")</f>
        <v>0.159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HYPERLINK("http://141.218.60.56/~jnz1568/getInfo.php?workbook=18_08.xlsx&amp;sheet=U0&amp;row=1357&amp;col=6&amp;number=4.3&amp;sourceID=14","4.3")</f>
        <v>4.3</v>
      </c>
      <c r="G1357" s="4" t="str">
        <f>HYPERLINK("http://141.218.60.56/~jnz1568/getInfo.php?workbook=18_08.xlsx&amp;sheet=U0&amp;row=1357&amp;col=7&amp;number=0.159&amp;sourceID=14","0.159")</f>
        <v>0.159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HYPERLINK("http://141.218.60.56/~jnz1568/getInfo.php?workbook=18_08.xlsx&amp;sheet=U0&amp;row=1358&amp;col=6&amp;number=4.4&amp;sourceID=14","4.4")</f>
        <v>4.4</v>
      </c>
      <c r="G1358" s="4" t="str">
        <f>HYPERLINK("http://141.218.60.56/~jnz1568/getInfo.php?workbook=18_08.xlsx&amp;sheet=U0&amp;row=1358&amp;col=7&amp;number=0.159&amp;sourceID=14","0.159")</f>
        <v>0.159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HYPERLINK("http://141.218.60.56/~jnz1568/getInfo.php?workbook=18_08.xlsx&amp;sheet=U0&amp;row=1359&amp;col=6&amp;number=4.5&amp;sourceID=14","4.5")</f>
        <v>4.5</v>
      </c>
      <c r="G1359" s="4" t="str">
        <f>HYPERLINK("http://141.218.60.56/~jnz1568/getInfo.php?workbook=18_08.xlsx&amp;sheet=U0&amp;row=1359&amp;col=7&amp;number=0.159&amp;sourceID=14","0.159")</f>
        <v>0.159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HYPERLINK("http://141.218.60.56/~jnz1568/getInfo.php?workbook=18_08.xlsx&amp;sheet=U0&amp;row=1360&amp;col=6&amp;number=4.6&amp;sourceID=14","4.6")</f>
        <v>4.6</v>
      </c>
      <c r="G1360" s="4" t="str">
        <f>HYPERLINK("http://141.218.60.56/~jnz1568/getInfo.php?workbook=18_08.xlsx&amp;sheet=U0&amp;row=1360&amp;col=7&amp;number=0.16&amp;sourceID=14","0.16")</f>
        <v>0.16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HYPERLINK("http://141.218.60.56/~jnz1568/getInfo.php?workbook=18_08.xlsx&amp;sheet=U0&amp;row=1361&amp;col=6&amp;number=4.7&amp;sourceID=14","4.7")</f>
        <v>4.7</v>
      </c>
      <c r="G1361" s="4" t="str">
        <f>HYPERLINK("http://141.218.60.56/~jnz1568/getInfo.php?workbook=18_08.xlsx&amp;sheet=U0&amp;row=1361&amp;col=7&amp;number=0.16&amp;sourceID=14","0.16")</f>
        <v>0.16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HYPERLINK("http://141.218.60.56/~jnz1568/getInfo.php?workbook=18_08.xlsx&amp;sheet=U0&amp;row=1362&amp;col=6&amp;number=4.8&amp;sourceID=14","4.8")</f>
        <v>4.8</v>
      </c>
      <c r="G1362" s="4" t="str">
        <f>HYPERLINK("http://141.218.60.56/~jnz1568/getInfo.php?workbook=18_08.xlsx&amp;sheet=U0&amp;row=1362&amp;col=7&amp;number=0.16&amp;sourceID=14","0.16")</f>
        <v>0.16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HYPERLINK("http://141.218.60.56/~jnz1568/getInfo.php?workbook=18_08.xlsx&amp;sheet=U0&amp;row=1363&amp;col=6&amp;number=4.9&amp;sourceID=14","4.9")</f>
        <v>4.9</v>
      </c>
      <c r="G1363" s="4" t="str">
        <f>HYPERLINK("http://141.218.60.56/~jnz1568/getInfo.php?workbook=18_08.xlsx&amp;sheet=U0&amp;row=1363&amp;col=7&amp;number=0.161&amp;sourceID=14","0.161")</f>
        <v>0.161</v>
      </c>
    </row>
    <row r="1364" spans="1:7">
      <c r="A1364" s="3">
        <v>18</v>
      </c>
      <c r="B1364" s="3">
        <v>8</v>
      </c>
      <c r="C1364" s="3" t="s">
        <v>52</v>
      </c>
      <c r="D1364" s="3">
        <v>0</v>
      </c>
      <c r="E1364" s="3">
        <v>1</v>
      </c>
      <c r="F1364" s="4" t="str">
        <f>HYPERLINK("http://141.218.60.56/~jnz1568/getInfo.php?workbook=18_08.xlsx&amp;sheet=U0&amp;row=1364&amp;col=6&amp;number=3&amp;sourceID=14","3")</f>
        <v>3</v>
      </c>
      <c r="G1364" s="4" t="str">
        <f>HYPERLINK("http://141.218.60.56/~jnz1568/getInfo.php?workbook=18_08.xlsx&amp;sheet=U0&amp;row=1364&amp;col=7&amp;number=0.00183&amp;sourceID=14","0.00183")</f>
        <v>0.00183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HYPERLINK("http://141.218.60.56/~jnz1568/getInfo.php?workbook=18_08.xlsx&amp;sheet=U0&amp;row=1365&amp;col=6&amp;number=3.1&amp;sourceID=14","3.1")</f>
        <v>3.1</v>
      </c>
      <c r="G1365" s="4" t="str">
        <f>HYPERLINK("http://141.218.60.56/~jnz1568/getInfo.php?workbook=18_08.xlsx&amp;sheet=U0&amp;row=1365&amp;col=7&amp;number=0.00183&amp;sourceID=14","0.00183")</f>
        <v>0.00183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HYPERLINK("http://141.218.60.56/~jnz1568/getInfo.php?workbook=18_08.xlsx&amp;sheet=U0&amp;row=1366&amp;col=6&amp;number=3.2&amp;sourceID=14","3.2")</f>
        <v>3.2</v>
      </c>
      <c r="G1366" s="4" t="str">
        <f>HYPERLINK("http://141.218.60.56/~jnz1568/getInfo.php?workbook=18_08.xlsx&amp;sheet=U0&amp;row=1366&amp;col=7&amp;number=0.00183&amp;sourceID=14","0.00183")</f>
        <v>0.00183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HYPERLINK("http://141.218.60.56/~jnz1568/getInfo.php?workbook=18_08.xlsx&amp;sheet=U0&amp;row=1367&amp;col=6&amp;number=3.3&amp;sourceID=14","3.3")</f>
        <v>3.3</v>
      </c>
      <c r="G1367" s="4" t="str">
        <f>HYPERLINK("http://141.218.60.56/~jnz1568/getInfo.php?workbook=18_08.xlsx&amp;sheet=U0&amp;row=1367&amp;col=7&amp;number=0.00183&amp;sourceID=14","0.00183")</f>
        <v>0.00183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HYPERLINK("http://141.218.60.56/~jnz1568/getInfo.php?workbook=18_08.xlsx&amp;sheet=U0&amp;row=1368&amp;col=6&amp;number=3.4&amp;sourceID=14","3.4")</f>
        <v>3.4</v>
      </c>
      <c r="G1368" s="4" t="str">
        <f>HYPERLINK("http://141.218.60.56/~jnz1568/getInfo.php?workbook=18_08.xlsx&amp;sheet=U0&amp;row=1368&amp;col=7&amp;number=0.00183&amp;sourceID=14","0.00183")</f>
        <v>0.00183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HYPERLINK("http://141.218.60.56/~jnz1568/getInfo.php?workbook=18_08.xlsx&amp;sheet=U0&amp;row=1369&amp;col=6&amp;number=3.5&amp;sourceID=14","3.5")</f>
        <v>3.5</v>
      </c>
      <c r="G1369" s="4" t="str">
        <f>HYPERLINK("http://141.218.60.56/~jnz1568/getInfo.php?workbook=18_08.xlsx&amp;sheet=U0&amp;row=1369&amp;col=7&amp;number=0.00183&amp;sourceID=14","0.00183")</f>
        <v>0.00183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HYPERLINK("http://141.218.60.56/~jnz1568/getInfo.php?workbook=18_08.xlsx&amp;sheet=U0&amp;row=1370&amp;col=6&amp;number=3.6&amp;sourceID=14","3.6")</f>
        <v>3.6</v>
      </c>
      <c r="G1370" s="4" t="str">
        <f>HYPERLINK("http://141.218.60.56/~jnz1568/getInfo.php?workbook=18_08.xlsx&amp;sheet=U0&amp;row=1370&amp;col=7&amp;number=0.00183&amp;sourceID=14","0.00183")</f>
        <v>0.00183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HYPERLINK("http://141.218.60.56/~jnz1568/getInfo.php?workbook=18_08.xlsx&amp;sheet=U0&amp;row=1371&amp;col=6&amp;number=3.7&amp;sourceID=14","3.7")</f>
        <v>3.7</v>
      </c>
      <c r="G1371" s="4" t="str">
        <f>HYPERLINK("http://141.218.60.56/~jnz1568/getInfo.php?workbook=18_08.xlsx&amp;sheet=U0&amp;row=1371&amp;col=7&amp;number=0.00183&amp;sourceID=14","0.00183")</f>
        <v>0.00183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HYPERLINK("http://141.218.60.56/~jnz1568/getInfo.php?workbook=18_08.xlsx&amp;sheet=U0&amp;row=1372&amp;col=6&amp;number=3.8&amp;sourceID=14","3.8")</f>
        <v>3.8</v>
      </c>
      <c r="G1372" s="4" t="str">
        <f>HYPERLINK("http://141.218.60.56/~jnz1568/getInfo.php?workbook=18_08.xlsx&amp;sheet=U0&amp;row=1372&amp;col=7&amp;number=0.00183&amp;sourceID=14","0.00183")</f>
        <v>0.00183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HYPERLINK("http://141.218.60.56/~jnz1568/getInfo.php?workbook=18_08.xlsx&amp;sheet=U0&amp;row=1373&amp;col=6&amp;number=3.9&amp;sourceID=14","3.9")</f>
        <v>3.9</v>
      </c>
      <c r="G1373" s="4" t="str">
        <f>HYPERLINK("http://141.218.60.56/~jnz1568/getInfo.php?workbook=18_08.xlsx&amp;sheet=U0&amp;row=1373&amp;col=7&amp;number=0.00183&amp;sourceID=14","0.00183")</f>
        <v>0.00183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HYPERLINK("http://141.218.60.56/~jnz1568/getInfo.php?workbook=18_08.xlsx&amp;sheet=U0&amp;row=1374&amp;col=6&amp;number=4&amp;sourceID=14","4")</f>
        <v>4</v>
      </c>
      <c r="G1374" s="4" t="str">
        <f>HYPERLINK("http://141.218.60.56/~jnz1568/getInfo.php?workbook=18_08.xlsx&amp;sheet=U0&amp;row=1374&amp;col=7&amp;number=0.00183&amp;sourceID=14","0.00183")</f>
        <v>0.00183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HYPERLINK("http://141.218.60.56/~jnz1568/getInfo.php?workbook=18_08.xlsx&amp;sheet=U0&amp;row=1375&amp;col=6&amp;number=4.1&amp;sourceID=14","4.1")</f>
        <v>4.1</v>
      </c>
      <c r="G1375" s="4" t="str">
        <f>HYPERLINK("http://141.218.60.56/~jnz1568/getInfo.php?workbook=18_08.xlsx&amp;sheet=U0&amp;row=1375&amp;col=7&amp;number=0.00183&amp;sourceID=14","0.00183")</f>
        <v>0.00183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HYPERLINK("http://141.218.60.56/~jnz1568/getInfo.php?workbook=18_08.xlsx&amp;sheet=U0&amp;row=1376&amp;col=6&amp;number=4.2&amp;sourceID=14","4.2")</f>
        <v>4.2</v>
      </c>
      <c r="G1376" s="4" t="str">
        <f>HYPERLINK("http://141.218.60.56/~jnz1568/getInfo.php?workbook=18_08.xlsx&amp;sheet=U0&amp;row=1376&amp;col=7&amp;number=0.00183&amp;sourceID=14","0.00183")</f>
        <v>0.00183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HYPERLINK("http://141.218.60.56/~jnz1568/getInfo.php?workbook=18_08.xlsx&amp;sheet=U0&amp;row=1377&amp;col=6&amp;number=4.3&amp;sourceID=14","4.3")</f>
        <v>4.3</v>
      </c>
      <c r="G1377" s="4" t="str">
        <f>HYPERLINK("http://141.218.60.56/~jnz1568/getInfo.php?workbook=18_08.xlsx&amp;sheet=U0&amp;row=1377&amp;col=7&amp;number=0.00183&amp;sourceID=14","0.00183")</f>
        <v>0.00183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HYPERLINK("http://141.218.60.56/~jnz1568/getInfo.php?workbook=18_08.xlsx&amp;sheet=U0&amp;row=1378&amp;col=6&amp;number=4.4&amp;sourceID=14","4.4")</f>
        <v>4.4</v>
      </c>
      <c r="G1378" s="4" t="str">
        <f>HYPERLINK("http://141.218.60.56/~jnz1568/getInfo.php?workbook=18_08.xlsx&amp;sheet=U0&amp;row=1378&amp;col=7&amp;number=0.00182&amp;sourceID=14","0.00182")</f>
        <v>0.00182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HYPERLINK("http://141.218.60.56/~jnz1568/getInfo.php?workbook=18_08.xlsx&amp;sheet=U0&amp;row=1379&amp;col=6&amp;number=4.5&amp;sourceID=14","4.5")</f>
        <v>4.5</v>
      </c>
      <c r="G1379" s="4" t="str">
        <f>HYPERLINK("http://141.218.60.56/~jnz1568/getInfo.php?workbook=18_08.xlsx&amp;sheet=U0&amp;row=1379&amp;col=7&amp;number=0.00182&amp;sourceID=14","0.00182")</f>
        <v>0.00182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HYPERLINK("http://141.218.60.56/~jnz1568/getInfo.php?workbook=18_08.xlsx&amp;sheet=U0&amp;row=1380&amp;col=6&amp;number=4.6&amp;sourceID=14","4.6")</f>
        <v>4.6</v>
      </c>
      <c r="G1380" s="4" t="str">
        <f>HYPERLINK("http://141.218.60.56/~jnz1568/getInfo.php?workbook=18_08.xlsx&amp;sheet=U0&amp;row=1380&amp;col=7&amp;number=0.00182&amp;sourceID=14","0.00182")</f>
        <v>0.00182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HYPERLINK("http://141.218.60.56/~jnz1568/getInfo.php?workbook=18_08.xlsx&amp;sheet=U0&amp;row=1381&amp;col=6&amp;number=4.7&amp;sourceID=14","4.7")</f>
        <v>4.7</v>
      </c>
      <c r="G1381" s="4" t="str">
        <f>HYPERLINK("http://141.218.60.56/~jnz1568/getInfo.php?workbook=18_08.xlsx&amp;sheet=U0&amp;row=1381&amp;col=7&amp;number=0.00181&amp;sourceID=14","0.00181")</f>
        <v>0.00181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HYPERLINK("http://141.218.60.56/~jnz1568/getInfo.php?workbook=18_08.xlsx&amp;sheet=U0&amp;row=1382&amp;col=6&amp;number=4.8&amp;sourceID=14","4.8")</f>
        <v>4.8</v>
      </c>
      <c r="G1382" s="4" t="str">
        <f>HYPERLINK("http://141.218.60.56/~jnz1568/getInfo.php?workbook=18_08.xlsx&amp;sheet=U0&amp;row=1382&amp;col=7&amp;number=0.00181&amp;sourceID=14","0.00181")</f>
        <v>0.00181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HYPERLINK("http://141.218.60.56/~jnz1568/getInfo.php?workbook=18_08.xlsx&amp;sheet=U0&amp;row=1383&amp;col=6&amp;number=4.9&amp;sourceID=14","4.9")</f>
        <v>4.9</v>
      </c>
      <c r="G1383" s="4" t="str">
        <f>HYPERLINK("http://141.218.60.56/~jnz1568/getInfo.php?workbook=18_08.xlsx&amp;sheet=U0&amp;row=1383&amp;col=7&amp;number=0.0018&amp;sourceID=14","0.0018")</f>
        <v>0.0018</v>
      </c>
    </row>
    <row r="1384" spans="1:7">
      <c r="A1384" s="3">
        <v>18</v>
      </c>
      <c r="B1384" s="3">
        <v>8</v>
      </c>
      <c r="C1384" s="3" t="s">
        <v>52</v>
      </c>
      <c r="D1384" s="3">
        <v>1</v>
      </c>
      <c r="E1384" s="3">
        <v>1</v>
      </c>
      <c r="F1384" s="4" t="str">
        <f>HYPERLINK("http://141.218.60.56/~jnz1568/getInfo.php?workbook=18_08.xlsx&amp;sheet=U0&amp;row=1384&amp;col=6&amp;number=3&amp;sourceID=14","3")</f>
        <v>3</v>
      </c>
      <c r="G1384" s="4" t="str">
        <f>HYPERLINK("http://141.218.60.56/~jnz1568/getInfo.php?workbook=18_08.xlsx&amp;sheet=U0&amp;row=1384&amp;col=7&amp;number=0.0364&amp;sourceID=14","0.0364")</f>
        <v>0.0364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HYPERLINK("http://141.218.60.56/~jnz1568/getInfo.php?workbook=18_08.xlsx&amp;sheet=U0&amp;row=1385&amp;col=6&amp;number=3.1&amp;sourceID=14","3.1")</f>
        <v>3.1</v>
      </c>
      <c r="G1385" s="4" t="str">
        <f>HYPERLINK("http://141.218.60.56/~jnz1568/getInfo.php?workbook=18_08.xlsx&amp;sheet=U0&amp;row=1385&amp;col=7&amp;number=0.0364&amp;sourceID=14","0.0364")</f>
        <v>0.0364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HYPERLINK("http://141.218.60.56/~jnz1568/getInfo.php?workbook=18_08.xlsx&amp;sheet=U0&amp;row=1386&amp;col=6&amp;number=3.2&amp;sourceID=14","3.2")</f>
        <v>3.2</v>
      </c>
      <c r="G1386" s="4" t="str">
        <f>HYPERLINK("http://141.218.60.56/~jnz1568/getInfo.php?workbook=18_08.xlsx&amp;sheet=U0&amp;row=1386&amp;col=7&amp;number=0.0364&amp;sourceID=14","0.0364")</f>
        <v>0.0364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HYPERLINK("http://141.218.60.56/~jnz1568/getInfo.php?workbook=18_08.xlsx&amp;sheet=U0&amp;row=1387&amp;col=6&amp;number=3.3&amp;sourceID=14","3.3")</f>
        <v>3.3</v>
      </c>
      <c r="G1387" s="4" t="str">
        <f>HYPERLINK("http://141.218.60.56/~jnz1568/getInfo.php?workbook=18_08.xlsx&amp;sheet=U0&amp;row=1387&amp;col=7&amp;number=0.0364&amp;sourceID=14","0.0364")</f>
        <v>0.0364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HYPERLINK("http://141.218.60.56/~jnz1568/getInfo.php?workbook=18_08.xlsx&amp;sheet=U0&amp;row=1388&amp;col=6&amp;number=3.4&amp;sourceID=14","3.4")</f>
        <v>3.4</v>
      </c>
      <c r="G1388" s="4" t="str">
        <f>HYPERLINK("http://141.218.60.56/~jnz1568/getInfo.php?workbook=18_08.xlsx&amp;sheet=U0&amp;row=1388&amp;col=7&amp;number=0.0364&amp;sourceID=14","0.0364")</f>
        <v>0.0364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HYPERLINK("http://141.218.60.56/~jnz1568/getInfo.php?workbook=18_08.xlsx&amp;sheet=U0&amp;row=1389&amp;col=6&amp;number=3.5&amp;sourceID=14","3.5")</f>
        <v>3.5</v>
      </c>
      <c r="G1389" s="4" t="str">
        <f>HYPERLINK("http://141.218.60.56/~jnz1568/getInfo.php?workbook=18_08.xlsx&amp;sheet=U0&amp;row=1389&amp;col=7&amp;number=0.0364&amp;sourceID=14","0.0364")</f>
        <v>0.0364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HYPERLINK("http://141.218.60.56/~jnz1568/getInfo.php?workbook=18_08.xlsx&amp;sheet=U0&amp;row=1390&amp;col=6&amp;number=3.6&amp;sourceID=14","3.6")</f>
        <v>3.6</v>
      </c>
      <c r="G1390" s="4" t="str">
        <f>HYPERLINK("http://141.218.60.56/~jnz1568/getInfo.php?workbook=18_08.xlsx&amp;sheet=U0&amp;row=1390&amp;col=7&amp;number=0.0364&amp;sourceID=14","0.0364")</f>
        <v>0.0364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HYPERLINK("http://141.218.60.56/~jnz1568/getInfo.php?workbook=18_08.xlsx&amp;sheet=U0&amp;row=1391&amp;col=6&amp;number=3.7&amp;sourceID=14","3.7")</f>
        <v>3.7</v>
      </c>
      <c r="G1391" s="4" t="str">
        <f>HYPERLINK("http://141.218.60.56/~jnz1568/getInfo.php?workbook=18_08.xlsx&amp;sheet=U0&amp;row=1391&amp;col=7&amp;number=0.0364&amp;sourceID=14","0.0364")</f>
        <v>0.0364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HYPERLINK("http://141.218.60.56/~jnz1568/getInfo.php?workbook=18_08.xlsx&amp;sheet=U0&amp;row=1392&amp;col=6&amp;number=3.8&amp;sourceID=14","3.8")</f>
        <v>3.8</v>
      </c>
      <c r="G1392" s="4" t="str">
        <f>HYPERLINK("http://141.218.60.56/~jnz1568/getInfo.php?workbook=18_08.xlsx&amp;sheet=U0&amp;row=1392&amp;col=7&amp;number=0.0365&amp;sourceID=14","0.0365")</f>
        <v>0.0365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HYPERLINK("http://141.218.60.56/~jnz1568/getInfo.php?workbook=18_08.xlsx&amp;sheet=U0&amp;row=1393&amp;col=6&amp;number=3.9&amp;sourceID=14","3.9")</f>
        <v>3.9</v>
      </c>
      <c r="G1393" s="4" t="str">
        <f>HYPERLINK("http://141.218.60.56/~jnz1568/getInfo.php?workbook=18_08.xlsx&amp;sheet=U0&amp;row=1393&amp;col=7&amp;number=0.0365&amp;sourceID=14","0.0365")</f>
        <v>0.0365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HYPERLINK("http://141.218.60.56/~jnz1568/getInfo.php?workbook=18_08.xlsx&amp;sheet=U0&amp;row=1394&amp;col=6&amp;number=4&amp;sourceID=14","4")</f>
        <v>4</v>
      </c>
      <c r="G1394" s="4" t="str">
        <f>HYPERLINK("http://141.218.60.56/~jnz1568/getInfo.php?workbook=18_08.xlsx&amp;sheet=U0&amp;row=1394&amp;col=7&amp;number=0.0365&amp;sourceID=14","0.0365")</f>
        <v>0.0365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HYPERLINK("http://141.218.60.56/~jnz1568/getInfo.php?workbook=18_08.xlsx&amp;sheet=U0&amp;row=1395&amp;col=6&amp;number=4.1&amp;sourceID=14","4.1")</f>
        <v>4.1</v>
      </c>
      <c r="G1395" s="4" t="str">
        <f>HYPERLINK("http://141.218.60.56/~jnz1568/getInfo.php?workbook=18_08.xlsx&amp;sheet=U0&amp;row=1395&amp;col=7&amp;number=0.0365&amp;sourceID=14","0.0365")</f>
        <v>0.0365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HYPERLINK("http://141.218.60.56/~jnz1568/getInfo.php?workbook=18_08.xlsx&amp;sheet=U0&amp;row=1396&amp;col=6&amp;number=4.2&amp;sourceID=14","4.2")</f>
        <v>4.2</v>
      </c>
      <c r="G1396" s="4" t="str">
        <f>HYPERLINK("http://141.218.60.56/~jnz1568/getInfo.php?workbook=18_08.xlsx&amp;sheet=U0&amp;row=1396&amp;col=7&amp;number=0.0365&amp;sourceID=14","0.0365")</f>
        <v>0.0365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HYPERLINK("http://141.218.60.56/~jnz1568/getInfo.php?workbook=18_08.xlsx&amp;sheet=U0&amp;row=1397&amp;col=6&amp;number=4.3&amp;sourceID=14","4.3")</f>
        <v>4.3</v>
      </c>
      <c r="G1397" s="4" t="str">
        <f>HYPERLINK("http://141.218.60.56/~jnz1568/getInfo.php?workbook=18_08.xlsx&amp;sheet=U0&amp;row=1397&amp;col=7&amp;number=0.0366&amp;sourceID=14","0.0366")</f>
        <v>0.0366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HYPERLINK("http://141.218.60.56/~jnz1568/getInfo.php?workbook=18_08.xlsx&amp;sheet=U0&amp;row=1398&amp;col=6&amp;number=4.4&amp;sourceID=14","4.4")</f>
        <v>4.4</v>
      </c>
      <c r="G1398" s="4" t="str">
        <f>HYPERLINK("http://141.218.60.56/~jnz1568/getInfo.php?workbook=18_08.xlsx&amp;sheet=U0&amp;row=1398&amp;col=7&amp;number=0.0366&amp;sourceID=14","0.0366")</f>
        <v>0.0366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HYPERLINK("http://141.218.60.56/~jnz1568/getInfo.php?workbook=18_08.xlsx&amp;sheet=U0&amp;row=1399&amp;col=6&amp;number=4.5&amp;sourceID=14","4.5")</f>
        <v>4.5</v>
      </c>
      <c r="G1399" s="4" t="str">
        <f>HYPERLINK("http://141.218.60.56/~jnz1568/getInfo.php?workbook=18_08.xlsx&amp;sheet=U0&amp;row=1399&amp;col=7&amp;number=0.0367&amp;sourceID=14","0.0367")</f>
        <v>0.0367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HYPERLINK("http://141.218.60.56/~jnz1568/getInfo.php?workbook=18_08.xlsx&amp;sheet=U0&amp;row=1400&amp;col=6&amp;number=4.6&amp;sourceID=14","4.6")</f>
        <v>4.6</v>
      </c>
      <c r="G1400" s="4" t="str">
        <f>HYPERLINK("http://141.218.60.56/~jnz1568/getInfo.php?workbook=18_08.xlsx&amp;sheet=U0&amp;row=1400&amp;col=7&amp;number=0.0367&amp;sourceID=14","0.0367")</f>
        <v>0.0367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HYPERLINK("http://141.218.60.56/~jnz1568/getInfo.php?workbook=18_08.xlsx&amp;sheet=U0&amp;row=1401&amp;col=6&amp;number=4.7&amp;sourceID=14","4.7")</f>
        <v>4.7</v>
      </c>
      <c r="G1401" s="4" t="str">
        <f>HYPERLINK("http://141.218.60.56/~jnz1568/getInfo.php?workbook=18_08.xlsx&amp;sheet=U0&amp;row=1401&amp;col=7&amp;number=0.0368&amp;sourceID=14","0.0368")</f>
        <v>0.0368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HYPERLINK("http://141.218.60.56/~jnz1568/getInfo.php?workbook=18_08.xlsx&amp;sheet=U0&amp;row=1402&amp;col=6&amp;number=4.8&amp;sourceID=14","4.8")</f>
        <v>4.8</v>
      </c>
      <c r="G1402" s="4" t="str">
        <f>HYPERLINK("http://141.218.60.56/~jnz1568/getInfo.php?workbook=18_08.xlsx&amp;sheet=U0&amp;row=1402&amp;col=7&amp;number=0.0369&amp;sourceID=14","0.0369")</f>
        <v>0.0369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HYPERLINK("http://141.218.60.56/~jnz1568/getInfo.php?workbook=18_08.xlsx&amp;sheet=U0&amp;row=1403&amp;col=6&amp;number=4.9&amp;sourceID=14","4.9")</f>
        <v>4.9</v>
      </c>
      <c r="G1403" s="4" t="str">
        <f>HYPERLINK("http://141.218.60.56/~jnz1568/getInfo.php?workbook=18_08.xlsx&amp;sheet=U0&amp;row=1403&amp;col=7&amp;number=0.037&amp;sourceID=14","0.037")</f>
        <v>0.037</v>
      </c>
    </row>
    <row r="1404" spans="1:7">
      <c r="A1404" s="3">
        <v>18</v>
      </c>
      <c r="B1404" s="3">
        <v>8</v>
      </c>
      <c r="C1404" s="3" t="s">
        <v>52</v>
      </c>
      <c r="D1404" s="3">
        <v>2</v>
      </c>
      <c r="E1404" s="3">
        <v>1</v>
      </c>
      <c r="F1404" s="4" t="str">
        <f>HYPERLINK("http://141.218.60.56/~jnz1568/getInfo.php?workbook=18_08.xlsx&amp;sheet=U0&amp;row=1404&amp;col=6&amp;number=3&amp;sourceID=14","3")</f>
        <v>3</v>
      </c>
      <c r="G1404" s="4" t="str">
        <f>HYPERLINK("http://141.218.60.56/~jnz1568/getInfo.php?workbook=18_08.xlsx&amp;sheet=U0&amp;row=1404&amp;col=7&amp;number=0.0195&amp;sourceID=14","0.0195")</f>
        <v>0.0195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HYPERLINK("http://141.218.60.56/~jnz1568/getInfo.php?workbook=18_08.xlsx&amp;sheet=U0&amp;row=1405&amp;col=6&amp;number=3.1&amp;sourceID=14","3.1")</f>
        <v>3.1</v>
      </c>
      <c r="G1405" s="4" t="str">
        <f>HYPERLINK("http://141.218.60.56/~jnz1568/getInfo.php?workbook=18_08.xlsx&amp;sheet=U0&amp;row=1405&amp;col=7&amp;number=0.0195&amp;sourceID=14","0.0195")</f>
        <v>0.0195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HYPERLINK("http://141.218.60.56/~jnz1568/getInfo.php?workbook=18_08.xlsx&amp;sheet=U0&amp;row=1406&amp;col=6&amp;number=3.2&amp;sourceID=14","3.2")</f>
        <v>3.2</v>
      </c>
      <c r="G1406" s="4" t="str">
        <f>HYPERLINK("http://141.218.60.56/~jnz1568/getInfo.php?workbook=18_08.xlsx&amp;sheet=U0&amp;row=1406&amp;col=7&amp;number=0.0195&amp;sourceID=14","0.0195")</f>
        <v>0.0195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HYPERLINK("http://141.218.60.56/~jnz1568/getInfo.php?workbook=18_08.xlsx&amp;sheet=U0&amp;row=1407&amp;col=6&amp;number=3.3&amp;sourceID=14","3.3")</f>
        <v>3.3</v>
      </c>
      <c r="G1407" s="4" t="str">
        <f>HYPERLINK("http://141.218.60.56/~jnz1568/getInfo.php?workbook=18_08.xlsx&amp;sheet=U0&amp;row=1407&amp;col=7&amp;number=0.0195&amp;sourceID=14","0.0195")</f>
        <v>0.0195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HYPERLINK("http://141.218.60.56/~jnz1568/getInfo.php?workbook=18_08.xlsx&amp;sheet=U0&amp;row=1408&amp;col=6&amp;number=3.4&amp;sourceID=14","3.4")</f>
        <v>3.4</v>
      </c>
      <c r="G1408" s="4" t="str">
        <f>HYPERLINK("http://141.218.60.56/~jnz1568/getInfo.php?workbook=18_08.xlsx&amp;sheet=U0&amp;row=1408&amp;col=7&amp;number=0.0195&amp;sourceID=14","0.0195")</f>
        <v>0.0195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HYPERLINK("http://141.218.60.56/~jnz1568/getInfo.php?workbook=18_08.xlsx&amp;sheet=U0&amp;row=1409&amp;col=6&amp;number=3.5&amp;sourceID=14","3.5")</f>
        <v>3.5</v>
      </c>
      <c r="G1409" s="4" t="str">
        <f>HYPERLINK("http://141.218.60.56/~jnz1568/getInfo.php?workbook=18_08.xlsx&amp;sheet=U0&amp;row=1409&amp;col=7&amp;number=0.0195&amp;sourceID=14","0.0195")</f>
        <v>0.0195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HYPERLINK("http://141.218.60.56/~jnz1568/getInfo.php?workbook=18_08.xlsx&amp;sheet=U0&amp;row=1410&amp;col=6&amp;number=3.6&amp;sourceID=14","3.6")</f>
        <v>3.6</v>
      </c>
      <c r="G1410" s="4" t="str">
        <f>HYPERLINK("http://141.218.60.56/~jnz1568/getInfo.php?workbook=18_08.xlsx&amp;sheet=U0&amp;row=1410&amp;col=7&amp;number=0.0195&amp;sourceID=14","0.0195")</f>
        <v>0.0195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HYPERLINK("http://141.218.60.56/~jnz1568/getInfo.php?workbook=18_08.xlsx&amp;sheet=U0&amp;row=1411&amp;col=6&amp;number=3.7&amp;sourceID=14","3.7")</f>
        <v>3.7</v>
      </c>
      <c r="G1411" s="4" t="str">
        <f>HYPERLINK("http://141.218.60.56/~jnz1568/getInfo.php?workbook=18_08.xlsx&amp;sheet=U0&amp;row=1411&amp;col=7&amp;number=0.0195&amp;sourceID=14","0.0195")</f>
        <v>0.0195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HYPERLINK("http://141.218.60.56/~jnz1568/getInfo.php?workbook=18_08.xlsx&amp;sheet=U0&amp;row=1412&amp;col=6&amp;number=3.8&amp;sourceID=14","3.8")</f>
        <v>3.8</v>
      </c>
      <c r="G1412" s="4" t="str">
        <f>HYPERLINK("http://141.218.60.56/~jnz1568/getInfo.php?workbook=18_08.xlsx&amp;sheet=U0&amp;row=1412&amp;col=7&amp;number=0.0195&amp;sourceID=14","0.0195")</f>
        <v>0.0195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HYPERLINK("http://141.218.60.56/~jnz1568/getInfo.php?workbook=18_08.xlsx&amp;sheet=U0&amp;row=1413&amp;col=6&amp;number=3.9&amp;sourceID=14","3.9")</f>
        <v>3.9</v>
      </c>
      <c r="G1413" s="4" t="str">
        <f>HYPERLINK("http://141.218.60.56/~jnz1568/getInfo.php?workbook=18_08.xlsx&amp;sheet=U0&amp;row=1413&amp;col=7&amp;number=0.0195&amp;sourceID=14","0.0195")</f>
        <v>0.0195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HYPERLINK("http://141.218.60.56/~jnz1568/getInfo.php?workbook=18_08.xlsx&amp;sheet=U0&amp;row=1414&amp;col=6&amp;number=4&amp;sourceID=14","4")</f>
        <v>4</v>
      </c>
      <c r="G1414" s="4" t="str">
        <f>HYPERLINK("http://141.218.60.56/~jnz1568/getInfo.php?workbook=18_08.xlsx&amp;sheet=U0&amp;row=1414&amp;col=7&amp;number=0.0195&amp;sourceID=14","0.0195")</f>
        <v>0.0195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HYPERLINK("http://141.218.60.56/~jnz1568/getInfo.php?workbook=18_08.xlsx&amp;sheet=U0&amp;row=1415&amp;col=6&amp;number=4.1&amp;sourceID=14","4.1")</f>
        <v>4.1</v>
      </c>
      <c r="G1415" s="4" t="str">
        <f>HYPERLINK("http://141.218.60.56/~jnz1568/getInfo.php?workbook=18_08.xlsx&amp;sheet=U0&amp;row=1415&amp;col=7&amp;number=0.0195&amp;sourceID=14","0.0195")</f>
        <v>0.0195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HYPERLINK("http://141.218.60.56/~jnz1568/getInfo.php?workbook=18_08.xlsx&amp;sheet=U0&amp;row=1416&amp;col=6&amp;number=4.2&amp;sourceID=14","4.2")</f>
        <v>4.2</v>
      </c>
      <c r="G1416" s="4" t="str">
        <f>HYPERLINK("http://141.218.60.56/~jnz1568/getInfo.php?workbook=18_08.xlsx&amp;sheet=U0&amp;row=1416&amp;col=7&amp;number=0.0195&amp;sourceID=14","0.0195")</f>
        <v>0.0195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HYPERLINK("http://141.218.60.56/~jnz1568/getInfo.php?workbook=18_08.xlsx&amp;sheet=U0&amp;row=1417&amp;col=6&amp;number=4.3&amp;sourceID=14","4.3")</f>
        <v>4.3</v>
      </c>
      <c r="G1417" s="4" t="str">
        <f>HYPERLINK("http://141.218.60.56/~jnz1568/getInfo.php?workbook=18_08.xlsx&amp;sheet=U0&amp;row=1417&amp;col=7&amp;number=0.0195&amp;sourceID=14","0.0195")</f>
        <v>0.0195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HYPERLINK("http://141.218.60.56/~jnz1568/getInfo.php?workbook=18_08.xlsx&amp;sheet=U0&amp;row=1418&amp;col=6&amp;number=4.4&amp;sourceID=14","4.4")</f>
        <v>4.4</v>
      </c>
      <c r="G1418" s="4" t="str">
        <f>HYPERLINK("http://141.218.60.56/~jnz1568/getInfo.php?workbook=18_08.xlsx&amp;sheet=U0&amp;row=1418&amp;col=7&amp;number=0.0195&amp;sourceID=14","0.0195")</f>
        <v>0.0195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HYPERLINK("http://141.218.60.56/~jnz1568/getInfo.php?workbook=18_08.xlsx&amp;sheet=U0&amp;row=1419&amp;col=6&amp;number=4.5&amp;sourceID=14","4.5")</f>
        <v>4.5</v>
      </c>
      <c r="G1419" s="4" t="str">
        <f>HYPERLINK("http://141.218.60.56/~jnz1568/getInfo.php?workbook=18_08.xlsx&amp;sheet=U0&amp;row=1419&amp;col=7&amp;number=0.0195&amp;sourceID=14","0.0195")</f>
        <v>0.0195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HYPERLINK("http://141.218.60.56/~jnz1568/getInfo.php?workbook=18_08.xlsx&amp;sheet=U0&amp;row=1420&amp;col=6&amp;number=4.6&amp;sourceID=14","4.6")</f>
        <v>4.6</v>
      </c>
      <c r="G1420" s="4" t="str">
        <f>HYPERLINK("http://141.218.60.56/~jnz1568/getInfo.php?workbook=18_08.xlsx&amp;sheet=U0&amp;row=1420&amp;col=7&amp;number=0.0195&amp;sourceID=14","0.0195")</f>
        <v>0.0195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HYPERLINK("http://141.218.60.56/~jnz1568/getInfo.php?workbook=18_08.xlsx&amp;sheet=U0&amp;row=1421&amp;col=6&amp;number=4.7&amp;sourceID=14","4.7")</f>
        <v>4.7</v>
      </c>
      <c r="G1421" s="4" t="str">
        <f>HYPERLINK("http://141.218.60.56/~jnz1568/getInfo.php?workbook=18_08.xlsx&amp;sheet=U0&amp;row=1421&amp;col=7&amp;number=0.0194&amp;sourceID=14","0.0194")</f>
        <v>0.0194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HYPERLINK("http://141.218.60.56/~jnz1568/getInfo.php?workbook=18_08.xlsx&amp;sheet=U0&amp;row=1422&amp;col=6&amp;number=4.8&amp;sourceID=14","4.8")</f>
        <v>4.8</v>
      </c>
      <c r="G1422" s="4" t="str">
        <f>HYPERLINK("http://141.218.60.56/~jnz1568/getInfo.php?workbook=18_08.xlsx&amp;sheet=U0&amp;row=1422&amp;col=7&amp;number=0.0194&amp;sourceID=14","0.0194")</f>
        <v>0.0194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HYPERLINK("http://141.218.60.56/~jnz1568/getInfo.php?workbook=18_08.xlsx&amp;sheet=U0&amp;row=1423&amp;col=6&amp;number=4.9&amp;sourceID=14","4.9")</f>
        <v>4.9</v>
      </c>
      <c r="G1423" s="4" t="str">
        <f>HYPERLINK("http://141.218.60.56/~jnz1568/getInfo.php?workbook=18_08.xlsx&amp;sheet=U0&amp;row=1423&amp;col=7&amp;number=0.0194&amp;sourceID=14","0.0194")</f>
        <v>0.0194</v>
      </c>
    </row>
    <row r="1424" spans="1:7">
      <c r="A1424" s="3">
        <v>18</v>
      </c>
      <c r="B1424" s="3">
        <v>8</v>
      </c>
      <c r="C1424" s="3" t="s">
        <v>52</v>
      </c>
      <c r="D1424" s="3">
        <v>3</v>
      </c>
      <c r="E1424" s="3">
        <v>1</v>
      </c>
      <c r="F1424" s="4" t="str">
        <f>HYPERLINK("http://141.218.60.56/~jnz1568/getInfo.php?workbook=18_08.xlsx&amp;sheet=U0&amp;row=1424&amp;col=6&amp;number=3&amp;sourceID=14","3")</f>
        <v>3</v>
      </c>
      <c r="G1424" s="4" t="str">
        <f>HYPERLINK("http://141.218.60.56/~jnz1568/getInfo.php?workbook=18_08.xlsx&amp;sheet=U0&amp;row=1424&amp;col=7&amp;number=0.069&amp;sourceID=14","0.069")</f>
        <v>0.069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HYPERLINK("http://141.218.60.56/~jnz1568/getInfo.php?workbook=18_08.xlsx&amp;sheet=U0&amp;row=1425&amp;col=6&amp;number=3.1&amp;sourceID=14","3.1")</f>
        <v>3.1</v>
      </c>
      <c r="G1425" s="4" t="str">
        <f>HYPERLINK("http://141.218.60.56/~jnz1568/getInfo.php?workbook=18_08.xlsx&amp;sheet=U0&amp;row=1425&amp;col=7&amp;number=0.069&amp;sourceID=14","0.069")</f>
        <v>0.069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HYPERLINK("http://141.218.60.56/~jnz1568/getInfo.php?workbook=18_08.xlsx&amp;sheet=U0&amp;row=1426&amp;col=6&amp;number=3.2&amp;sourceID=14","3.2")</f>
        <v>3.2</v>
      </c>
      <c r="G1426" s="4" t="str">
        <f>HYPERLINK("http://141.218.60.56/~jnz1568/getInfo.php?workbook=18_08.xlsx&amp;sheet=U0&amp;row=1426&amp;col=7&amp;number=0.069&amp;sourceID=14","0.069")</f>
        <v>0.069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HYPERLINK("http://141.218.60.56/~jnz1568/getInfo.php?workbook=18_08.xlsx&amp;sheet=U0&amp;row=1427&amp;col=6&amp;number=3.3&amp;sourceID=14","3.3")</f>
        <v>3.3</v>
      </c>
      <c r="G1427" s="4" t="str">
        <f>HYPERLINK("http://141.218.60.56/~jnz1568/getInfo.php?workbook=18_08.xlsx&amp;sheet=U0&amp;row=1427&amp;col=7&amp;number=0.0691&amp;sourceID=14","0.0691")</f>
        <v>0.0691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HYPERLINK("http://141.218.60.56/~jnz1568/getInfo.php?workbook=18_08.xlsx&amp;sheet=U0&amp;row=1428&amp;col=6&amp;number=3.4&amp;sourceID=14","3.4")</f>
        <v>3.4</v>
      </c>
      <c r="G1428" s="4" t="str">
        <f>HYPERLINK("http://141.218.60.56/~jnz1568/getInfo.php?workbook=18_08.xlsx&amp;sheet=U0&amp;row=1428&amp;col=7&amp;number=0.0691&amp;sourceID=14","0.0691")</f>
        <v>0.0691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HYPERLINK("http://141.218.60.56/~jnz1568/getInfo.php?workbook=18_08.xlsx&amp;sheet=U0&amp;row=1429&amp;col=6&amp;number=3.5&amp;sourceID=14","3.5")</f>
        <v>3.5</v>
      </c>
      <c r="G1429" s="4" t="str">
        <f>HYPERLINK("http://141.218.60.56/~jnz1568/getInfo.php?workbook=18_08.xlsx&amp;sheet=U0&amp;row=1429&amp;col=7&amp;number=0.0691&amp;sourceID=14","0.0691")</f>
        <v>0.0691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HYPERLINK("http://141.218.60.56/~jnz1568/getInfo.php?workbook=18_08.xlsx&amp;sheet=U0&amp;row=1430&amp;col=6&amp;number=3.6&amp;sourceID=14","3.6")</f>
        <v>3.6</v>
      </c>
      <c r="G1430" s="4" t="str">
        <f>HYPERLINK("http://141.218.60.56/~jnz1568/getInfo.php?workbook=18_08.xlsx&amp;sheet=U0&amp;row=1430&amp;col=7&amp;number=0.0691&amp;sourceID=14","0.0691")</f>
        <v>0.0691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HYPERLINK("http://141.218.60.56/~jnz1568/getInfo.php?workbook=18_08.xlsx&amp;sheet=U0&amp;row=1431&amp;col=6&amp;number=3.7&amp;sourceID=14","3.7")</f>
        <v>3.7</v>
      </c>
      <c r="G1431" s="4" t="str">
        <f>HYPERLINK("http://141.218.60.56/~jnz1568/getInfo.php?workbook=18_08.xlsx&amp;sheet=U0&amp;row=1431&amp;col=7&amp;number=0.0691&amp;sourceID=14","0.0691")</f>
        <v>0.0691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HYPERLINK("http://141.218.60.56/~jnz1568/getInfo.php?workbook=18_08.xlsx&amp;sheet=U0&amp;row=1432&amp;col=6&amp;number=3.8&amp;sourceID=14","3.8")</f>
        <v>3.8</v>
      </c>
      <c r="G1432" s="4" t="str">
        <f>HYPERLINK("http://141.218.60.56/~jnz1568/getInfo.php?workbook=18_08.xlsx&amp;sheet=U0&amp;row=1432&amp;col=7&amp;number=0.0691&amp;sourceID=14","0.0691")</f>
        <v>0.0691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HYPERLINK("http://141.218.60.56/~jnz1568/getInfo.php?workbook=18_08.xlsx&amp;sheet=U0&amp;row=1433&amp;col=6&amp;number=3.9&amp;sourceID=14","3.9")</f>
        <v>3.9</v>
      </c>
      <c r="G1433" s="4" t="str">
        <f>HYPERLINK("http://141.218.60.56/~jnz1568/getInfo.php?workbook=18_08.xlsx&amp;sheet=U0&amp;row=1433&amp;col=7&amp;number=0.0691&amp;sourceID=14","0.0691")</f>
        <v>0.0691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HYPERLINK("http://141.218.60.56/~jnz1568/getInfo.php?workbook=18_08.xlsx&amp;sheet=U0&amp;row=1434&amp;col=6&amp;number=4&amp;sourceID=14","4")</f>
        <v>4</v>
      </c>
      <c r="G1434" s="4" t="str">
        <f>HYPERLINK("http://141.218.60.56/~jnz1568/getInfo.php?workbook=18_08.xlsx&amp;sheet=U0&amp;row=1434&amp;col=7&amp;number=0.0692&amp;sourceID=14","0.0692")</f>
        <v>0.0692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HYPERLINK("http://141.218.60.56/~jnz1568/getInfo.php?workbook=18_08.xlsx&amp;sheet=U0&amp;row=1435&amp;col=6&amp;number=4.1&amp;sourceID=14","4.1")</f>
        <v>4.1</v>
      </c>
      <c r="G1435" s="4" t="str">
        <f>HYPERLINK("http://141.218.60.56/~jnz1568/getInfo.php?workbook=18_08.xlsx&amp;sheet=U0&amp;row=1435&amp;col=7&amp;number=0.0692&amp;sourceID=14","0.0692")</f>
        <v>0.0692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HYPERLINK("http://141.218.60.56/~jnz1568/getInfo.php?workbook=18_08.xlsx&amp;sheet=U0&amp;row=1436&amp;col=6&amp;number=4.2&amp;sourceID=14","4.2")</f>
        <v>4.2</v>
      </c>
      <c r="G1436" s="4" t="str">
        <f>HYPERLINK("http://141.218.60.56/~jnz1568/getInfo.php?workbook=18_08.xlsx&amp;sheet=U0&amp;row=1436&amp;col=7&amp;number=0.0693&amp;sourceID=14","0.0693")</f>
        <v>0.0693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HYPERLINK("http://141.218.60.56/~jnz1568/getInfo.php?workbook=18_08.xlsx&amp;sheet=U0&amp;row=1437&amp;col=6&amp;number=4.3&amp;sourceID=14","4.3")</f>
        <v>4.3</v>
      </c>
      <c r="G1437" s="4" t="str">
        <f>HYPERLINK("http://141.218.60.56/~jnz1568/getInfo.php?workbook=18_08.xlsx&amp;sheet=U0&amp;row=1437&amp;col=7&amp;number=0.0693&amp;sourceID=14","0.0693")</f>
        <v>0.0693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HYPERLINK("http://141.218.60.56/~jnz1568/getInfo.php?workbook=18_08.xlsx&amp;sheet=U0&amp;row=1438&amp;col=6&amp;number=4.4&amp;sourceID=14","4.4")</f>
        <v>4.4</v>
      </c>
      <c r="G1438" s="4" t="str">
        <f>HYPERLINK("http://141.218.60.56/~jnz1568/getInfo.php?workbook=18_08.xlsx&amp;sheet=U0&amp;row=1438&amp;col=7&amp;number=0.0694&amp;sourceID=14","0.0694")</f>
        <v>0.0694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HYPERLINK("http://141.218.60.56/~jnz1568/getInfo.php?workbook=18_08.xlsx&amp;sheet=U0&amp;row=1439&amp;col=6&amp;number=4.5&amp;sourceID=14","4.5")</f>
        <v>4.5</v>
      </c>
      <c r="G1439" s="4" t="str">
        <f>HYPERLINK("http://141.218.60.56/~jnz1568/getInfo.php?workbook=18_08.xlsx&amp;sheet=U0&amp;row=1439&amp;col=7&amp;number=0.0695&amp;sourceID=14","0.0695")</f>
        <v>0.0695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HYPERLINK("http://141.218.60.56/~jnz1568/getInfo.php?workbook=18_08.xlsx&amp;sheet=U0&amp;row=1440&amp;col=6&amp;number=4.6&amp;sourceID=14","4.6")</f>
        <v>4.6</v>
      </c>
      <c r="G1440" s="4" t="str">
        <f>HYPERLINK("http://141.218.60.56/~jnz1568/getInfo.php?workbook=18_08.xlsx&amp;sheet=U0&amp;row=1440&amp;col=7&amp;number=0.0696&amp;sourceID=14","0.0696")</f>
        <v>0.0696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HYPERLINK("http://141.218.60.56/~jnz1568/getInfo.php?workbook=18_08.xlsx&amp;sheet=U0&amp;row=1441&amp;col=6&amp;number=4.7&amp;sourceID=14","4.7")</f>
        <v>4.7</v>
      </c>
      <c r="G1441" s="4" t="str">
        <f>HYPERLINK("http://141.218.60.56/~jnz1568/getInfo.php?workbook=18_08.xlsx&amp;sheet=U0&amp;row=1441&amp;col=7&amp;number=0.0698&amp;sourceID=14","0.0698")</f>
        <v>0.0698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HYPERLINK("http://141.218.60.56/~jnz1568/getInfo.php?workbook=18_08.xlsx&amp;sheet=U0&amp;row=1442&amp;col=6&amp;number=4.8&amp;sourceID=14","4.8")</f>
        <v>4.8</v>
      </c>
      <c r="G1442" s="4" t="str">
        <f>HYPERLINK("http://141.218.60.56/~jnz1568/getInfo.php?workbook=18_08.xlsx&amp;sheet=U0&amp;row=1442&amp;col=7&amp;number=0.07&amp;sourceID=14","0.07")</f>
        <v>0.07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HYPERLINK("http://141.218.60.56/~jnz1568/getInfo.php?workbook=18_08.xlsx&amp;sheet=U0&amp;row=1443&amp;col=6&amp;number=4.9&amp;sourceID=14","4.9")</f>
        <v>4.9</v>
      </c>
      <c r="G1443" s="4" t="str">
        <f>HYPERLINK("http://141.218.60.56/~jnz1568/getInfo.php?workbook=18_08.xlsx&amp;sheet=U0&amp;row=1443&amp;col=7&amp;number=0.0702&amp;sourceID=14","0.0702")</f>
        <v>0.0702</v>
      </c>
    </row>
    <row r="1444" spans="1:7">
      <c r="A1444" s="3">
        <v>18</v>
      </c>
      <c r="B1444" s="3">
        <v>8</v>
      </c>
      <c r="C1444" s="3" t="s">
        <v>52</v>
      </c>
      <c r="D1444" s="3">
        <v>4</v>
      </c>
      <c r="E1444" s="3">
        <v>1</v>
      </c>
      <c r="F1444" s="4" t="str">
        <f>HYPERLINK("http://141.218.60.56/~jnz1568/getInfo.php?workbook=18_08.xlsx&amp;sheet=U0&amp;row=1444&amp;col=6&amp;number=3&amp;sourceID=14","3")</f>
        <v>3</v>
      </c>
      <c r="G1444" s="4" t="str">
        <f>HYPERLINK("http://141.218.60.56/~jnz1568/getInfo.php?workbook=18_08.xlsx&amp;sheet=U0&amp;row=1444&amp;col=7&amp;number=0.0275&amp;sourceID=14","0.0275")</f>
        <v>0.0275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HYPERLINK("http://141.218.60.56/~jnz1568/getInfo.php?workbook=18_08.xlsx&amp;sheet=U0&amp;row=1445&amp;col=6&amp;number=3.1&amp;sourceID=14","3.1")</f>
        <v>3.1</v>
      </c>
      <c r="G1445" s="4" t="str">
        <f>HYPERLINK("http://141.218.60.56/~jnz1568/getInfo.php?workbook=18_08.xlsx&amp;sheet=U0&amp;row=1445&amp;col=7&amp;number=0.0275&amp;sourceID=14","0.0275")</f>
        <v>0.0275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HYPERLINK("http://141.218.60.56/~jnz1568/getInfo.php?workbook=18_08.xlsx&amp;sheet=U0&amp;row=1446&amp;col=6&amp;number=3.2&amp;sourceID=14","3.2")</f>
        <v>3.2</v>
      </c>
      <c r="G1446" s="4" t="str">
        <f>HYPERLINK("http://141.218.60.56/~jnz1568/getInfo.php?workbook=18_08.xlsx&amp;sheet=U0&amp;row=1446&amp;col=7&amp;number=0.0275&amp;sourceID=14","0.0275")</f>
        <v>0.0275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HYPERLINK("http://141.218.60.56/~jnz1568/getInfo.php?workbook=18_08.xlsx&amp;sheet=U0&amp;row=1447&amp;col=6&amp;number=3.3&amp;sourceID=14","3.3")</f>
        <v>3.3</v>
      </c>
      <c r="G1447" s="4" t="str">
        <f>HYPERLINK("http://141.218.60.56/~jnz1568/getInfo.php?workbook=18_08.xlsx&amp;sheet=U0&amp;row=1447&amp;col=7&amp;number=0.0275&amp;sourceID=14","0.0275")</f>
        <v>0.0275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HYPERLINK("http://141.218.60.56/~jnz1568/getInfo.php?workbook=18_08.xlsx&amp;sheet=U0&amp;row=1448&amp;col=6&amp;number=3.4&amp;sourceID=14","3.4")</f>
        <v>3.4</v>
      </c>
      <c r="G1448" s="4" t="str">
        <f>HYPERLINK("http://141.218.60.56/~jnz1568/getInfo.php?workbook=18_08.xlsx&amp;sheet=U0&amp;row=1448&amp;col=7&amp;number=0.0275&amp;sourceID=14","0.0275")</f>
        <v>0.0275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HYPERLINK("http://141.218.60.56/~jnz1568/getInfo.php?workbook=18_08.xlsx&amp;sheet=U0&amp;row=1449&amp;col=6&amp;number=3.5&amp;sourceID=14","3.5")</f>
        <v>3.5</v>
      </c>
      <c r="G1449" s="4" t="str">
        <f>HYPERLINK("http://141.218.60.56/~jnz1568/getInfo.php?workbook=18_08.xlsx&amp;sheet=U0&amp;row=1449&amp;col=7&amp;number=0.0275&amp;sourceID=14","0.0275")</f>
        <v>0.0275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HYPERLINK("http://141.218.60.56/~jnz1568/getInfo.php?workbook=18_08.xlsx&amp;sheet=U0&amp;row=1450&amp;col=6&amp;number=3.6&amp;sourceID=14","3.6")</f>
        <v>3.6</v>
      </c>
      <c r="G1450" s="4" t="str">
        <f>HYPERLINK("http://141.218.60.56/~jnz1568/getInfo.php?workbook=18_08.xlsx&amp;sheet=U0&amp;row=1450&amp;col=7&amp;number=0.0275&amp;sourceID=14","0.0275")</f>
        <v>0.0275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HYPERLINK("http://141.218.60.56/~jnz1568/getInfo.php?workbook=18_08.xlsx&amp;sheet=U0&amp;row=1451&amp;col=6&amp;number=3.7&amp;sourceID=14","3.7")</f>
        <v>3.7</v>
      </c>
      <c r="G1451" s="4" t="str">
        <f>HYPERLINK("http://141.218.60.56/~jnz1568/getInfo.php?workbook=18_08.xlsx&amp;sheet=U0&amp;row=1451&amp;col=7&amp;number=0.0275&amp;sourceID=14","0.0275")</f>
        <v>0.0275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HYPERLINK("http://141.218.60.56/~jnz1568/getInfo.php?workbook=18_08.xlsx&amp;sheet=U0&amp;row=1452&amp;col=6&amp;number=3.8&amp;sourceID=14","3.8")</f>
        <v>3.8</v>
      </c>
      <c r="G1452" s="4" t="str">
        <f>HYPERLINK("http://141.218.60.56/~jnz1568/getInfo.php?workbook=18_08.xlsx&amp;sheet=U0&amp;row=1452&amp;col=7&amp;number=0.0275&amp;sourceID=14","0.0275")</f>
        <v>0.0275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HYPERLINK("http://141.218.60.56/~jnz1568/getInfo.php?workbook=18_08.xlsx&amp;sheet=U0&amp;row=1453&amp;col=6&amp;number=3.9&amp;sourceID=14","3.9")</f>
        <v>3.9</v>
      </c>
      <c r="G1453" s="4" t="str">
        <f>HYPERLINK("http://141.218.60.56/~jnz1568/getInfo.php?workbook=18_08.xlsx&amp;sheet=U0&amp;row=1453&amp;col=7&amp;number=0.0275&amp;sourceID=14","0.0275")</f>
        <v>0.0275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HYPERLINK("http://141.218.60.56/~jnz1568/getInfo.php?workbook=18_08.xlsx&amp;sheet=U0&amp;row=1454&amp;col=6&amp;number=4&amp;sourceID=14","4")</f>
        <v>4</v>
      </c>
      <c r="G1454" s="4" t="str">
        <f>HYPERLINK("http://141.218.60.56/~jnz1568/getInfo.php?workbook=18_08.xlsx&amp;sheet=U0&amp;row=1454&amp;col=7&amp;number=0.0275&amp;sourceID=14","0.0275")</f>
        <v>0.0275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HYPERLINK("http://141.218.60.56/~jnz1568/getInfo.php?workbook=18_08.xlsx&amp;sheet=U0&amp;row=1455&amp;col=6&amp;number=4.1&amp;sourceID=14","4.1")</f>
        <v>4.1</v>
      </c>
      <c r="G1455" s="4" t="str">
        <f>HYPERLINK("http://141.218.60.56/~jnz1568/getInfo.php?workbook=18_08.xlsx&amp;sheet=U0&amp;row=1455&amp;col=7&amp;number=0.0275&amp;sourceID=14","0.0275")</f>
        <v>0.0275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HYPERLINK("http://141.218.60.56/~jnz1568/getInfo.php?workbook=18_08.xlsx&amp;sheet=U0&amp;row=1456&amp;col=6&amp;number=4.2&amp;sourceID=14","4.2")</f>
        <v>4.2</v>
      </c>
      <c r="G1456" s="4" t="str">
        <f>HYPERLINK("http://141.218.60.56/~jnz1568/getInfo.php?workbook=18_08.xlsx&amp;sheet=U0&amp;row=1456&amp;col=7&amp;number=0.0275&amp;sourceID=14","0.0275")</f>
        <v>0.0275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HYPERLINK("http://141.218.60.56/~jnz1568/getInfo.php?workbook=18_08.xlsx&amp;sheet=U0&amp;row=1457&amp;col=6&amp;number=4.3&amp;sourceID=14","4.3")</f>
        <v>4.3</v>
      </c>
      <c r="G1457" s="4" t="str">
        <f>HYPERLINK("http://141.218.60.56/~jnz1568/getInfo.php?workbook=18_08.xlsx&amp;sheet=U0&amp;row=1457&amp;col=7&amp;number=0.0276&amp;sourceID=14","0.0276")</f>
        <v>0.0276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HYPERLINK("http://141.218.60.56/~jnz1568/getInfo.php?workbook=18_08.xlsx&amp;sheet=U0&amp;row=1458&amp;col=6&amp;number=4.4&amp;sourceID=14","4.4")</f>
        <v>4.4</v>
      </c>
      <c r="G1458" s="4" t="str">
        <f>HYPERLINK("http://141.218.60.56/~jnz1568/getInfo.php?workbook=18_08.xlsx&amp;sheet=U0&amp;row=1458&amp;col=7&amp;number=0.0276&amp;sourceID=14","0.0276")</f>
        <v>0.0276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HYPERLINK("http://141.218.60.56/~jnz1568/getInfo.php?workbook=18_08.xlsx&amp;sheet=U0&amp;row=1459&amp;col=6&amp;number=4.5&amp;sourceID=14","4.5")</f>
        <v>4.5</v>
      </c>
      <c r="G1459" s="4" t="str">
        <f>HYPERLINK("http://141.218.60.56/~jnz1568/getInfo.php?workbook=18_08.xlsx&amp;sheet=U0&amp;row=1459&amp;col=7&amp;number=0.0276&amp;sourceID=14","0.0276")</f>
        <v>0.0276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HYPERLINK("http://141.218.60.56/~jnz1568/getInfo.php?workbook=18_08.xlsx&amp;sheet=U0&amp;row=1460&amp;col=6&amp;number=4.6&amp;sourceID=14","4.6")</f>
        <v>4.6</v>
      </c>
      <c r="G1460" s="4" t="str">
        <f>HYPERLINK("http://141.218.60.56/~jnz1568/getInfo.php?workbook=18_08.xlsx&amp;sheet=U0&amp;row=1460&amp;col=7&amp;number=0.0276&amp;sourceID=14","0.0276")</f>
        <v>0.0276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HYPERLINK("http://141.218.60.56/~jnz1568/getInfo.php?workbook=18_08.xlsx&amp;sheet=U0&amp;row=1461&amp;col=6&amp;number=4.7&amp;sourceID=14","4.7")</f>
        <v>4.7</v>
      </c>
      <c r="G1461" s="4" t="str">
        <f>HYPERLINK("http://141.218.60.56/~jnz1568/getInfo.php?workbook=18_08.xlsx&amp;sheet=U0&amp;row=1461&amp;col=7&amp;number=0.0277&amp;sourceID=14","0.0277")</f>
        <v>0.0277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HYPERLINK("http://141.218.60.56/~jnz1568/getInfo.php?workbook=18_08.xlsx&amp;sheet=U0&amp;row=1462&amp;col=6&amp;number=4.8&amp;sourceID=14","4.8")</f>
        <v>4.8</v>
      </c>
      <c r="G1462" s="4" t="str">
        <f>HYPERLINK("http://141.218.60.56/~jnz1568/getInfo.php?workbook=18_08.xlsx&amp;sheet=U0&amp;row=1462&amp;col=7&amp;number=0.0277&amp;sourceID=14","0.0277")</f>
        <v>0.0277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HYPERLINK("http://141.218.60.56/~jnz1568/getInfo.php?workbook=18_08.xlsx&amp;sheet=U0&amp;row=1463&amp;col=6&amp;number=4.9&amp;sourceID=14","4.9")</f>
        <v>4.9</v>
      </c>
      <c r="G1463" s="4" t="str">
        <f>HYPERLINK("http://141.218.60.56/~jnz1568/getInfo.php?workbook=18_08.xlsx&amp;sheet=U0&amp;row=1463&amp;col=7&amp;number=0.0277&amp;sourceID=14","0.0277")</f>
        <v>0.0277</v>
      </c>
    </row>
    <row r="1464" spans="1:7">
      <c r="A1464" s="3">
        <v>18</v>
      </c>
      <c r="B1464" s="3">
        <v>8</v>
      </c>
      <c r="C1464" s="3" t="s">
        <v>52</v>
      </c>
      <c r="D1464" s="3">
        <v>5</v>
      </c>
      <c r="E1464" s="3">
        <v>1</v>
      </c>
      <c r="F1464" s="4" t="str">
        <f>HYPERLINK("http://141.218.60.56/~jnz1568/getInfo.php?workbook=18_08.xlsx&amp;sheet=U0&amp;row=1464&amp;col=6&amp;number=3&amp;sourceID=14","3")</f>
        <v>3</v>
      </c>
      <c r="G1464" s="4" t="str">
        <f>HYPERLINK("http://141.218.60.56/~jnz1568/getInfo.php?workbook=18_08.xlsx&amp;sheet=U0&amp;row=1464&amp;col=7&amp;number=0.0021&amp;sourceID=14","0.0021")</f>
        <v>0.0021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HYPERLINK("http://141.218.60.56/~jnz1568/getInfo.php?workbook=18_08.xlsx&amp;sheet=U0&amp;row=1465&amp;col=6&amp;number=3.1&amp;sourceID=14","3.1")</f>
        <v>3.1</v>
      </c>
      <c r="G1465" s="4" t="str">
        <f>HYPERLINK("http://141.218.60.56/~jnz1568/getInfo.php?workbook=18_08.xlsx&amp;sheet=U0&amp;row=1465&amp;col=7&amp;number=0.0021&amp;sourceID=14","0.0021")</f>
        <v>0.0021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HYPERLINK("http://141.218.60.56/~jnz1568/getInfo.php?workbook=18_08.xlsx&amp;sheet=U0&amp;row=1466&amp;col=6&amp;number=3.2&amp;sourceID=14","3.2")</f>
        <v>3.2</v>
      </c>
      <c r="G1466" s="4" t="str">
        <f>HYPERLINK("http://141.218.60.56/~jnz1568/getInfo.php?workbook=18_08.xlsx&amp;sheet=U0&amp;row=1466&amp;col=7&amp;number=0.0021&amp;sourceID=14","0.0021")</f>
        <v>0.0021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HYPERLINK("http://141.218.60.56/~jnz1568/getInfo.php?workbook=18_08.xlsx&amp;sheet=U0&amp;row=1467&amp;col=6&amp;number=3.3&amp;sourceID=14","3.3")</f>
        <v>3.3</v>
      </c>
      <c r="G1467" s="4" t="str">
        <f>HYPERLINK("http://141.218.60.56/~jnz1568/getInfo.php?workbook=18_08.xlsx&amp;sheet=U0&amp;row=1467&amp;col=7&amp;number=0.0021&amp;sourceID=14","0.0021")</f>
        <v>0.0021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HYPERLINK("http://141.218.60.56/~jnz1568/getInfo.php?workbook=18_08.xlsx&amp;sheet=U0&amp;row=1468&amp;col=6&amp;number=3.4&amp;sourceID=14","3.4")</f>
        <v>3.4</v>
      </c>
      <c r="G1468" s="4" t="str">
        <f>HYPERLINK("http://141.218.60.56/~jnz1568/getInfo.php?workbook=18_08.xlsx&amp;sheet=U0&amp;row=1468&amp;col=7&amp;number=0.0021&amp;sourceID=14","0.0021")</f>
        <v>0.0021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HYPERLINK("http://141.218.60.56/~jnz1568/getInfo.php?workbook=18_08.xlsx&amp;sheet=U0&amp;row=1469&amp;col=6&amp;number=3.5&amp;sourceID=14","3.5")</f>
        <v>3.5</v>
      </c>
      <c r="G1469" s="4" t="str">
        <f>HYPERLINK("http://141.218.60.56/~jnz1568/getInfo.php?workbook=18_08.xlsx&amp;sheet=U0&amp;row=1469&amp;col=7&amp;number=0.0021&amp;sourceID=14","0.0021")</f>
        <v>0.0021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HYPERLINK("http://141.218.60.56/~jnz1568/getInfo.php?workbook=18_08.xlsx&amp;sheet=U0&amp;row=1470&amp;col=6&amp;number=3.6&amp;sourceID=14","3.6")</f>
        <v>3.6</v>
      </c>
      <c r="G1470" s="4" t="str">
        <f>HYPERLINK("http://141.218.60.56/~jnz1568/getInfo.php?workbook=18_08.xlsx&amp;sheet=U0&amp;row=1470&amp;col=7&amp;number=0.0021&amp;sourceID=14","0.0021")</f>
        <v>0.0021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HYPERLINK("http://141.218.60.56/~jnz1568/getInfo.php?workbook=18_08.xlsx&amp;sheet=U0&amp;row=1471&amp;col=6&amp;number=3.7&amp;sourceID=14","3.7")</f>
        <v>3.7</v>
      </c>
      <c r="G1471" s="4" t="str">
        <f>HYPERLINK("http://141.218.60.56/~jnz1568/getInfo.php?workbook=18_08.xlsx&amp;sheet=U0&amp;row=1471&amp;col=7&amp;number=0.0021&amp;sourceID=14","0.0021")</f>
        <v>0.0021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HYPERLINK("http://141.218.60.56/~jnz1568/getInfo.php?workbook=18_08.xlsx&amp;sheet=U0&amp;row=1472&amp;col=6&amp;number=3.8&amp;sourceID=14","3.8")</f>
        <v>3.8</v>
      </c>
      <c r="G1472" s="4" t="str">
        <f>HYPERLINK("http://141.218.60.56/~jnz1568/getInfo.php?workbook=18_08.xlsx&amp;sheet=U0&amp;row=1472&amp;col=7&amp;number=0.0021&amp;sourceID=14","0.0021")</f>
        <v>0.0021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HYPERLINK("http://141.218.60.56/~jnz1568/getInfo.php?workbook=18_08.xlsx&amp;sheet=U0&amp;row=1473&amp;col=6&amp;number=3.9&amp;sourceID=14","3.9")</f>
        <v>3.9</v>
      </c>
      <c r="G1473" s="4" t="str">
        <f>HYPERLINK("http://141.218.60.56/~jnz1568/getInfo.php?workbook=18_08.xlsx&amp;sheet=U0&amp;row=1473&amp;col=7&amp;number=0.0021&amp;sourceID=14","0.0021")</f>
        <v>0.0021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HYPERLINK("http://141.218.60.56/~jnz1568/getInfo.php?workbook=18_08.xlsx&amp;sheet=U0&amp;row=1474&amp;col=6&amp;number=4&amp;sourceID=14","4")</f>
        <v>4</v>
      </c>
      <c r="G1474" s="4" t="str">
        <f>HYPERLINK("http://141.218.60.56/~jnz1568/getInfo.php?workbook=18_08.xlsx&amp;sheet=U0&amp;row=1474&amp;col=7&amp;number=0.0021&amp;sourceID=14","0.0021")</f>
        <v>0.0021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HYPERLINK("http://141.218.60.56/~jnz1568/getInfo.php?workbook=18_08.xlsx&amp;sheet=U0&amp;row=1475&amp;col=6&amp;number=4.1&amp;sourceID=14","4.1")</f>
        <v>4.1</v>
      </c>
      <c r="G1475" s="4" t="str">
        <f>HYPERLINK("http://141.218.60.56/~jnz1568/getInfo.php?workbook=18_08.xlsx&amp;sheet=U0&amp;row=1475&amp;col=7&amp;number=0.0021&amp;sourceID=14","0.0021")</f>
        <v>0.0021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HYPERLINK("http://141.218.60.56/~jnz1568/getInfo.php?workbook=18_08.xlsx&amp;sheet=U0&amp;row=1476&amp;col=6&amp;number=4.2&amp;sourceID=14","4.2")</f>
        <v>4.2</v>
      </c>
      <c r="G1476" s="4" t="str">
        <f>HYPERLINK("http://141.218.60.56/~jnz1568/getInfo.php?workbook=18_08.xlsx&amp;sheet=U0&amp;row=1476&amp;col=7&amp;number=0.0021&amp;sourceID=14","0.0021")</f>
        <v>0.0021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HYPERLINK("http://141.218.60.56/~jnz1568/getInfo.php?workbook=18_08.xlsx&amp;sheet=U0&amp;row=1477&amp;col=6&amp;number=4.3&amp;sourceID=14","4.3")</f>
        <v>4.3</v>
      </c>
      <c r="G1477" s="4" t="str">
        <f>HYPERLINK("http://141.218.60.56/~jnz1568/getInfo.php?workbook=18_08.xlsx&amp;sheet=U0&amp;row=1477&amp;col=7&amp;number=0.0021&amp;sourceID=14","0.0021")</f>
        <v>0.0021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HYPERLINK("http://141.218.60.56/~jnz1568/getInfo.php?workbook=18_08.xlsx&amp;sheet=U0&amp;row=1478&amp;col=6&amp;number=4.4&amp;sourceID=14","4.4")</f>
        <v>4.4</v>
      </c>
      <c r="G1478" s="4" t="str">
        <f>HYPERLINK("http://141.218.60.56/~jnz1568/getInfo.php?workbook=18_08.xlsx&amp;sheet=U0&amp;row=1478&amp;col=7&amp;number=0.00209&amp;sourceID=14","0.00209")</f>
        <v>0.00209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HYPERLINK("http://141.218.60.56/~jnz1568/getInfo.php?workbook=18_08.xlsx&amp;sheet=U0&amp;row=1479&amp;col=6&amp;number=4.5&amp;sourceID=14","4.5")</f>
        <v>4.5</v>
      </c>
      <c r="G1479" s="4" t="str">
        <f>HYPERLINK("http://141.218.60.56/~jnz1568/getInfo.php?workbook=18_08.xlsx&amp;sheet=U0&amp;row=1479&amp;col=7&amp;number=0.00209&amp;sourceID=14","0.00209")</f>
        <v>0.00209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HYPERLINK("http://141.218.60.56/~jnz1568/getInfo.php?workbook=18_08.xlsx&amp;sheet=U0&amp;row=1480&amp;col=6&amp;number=4.6&amp;sourceID=14","4.6")</f>
        <v>4.6</v>
      </c>
      <c r="G1480" s="4" t="str">
        <f>HYPERLINK("http://141.218.60.56/~jnz1568/getInfo.php?workbook=18_08.xlsx&amp;sheet=U0&amp;row=1480&amp;col=7&amp;number=0.00209&amp;sourceID=14","0.00209")</f>
        <v>0.00209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HYPERLINK("http://141.218.60.56/~jnz1568/getInfo.php?workbook=18_08.xlsx&amp;sheet=U0&amp;row=1481&amp;col=6&amp;number=4.7&amp;sourceID=14","4.7")</f>
        <v>4.7</v>
      </c>
      <c r="G1481" s="4" t="str">
        <f>HYPERLINK("http://141.218.60.56/~jnz1568/getInfo.php?workbook=18_08.xlsx&amp;sheet=U0&amp;row=1481&amp;col=7&amp;number=0.00208&amp;sourceID=14","0.00208")</f>
        <v>0.00208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HYPERLINK("http://141.218.60.56/~jnz1568/getInfo.php?workbook=18_08.xlsx&amp;sheet=U0&amp;row=1482&amp;col=6&amp;number=4.8&amp;sourceID=14","4.8")</f>
        <v>4.8</v>
      </c>
      <c r="G1482" s="4" t="str">
        <f>HYPERLINK("http://141.218.60.56/~jnz1568/getInfo.php?workbook=18_08.xlsx&amp;sheet=U0&amp;row=1482&amp;col=7&amp;number=0.00208&amp;sourceID=14","0.00208")</f>
        <v>0.00208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HYPERLINK("http://141.218.60.56/~jnz1568/getInfo.php?workbook=18_08.xlsx&amp;sheet=U0&amp;row=1483&amp;col=6&amp;number=4.9&amp;sourceID=14","4.9")</f>
        <v>4.9</v>
      </c>
      <c r="G1483" s="4" t="str">
        <f>HYPERLINK("http://141.218.60.56/~jnz1568/getInfo.php?workbook=18_08.xlsx&amp;sheet=U0&amp;row=1483&amp;col=7&amp;number=0.00207&amp;sourceID=14","0.00207")</f>
        <v>0.00207</v>
      </c>
    </row>
    <row r="1484" spans="1:7">
      <c r="A1484" s="3">
        <v>18</v>
      </c>
      <c r="B1484" s="3">
        <v>8</v>
      </c>
      <c r="C1484" s="3" t="s">
        <v>52</v>
      </c>
      <c r="D1484" s="3">
        <v>6</v>
      </c>
      <c r="E1484" s="3">
        <v>1</v>
      </c>
      <c r="F1484" s="4" t="str">
        <f>HYPERLINK("http://141.218.60.56/~jnz1568/getInfo.php?workbook=18_08.xlsx&amp;sheet=U0&amp;row=1484&amp;col=6&amp;number=3&amp;sourceID=14","3")</f>
        <v>3</v>
      </c>
      <c r="G1484" s="4" t="str">
        <f>HYPERLINK("http://141.218.60.56/~jnz1568/getInfo.php?workbook=18_08.xlsx&amp;sheet=U0&amp;row=1484&amp;col=7&amp;number=0.00995&amp;sourceID=14","0.00995")</f>
        <v>0.00995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HYPERLINK("http://141.218.60.56/~jnz1568/getInfo.php?workbook=18_08.xlsx&amp;sheet=U0&amp;row=1485&amp;col=6&amp;number=3.1&amp;sourceID=14","3.1")</f>
        <v>3.1</v>
      </c>
      <c r="G1485" s="4" t="str">
        <f>HYPERLINK("http://141.218.60.56/~jnz1568/getInfo.php?workbook=18_08.xlsx&amp;sheet=U0&amp;row=1485&amp;col=7&amp;number=0.00995&amp;sourceID=14","0.00995")</f>
        <v>0.00995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HYPERLINK("http://141.218.60.56/~jnz1568/getInfo.php?workbook=18_08.xlsx&amp;sheet=U0&amp;row=1486&amp;col=6&amp;number=3.2&amp;sourceID=14","3.2")</f>
        <v>3.2</v>
      </c>
      <c r="G1486" s="4" t="str">
        <f>HYPERLINK("http://141.218.60.56/~jnz1568/getInfo.php?workbook=18_08.xlsx&amp;sheet=U0&amp;row=1486&amp;col=7&amp;number=0.00995&amp;sourceID=14","0.00995")</f>
        <v>0.00995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HYPERLINK("http://141.218.60.56/~jnz1568/getInfo.php?workbook=18_08.xlsx&amp;sheet=U0&amp;row=1487&amp;col=6&amp;number=3.3&amp;sourceID=14","3.3")</f>
        <v>3.3</v>
      </c>
      <c r="G1487" s="4" t="str">
        <f>HYPERLINK("http://141.218.60.56/~jnz1568/getInfo.php?workbook=18_08.xlsx&amp;sheet=U0&amp;row=1487&amp;col=7&amp;number=0.00995&amp;sourceID=14","0.00995")</f>
        <v>0.00995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HYPERLINK("http://141.218.60.56/~jnz1568/getInfo.php?workbook=18_08.xlsx&amp;sheet=U0&amp;row=1488&amp;col=6&amp;number=3.4&amp;sourceID=14","3.4")</f>
        <v>3.4</v>
      </c>
      <c r="G1488" s="4" t="str">
        <f>HYPERLINK("http://141.218.60.56/~jnz1568/getInfo.php?workbook=18_08.xlsx&amp;sheet=U0&amp;row=1488&amp;col=7&amp;number=0.00995&amp;sourceID=14","0.00995")</f>
        <v>0.00995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HYPERLINK("http://141.218.60.56/~jnz1568/getInfo.php?workbook=18_08.xlsx&amp;sheet=U0&amp;row=1489&amp;col=6&amp;number=3.5&amp;sourceID=14","3.5")</f>
        <v>3.5</v>
      </c>
      <c r="G1489" s="4" t="str">
        <f>HYPERLINK("http://141.218.60.56/~jnz1568/getInfo.php?workbook=18_08.xlsx&amp;sheet=U0&amp;row=1489&amp;col=7&amp;number=0.00995&amp;sourceID=14","0.00995")</f>
        <v>0.00995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HYPERLINK("http://141.218.60.56/~jnz1568/getInfo.php?workbook=18_08.xlsx&amp;sheet=U0&amp;row=1490&amp;col=6&amp;number=3.6&amp;sourceID=14","3.6")</f>
        <v>3.6</v>
      </c>
      <c r="G1490" s="4" t="str">
        <f>HYPERLINK("http://141.218.60.56/~jnz1568/getInfo.php?workbook=18_08.xlsx&amp;sheet=U0&amp;row=1490&amp;col=7&amp;number=0.00995&amp;sourceID=14","0.00995")</f>
        <v>0.00995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HYPERLINK("http://141.218.60.56/~jnz1568/getInfo.php?workbook=18_08.xlsx&amp;sheet=U0&amp;row=1491&amp;col=6&amp;number=3.7&amp;sourceID=14","3.7")</f>
        <v>3.7</v>
      </c>
      <c r="G1491" s="4" t="str">
        <f>HYPERLINK("http://141.218.60.56/~jnz1568/getInfo.php?workbook=18_08.xlsx&amp;sheet=U0&amp;row=1491&amp;col=7&amp;number=0.00995&amp;sourceID=14","0.00995")</f>
        <v>0.00995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HYPERLINK("http://141.218.60.56/~jnz1568/getInfo.php?workbook=18_08.xlsx&amp;sheet=U0&amp;row=1492&amp;col=6&amp;number=3.8&amp;sourceID=14","3.8")</f>
        <v>3.8</v>
      </c>
      <c r="G1492" s="4" t="str">
        <f>HYPERLINK("http://141.218.60.56/~jnz1568/getInfo.php?workbook=18_08.xlsx&amp;sheet=U0&amp;row=1492&amp;col=7&amp;number=0.00994&amp;sourceID=14","0.00994")</f>
        <v>0.00994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HYPERLINK("http://141.218.60.56/~jnz1568/getInfo.php?workbook=18_08.xlsx&amp;sheet=U0&amp;row=1493&amp;col=6&amp;number=3.9&amp;sourceID=14","3.9")</f>
        <v>3.9</v>
      </c>
      <c r="G1493" s="4" t="str">
        <f>HYPERLINK("http://141.218.60.56/~jnz1568/getInfo.php?workbook=18_08.xlsx&amp;sheet=U0&amp;row=1493&amp;col=7&amp;number=0.00994&amp;sourceID=14","0.00994")</f>
        <v>0.00994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HYPERLINK("http://141.218.60.56/~jnz1568/getInfo.php?workbook=18_08.xlsx&amp;sheet=U0&amp;row=1494&amp;col=6&amp;number=4&amp;sourceID=14","4")</f>
        <v>4</v>
      </c>
      <c r="G1494" s="4" t="str">
        <f>HYPERLINK("http://141.218.60.56/~jnz1568/getInfo.php?workbook=18_08.xlsx&amp;sheet=U0&amp;row=1494&amp;col=7&amp;number=0.00994&amp;sourceID=14","0.00994")</f>
        <v>0.00994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HYPERLINK("http://141.218.60.56/~jnz1568/getInfo.php?workbook=18_08.xlsx&amp;sheet=U0&amp;row=1495&amp;col=6&amp;number=4.1&amp;sourceID=14","4.1")</f>
        <v>4.1</v>
      </c>
      <c r="G1495" s="4" t="str">
        <f>HYPERLINK("http://141.218.60.56/~jnz1568/getInfo.php?workbook=18_08.xlsx&amp;sheet=U0&amp;row=1495&amp;col=7&amp;number=0.00993&amp;sourceID=14","0.00993")</f>
        <v>0.00993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HYPERLINK("http://141.218.60.56/~jnz1568/getInfo.php?workbook=18_08.xlsx&amp;sheet=U0&amp;row=1496&amp;col=6&amp;number=4.2&amp;sourceID=14","4.2")</f>
        <v>4.2</v>
      </c>
      <c r="G1496" s="4" t="str">
        <f>HYPERLINK("http://141.218.60.56/~jnz1568/getInfo.php?workbook=18_08.xlsx&amp;sheet=U0&amp;row=1496&amp;col=7&amp;number=0.00992&amp;sourceID=14","0.00992")</f>
        <v>0.00992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HYPERLINK("http://141.218.60.56/~jnz1568/getInfo.php?workbook=18_08.xlsx&amp;sheet=U0&amp;row=1497&amp;col=6&amp;number=4.3&amp;sourceID=14","4.3")</f>
        <v>4.3</v>
      </c>
      <c r="G1497" s="4" t="str">
        <f>HYPERLINK("http://141.218.60.56/~jnz1568/getInfo.php?workbook=18_08.xlsx&amp;sheet=U0&amp;row=1497&amp;col=7&amp;number=0.00992&amp;sourceID=14","0.00992")</f>
        <v>0.00992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HYPERLINK("http://141.218.60.56/~jnz1568/getInfo.php?workbook=18_08.xlsx&amp;sheet=U0&amp;row=1498&amp;col=6&amp;number=4.4&amp;sourceID=14","4.4")</f>
        <v>4.4</v>
      </c>
      <c r="G1498" s="4" t="str">
        <f>HYPERLINK("http://141.218.60.56/~jnz1568/getInfo.php?workbook=18_08.xlsx&amp;sheet=U0&amp;row=1498&amp;col=7&amp;number=0.00991&amp;sourceID=14","0.00991")</f>
        <v>0.00991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HYPERLINK("http://141.218.60.56/~jnz1568/getInfo.php?workbook=18_08.xlsx&amp;sheet=U0&amp;row=1499&amp;col=6&amp;number=4.5&amp;sourceID=14","4.5")</f>
        <v>4.5</v>
      </c>
      <c r="G1499" s="4" t="str">
        <f>HYPERLINK("http://141.218.60.56/~jnz1568/getInfo.php?workbook=18_08.xlsx&amp;sheet=U0&amp;row=1499&amp;col=7&amp;number=0.00989&amp;sourceID=14","0.00989")</f>
        <v>0.00989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HYPERLINK("http://141.218.60.56/~jnz1568/getInfo.php?workbook=18_08.xlsx&amp;sheet=U0&amp;row=1500&amp;col=6&amp;number=4.6&amp;sourceID=14","4.6")</f>
        <v>4.6</v>
      </c>
      <c r="G1500" s="4" t="str">
        <f>HYPERLINK("http://141.218.60.56/~jnz1568/getInfo.php?workbook=18_08.xlsx&amp;sheet=U0&amp;row=1500&amp;col=7&amp;number=0.00988&amp;sourceID=14","0.00988")</f>
        <v>0.00988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HYPERLINK("http://141.218.60.56/~jnz1568/getInfo.php?workbook=18_08.xlsx&amp;sheet=U0&amp;row=1501&amp;col=6&amp;number=4.7&amp;sourceID=14","4.7")</f>
        <v>4.7</v>
      </c>
      <c r="G1501" s="4" t="str">
        <f>HYPERLINK("http://141.218.60.56/~jnz1568/getInfo.php?workbook=18_08.xlsx&amp;sheet=U0&amp;row=1501&amp;col=7&amp;number=0.00986&amp;sourceID=14","0.00986")</f>
        <v>0.00986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HYPERLINK("http://141.218.60.56/~jnz1568/getInfo.php?workbook=18_08.xlsx&amp;sheet=U0&amp;row=1502&amp;col=6&amp;number=4.8&amp;sourceID=14","4.8")</f>
        <v>4.8</v>
      </c>
      <c r="G1502" s="4" t="str">
        <f>HYPERLINK("http://141.218.60.56/~jnz1568/getInfo.php?workbook=18_08.xlsx&amp;sheet=U0&amp;row=1502&amp;col=7&amp;number=0.00983&amp;sourceID=14","0.00983")</f>
        <v>0.00983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HYPERLINK("http://141.218.60.56/~jnz1568/getInfo.php?workbook=18_08.xlsx&amp;sheet=U0&amp;row=1503&amp;col=6&amp;number=4.9&amp;sourceID=14","4.9")</f>
        <v>4.9</v>
      </c>
      <c r="G1503" s="4" t="str">
        <f>HYPERLINK("http://141.218.60.56/~jnz1568/getInfo.php?workbook=18_08.xlsx&amp;sheet=U0&amp;row=1503&amp;col=7&amp;number=0.0098&amp;sourceID=14","0.0098")</f>
        <v>0.0098</v>
      </c>
    </row>
    <row r="1504" spans="1:7">
      <c r="A1504" s="3">
        <v>18</v>
      </c>
      <c r="B1504" s="3">
        <v>8</v>
      </c>
      <c r="C1504" s="3" t="s">
        <v>52</v>
      </c>
      <c r="D1504" s="3">
        <v>7</v>
      </c>
      <c r="E1504" s="3">
        <v>1</v>
      </c>
      <c r="F1504" s="4" t="str">
        <f>HYPERLINK("http://141.218.60.56/~jnz1568/getInfo.php?workbook=18_08.xlsx&amp;sheet=U0&amp;row=1504&amp;col=6&amp;number=3&amp;sourceID=14","3")</f>
        <v>3</v>
      </c>
      <c r="G1504" s="4" t="str">
        <f>HYPERLINK("http://141.218.60.56/~jnz1568/getInfo.php?workbook=18_08.xlsx&amp;sheet=U0&amp;row=1504&amp;col=7&amp;number=0.0123&amp;sourceID=14","0.0123")</f>
        <v>0.0123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HYPERLINK("http://141.218.60.56/~jnz1568/getInfo.php?workbook=18_08.xlsx&amp;sheet=U0&amp;row=1505&amp;col=6&amp;number=3.1&amp;sourceID=14","3.1")</f>
        <v>3.1</v>
      </c>
      <c r="G1505" s="4" t="str">
        <f>HYPERLINK("http://141.218.60.56/~jnz1568/getInfo.php?workbook=18_08.xlsx&amp;sheet=U0&amp;row=1505&amp;col=7&amp;number=0.0123&amp;sourceID=14","0.0123")</f>
        <v>0.0123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HYPERLINK("http://141.218.60.56/~jnz1568/getInfo.php?workbook=18_08.xlsx&amp;sheet=U0&amp;row=1506&amp;col=6&amp;number=3.2&amp;sourceID=14","3.2")</f>
        <v>3.2</v>
      </c>
      <c r="G1506" s="4" t="str">
        <f>HYPERLINK("http://141.218.60.56/~jnz1568/getInfo.php?workbook=18_08.xlsx&amp;sheet=U0&amp;row=1506&amp;col=7&amp;number=0.0123&amp;sourceID=14","0.0123")</f>
        <v>0.0123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HYPERLINK("http://141.218.60.56/~jnz1568/getInfo.php?workbook=18_08.xlsx&amp;sheet=U0&amp;row=1507&amp;col=6&amp;number=3.3&amp;sourceID=14","3.3")</f>
        <v>3.3</v>
      </c>
      <c r="G1507" s="4" t="str">
        <f>HYPERLINK("http://141.218.60.56/~jnz1568/getInfo.php?workbook=18_08.xlsx&amp;sheet=U0&amp;row=1507&amp;col=7&amp;number=0.0123&amp;sourceID=14","0.0123")</f>
        <v>0.0123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HYPERLINK("http://141.218.60.56/~jnz1568/getInfo.php?workbook=18_08.xlsx&amp;sheet=U0&amp;row=1508&amp;col=6&amp;number=3.4&amp;sourceID=14","3.4")</f>
        <v>3.4</v>
      </c>
      <c r="G1508" s="4" t="str">
        <f>HYPERLINK("http://141.218.60.56/~jnz1568/getInfo.php?workbook=18_08.xlsx&amp;sheet=U0&amp;row=1508&amp;col=7&amp;number=0.0123&amp;sourceID=14","0.0123")</f>
        <v>0.0123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HYPERLINK("http://141.218.60.56/~jnz1568/getInfo.php?workbook=18_08.xlsx&amp;sheet=U0&amp;row=1509&amp;col=6&amp;number=3.5&amp;sourceID=14","3.5")</f>
        <v>3.5</v>
      </c>
      <c r="G1509" s="4" t="str">
        <f>HYPERLINK("http://141.218.60.56/~jnz1568/getInfo.php?workbook=18_08.xlsx&amp;sheet=U0&amp;row=1509&amp;col=7&amp;number=0.0123&amp;sourceID=14","0.0123")</f>
        <v>0.0123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HYPERLINK("http://141.218.60.56/~jnz1568/getInfo.php?workbook=18_08.xlsx&amp;sheet=U0&amp;row=1510&amp;col=6&amp;number=3.6&amp;sourceID=14","3.6")</f>
        <v>3.6</v>
      </c>
      <c r="G1510" s="4" t="str">
        <f>HYPERLINK("http://141.218.60.56/~jnz1568/getInfo.php?workbook=18_08.xlsx&amp;sheet=U0&amp;row=1510&amp;col=7&amp;number=0.0123&amp;sourceID=14","0.0123")</f>
        <v>0.0123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HYPERLINK("http://141.218.60.56/~jnz1568/getInfo.php?workbook=18_08.xlsx&amp;sheet=U0&amp;row=1511&amp;col=6&amp;number=3.7&amp;sourceID=14","3.7")</f>
        <v>3.7</v>
      </c>
      <c r="G1511" s="4" t="str">
        <f>HYPERLINK("http://141.218.60.56/~jnz1568/getInfo.php?workbook=18_08.xlsx&amp;sheet=U0&amp;row=1511&amp;col=7&amp;number=0.0123&amp;sourceID=14","0.0123")</f>
        <v>0.0123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HYPERLINK("http://141.218.60.56/~jnz1568/getInfo.php?workbook=18_08.xlsx&amp;sheet=U0&amp;row=1512&amp;col=6&amp;number=3.8&amp;sourceID=14","3.8")</f>
        <v>3.8</v>
      </c>
      <c r="G1512" s="4" t="str">
        <f>HYPERLINK("http://141.218.60.56/~jnz1568/getInfo.php?workbook=18_08.xlsx&amp;sheet=U0&amp;row=1512&amp;col=7&amp;number=0.0124&amp;sourceID=14","0.0124")</f>
        <v>0.0124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HYPERLINK("http://141.218.60.56/~jnz1568/getInfo.php?workbook=18_08.xlsx&amp;sheet=U0&amp;row=1513&amp;col=6&amp;number=3.9&amp;sourceID=14","3.9")</f>
        <v>3.9</v>
      </c>
      <c r="G1513" s="4" t="str">
        <f>HYPERLINK("http://141.218.60.56/~jnz1568/getInfo.php?workbook=18_08.xlsx&amp;sheet=U0&amp;row=1513&amp;col=7&amp;number=0.0124&amp;sourceID=14","0.0124")</f>
        <v>0.0124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HYPERLINK("http://141.218.60.56/~jnz1568/getInfo.php?workbook=18_08.xlsx&amp;sheet=U0&amp;row=1514&amp;col=6&amp;number=4&amp;sourceID=14","4")</f>
        <v>4</v>
      </c>
      <c r="G1514" s="4" t="str">
        <f>HYPERLINK("http://141.218.60.56/~jnz1568/getInfo.php?workbook=18_08.xlsx&amp;sheet=U0&amp;row=1514&amp;col=7&amp;number=0.0124&amp;sourceID=14","0.0124")</f>
        <v>0.0124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HYPERLINK("http://141.218.60.56/~jnz1568/getInfo.php?workbook=18_08.xlsx&amp;sheet=U0&amp;row=1515&amp;col=6&amp;number=4.1&amp;sourceID=14","4.1")</f>
        <v>4.1</v>
      </c>
      <c r="G1515" s="4" t="str">
        <f>HYPERLINK("http://141.218.60.56/~jnz1568/getInfo.php?workbook=18_08.xlsx&amp;sheet=U0&amp;row=1515&amp;col=7&amp;number=0.0124&amp;sourceID=14","0.0124")</f>
        <v>0.0124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HYPERLINK("http://141.218.60.56/~jnz1568/getInfo.php?workbook=18_08.xlsx&amp;sheet=U0&amp;row=1516&amp;col=6&amp;number=4.2&amp;sourceID=14","4.2")</f>
        <v>4.2</v>
      </c>
      <c r="G1516" s="4" t="str">
        <f>HYPERLINK("http://141.218.60.56/~jnz1568/getInfo.php?workbook=18_08.xlsx&amp;sheet=U0&amp;row=1516&amp;col=7&amp;number=0.0124&amp;sourceID=14","0.0124")</f>
        <v>0.0124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HYPERLINK("http://141.218.60.56/~jnz1568/getInfo.php?workbook=18_08.xlsx&amp;sheet=U0&amp;row=1517&amp;col=6&amp;number=4.3&amp;sourceID=14","4.3")</f>
        <v>4.3</v>
      </c>
      <c r="G1517" s="4" t="str">
        <f>HYPERLINK("http://141.218.60.56/~jnz1568/getInfo.php?workbook=18_08.xlsx&amp;sheet=U0&amp;row=1517&amp;col=7&amp;number=0.0124&amp;sourceID=14","0.0124")</f>
        <v>0.0124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HYPERLINK("http://141.218.60.56/~jnz1568/getInfo.php?workbook=18_08.xlsx&amp;sheet=U0&amp;row=1518&amp;col=6&amp;number=4.4&amp;sourceID=14","4.4")</f>
        <v>4.4</v>
      </c>
      <c r="G1518" s="4" t="str">
        <f>HYPERLINK("http://141.218.60.56/~jnz1568/getInfo.php?workbook=18_08.xlsx&amp;sheet=U0&amp;row=1518&amp;col=7&amp;number=0.0124&amp;sourceID=14","0.0124")</f>
        <v>0.0124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HYPERLINK("http://141.218.60.56/~jnz1568/getInfo.php?workbook=18_08.xlsx&amp;sheet=U0&amp;row=1519&amp;col=6&amp;number=4.5&amp;sourceID=14","4.5")</f>
        <v>4.5</v>
      </c>
      <c r="G1519" s="4" t="str">
        <f>HYPERLINK("http://141.218.60.56/~jnz1568/getInfo.php?workbook=18_08.xlsx&amp;sheet=U0&amp;row=1519&amp;col=7&amp;number=0.0124&amp;sourceID=14","0.0124")</f>
        <v>0.0124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HYPERLINK("http://141.218.60.56/~jnz1568/getInfo.php?workbook=18_08.xlsx&amp;sheet=U0&amp;row=1520&amp;col=6&amp;number=4.6&amp;sourceID=14","4.6")</f>
        <v>4.6</v>
      </c>
      <c r="G1520" s="4" t="str">
        <f>HYPERLINK("http://141.218.60.56/~jnz1568/getInfo.php?workbook=18_08.xlsx&amp;sheet=U0&amp;row=1520&amp;col=7&amp;number=0.0124&amp;sourceID=14","0.0124")</f>
        <v>0.0124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HYPERLINK("http://141.218.60.56/~jnz1568/getInfo.php?workbook=18_08.xlsx&amp;sheet=U0&amp;row=1521&amp;col=6&amp;number=4.7&amp;sourceID=14","4.7")</f>
        <v>4.7</v>
      </c>
      <c r="G1521" s="4" t="str">
        <f>HYPERLINK("http://141.218.60.56/~jnz1568/getInfo.php?workbook=18_08.xlsx&amp;sheet=U0&amp;row=1521&amp;col=7&amp;number=0.0124&amp;sourceID=14","0.0124")</f>
        <v>0.0124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HYPERLINK("http://141.218.60.56/~jnz1568/getInfo.php?workbook=18_08.xlsx&amp;sheet=U0&amp;row=1522&amp;col=6&amp;number=4.8&amp;sourceID=14","4.8")</f>
        <v>4.8</v>
      </c>
      <c r="G1522" s="4" t="str">
        <f>HYPERLINK("http://141.218.60.56/~jnz1568/getInfo.php?workbook=18_08.xlsx&amp;sheet=U0&amp;row=1522&amp;col=7&amp;number=0.0124&amp;sourceID=14","0.0124")</f>
        <v>0.0124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HYPERLINK("http://141.218.60.56/~jnz1568/getInfo.php?workbook=18_08.xlsx&amp;sheet=U0&amp;row=1523&amp;col=6&amp;number=4.9&amp;sourceID=14","4.9")</f>
        <v>4.9</v>
      </c>
      <c r="G1523" s="4" t="str">
        <f>HYPERLINK("http://141.218.60.56/~jnz1568/getInfo.php?workbook=18_08.xlsx&amp;sheet=U0&amp;row=1523&amp;col=7&amp;number=0.0125&amp;sourceID=14","0.0125")</f>
        <v>0.0125</v>
      </c>
    </row>
    <row r="1524" spans="1:7">
      <c r="A1524" s="3">
        <v>18</v>
      </c>
      <c r="B1524" s="3">
        <v>8</v>
      </c>
      <c r="C1524" s="3" t="s">
        <v>52</v>
      </c>
      <c r="D1524" s="3">
        <v>8</v>
      </c>
      <c r="E1524" s="3">
        <v>1</v>
      </c>
      <c r="F1524" s="4" t="str">
        <f>HYPERLINK("http://141.218.60.56/~jnz1568/getInfo.php?workbook=18_08.xlsx&amp;sheet=U0&amp;row=1524&amp;col=6&amp;number=3&amp;sourceID=14","3")</f>
        <v>3</v>
      </c>
      <c r="G1524" s="4" t="str">
        <f>HYPERLINK("http://141.218.60.56/~jnz1568/getInfo.php?workbook=18_08.xlsx&amp;sheet=U0&amp;row=1524&amp;col=7&amp;number=0.0012&amp;sourceID=14","0.0012")</f>
        <v>0.0012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HYPERLINK("http://141.218.60.56/~jnz1568/getInfo.php?workbook=18_08.xlsx&amp;sheet=U0&amp;row=1525&amp;col=6&amp;number=3.1&amp;sourceID=14","3.1")</f>
        <v>3.1</v>
      </c>
      <c r="G1525" s="4" t="str">
        <f>HYPERLINK("http://141.218.60.56/~jnz1568/getInfo.php?workbook=18_08.xlsx&amp;sheet=U0&amp;row=1525&amp;col=7&amp;number=0.0012&amp;sourceID=14","0.0012")</f>
        <v>0.0012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HYPERLINK("http://141.218.60.56/~jnz1568/getInfo.php?workbook=18_08.xlsx&amp;sheet=U0&amp;row=1526&amp;col=6&amp;number=3.2&amp;sourceID=14","3.2")</f>
        <v>3.2</v>
      </c>
      <c r="G1526" s="4" t="str">
        <f>HYPERLINK("http://141.218.60.56/~jnz1568/getInfo.php?workbook=18_08.xlsx&amp;sheet=U0&amp;row=1526&amp;col=7&amp;number=0.0012&amp;sourceID=14","0.0012")</f>
        <v>0.0012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HYPERLINK("http://141.218.60.56/~jnz1568/getInfo.php?workbook=18_08.xlsx&amp;sheet=U0&amp;row=1527&amp;col=6&amp;number=3.3&amp;sourceID=14","3.3")</f>
        <v>3.3</v>
      </c>
      <c r="G1527" s="4" t="str">
        <f>HYPERLINK("http://141.218.60.56/~jnz1568/getInfo.php?workbook=18_08.xlsx&amp;sheet=U0&amp;row=1527&amp;col=7&amp;number=0.0012&amp;sourceID=14","0.0012")</f>
        <v>0.0012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HYPERLINK("http://141.218.60.56/~jnz1568/getInfo.php?workbook=18_08.xlsx&amp;sheet=U0&amp;row=1528&amp;col=6&amp;number=3.4&amp;sourceID=14","3.4")</f>
        <v>3.4</v>
      </c>
      <c r="G1528" s="4" t="str">
        <f>HYPERLINK("http://141.218.60.56/~jnz1568/getInfo.php?workbook=18_08.xlsx&amp;sheet=U0&amp;row=1528&amp;col=7&amp;number=0.0012&amp;sourceID=14","0.0012")</f>
        <v>0.0012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HYPERLINK("http://141.218.60.56/~jnz1568/getInfo.php?workbook=18_08.xlsx&amp;sheet=U0&amp;row=1529&amp;col=6&amp;number=3.5&amp;sourceID=14","3.5")</f>
        <v>3.5</v>
      </c>
      <c r="G1529" s="4" t="str">
        <f>HYPERLINK("http://141.218.60.56/~jnz1568/getInfo.php?workbook=18_08.xlsx&amp;sheet=U0&amp;row=1529&amp;col=7&amp;number=0.0012&amp;sourceID=14","0.0012")</f>
        <v>0.0012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HYPERLINK("http://141.218.60.56/~jnz1568/getInfo.php?workbook=18_08.xlsx&amp;sheet=U0&amp;row=1530&amp;col=6&amp;number=3.6&amp;sourceID=14","3.6")</f>
        <v>3.6</v>
      </c>
      <c r="G1530" s="4" t="str">
        <f>HYPERLINK("http://141.218.60.56/~jnz1568/getInfo.php?workbook=18_08.xlsx&amp;sheet=U0&amp;row=1530&amp;col=7&amp;number=0.0012&amp;sourceID=14","0.0012")</f>
        <v>0.0012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HYPERLINK("http://141.218.60.56/~jnz1568/getInfo.php?workbook=18_08.xlsx&amp;sheet=U0&amp;row=1531&amp;col=6&amp;number=3.7&amp;sourceID=14","3.7")</f>
        <v>3.7</v>
      </c>
      <c r="G1531" s="4" t="str">
        <f>HYPERLINK("http://141.218.60.56/~jnz1568/getInfo.php?workbook=18_08.xlsx&amp;sheet=U0&amp;row=1531&amp;col=7&amp;number=0.0012&amp;sourceID=14","0.0012")</f>
        <v>0.0012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HYPERLINK("http://141.218.60.56/~jnz1568/getInfo.php?workbook=18_08.xlsx&amp;sheet=U0&amp;row=1532&amp;col=6&amp;number=3.8&amp;sourceID=14","3.8")</f>
        <v>3.8</v>
      </c>
      <c r="G1532" s="4" t="str">
        <f>HYPERLINK("http://141.218.60.56/~jnz1568/getInfo.php?workbook=18_08.xlsx&amp;sheet=U0&amp;row=1532&amp;col=7&amp;number=0.0012&amp;sourceID=14","0.0012")</f>
        <v>0.0012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HYPERLINK("http://141.218.60.56/~jnz1568/getInfo.php?workbook=18_08.xlsx&amp;sheet=U0&amp;row=1533&amp;col=6&amp;number=3.9&amp;sourceID=14","3.9")</f>
        <v>3.9</v>
      </c>
      <c r="G1533" s="4" t="str">
        <f>HYPERLINK("http://141.218.60.56/~jnz1568/getInfo.php?workbook=18_08.xlsx&amp;sheet=U0&amp;row=1533&amp;col=7&amp;number=0.0012&amp;sourceID=14","0.0012")</f>
        <v>0.0012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HYPERLINK("http://141.218.60.56/~jnz1568/getInfo.php?workbook=18_08.xlsx&amp;sheet=U0&amp;row=1534&amp;col=6&amp;number=4&amp;sourceID=14","4")</f>
        <v>4</v>
      </c>
      <c r="G1534" s="4" t="str">
        <f>HYPERLINK("http://141.218.60.56/~jnz1568/getInfo.php?workbook=18_08.xlsx&amp;sheet=U0&amp;row=1534&amp;col=7&amp;number=0.0012&amp;sourceID=14","0.0012")</f>
        <v>0.0012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HYPERLINK("http://141.218.60.56/~jnz1568/getInfo.php?workbook=18_08.xlsx&amp;sheet=U0&amp;row=1535&amp;col=6&amp;number=4.1&amp;sourceID=14","4.1")</f>
        <v>4.1</v>
      </c>
      <c r="G1535" s="4" t="str">
        <f>HYPERLINK("http://141.218.60.56/~jnz1568/getInfo.php?workbook=18_08.xlsx&amp;sheet=U0&amp;row=1535&amp;col=7&amp;number=0.0012&amp;sourceID=14","0.0012")</f>
        <v>0.0012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HYPERLINK("http://141.218.60.56/~jnz1568/getInfo.php?workbook=18_08.xlsx&amp;sheet=U0&amp;row=1536&amp;col=6&amp;number=4.2&amp;sourceID=14","4.2")</f>
        <v>4.2</v>
      </c>
      <c r="G1536" s="4" t="str">
        <f>HYPERLINK("http://141.218.60.56/~jnz1568/getInfo.php?workbook=18_08.xlsx&amp;sheet=U0&amp;row=1536&amp;col=7&amp;number=0.0012&amp;sourceID=14","0.0012")</f>
        <v>0.0012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HYPERLINK("http://141.218.60.56/~jnz1568/getInfo.php?workbook=18_08.xlsx&amp;sheet=U0&amp;row=1537&amp;col=6&amp;number=4.3&amp;sourceID=14","4.3")</f>
        <v>4.3</v>
      </c>
      <c r="G1537" s="4" t="str">
        <f>HYPERLINK("http://141.218.60.56/~jnz1568/getInfo.php?workbook=18_08.xlsx&amp;sheet=U0&amp;row=1537&amp;col=7&amp;number=0.0012&amp;sourceID=14","0.0012")</f>
        <v>0.0012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HYPERLINK("http://141.218.60.56/~jnz1568/getInfo.php?workbook=18_08.xlsx&amp;sheet=U0&amp;row=1538&amp;col=6&amp;number=4.4&amp;sourceID=14","4.4")</f>
        <v>4.4</v>
      </c>
      <c r="G1538" s="4" t="str">
        <f>HYPERLINK("http://141.218.60.56/~jnz1568/getInfo.php?workbook=18_08.xlsx&amp;sheet=U0&amp;row=1538&amp;col=7&amp;number=0.00119&amp;sourceID=14","0.00119")</f>
        <v>0.00119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HYPERLINK("http://141.218.60.56/~jnz1568/getInfo.php?workbook=18_08.xlsx&amp;sheet=U0&amp;row=1539&amp;col=6&amp;number=4.5&amp;sourceID=14","4.5")</f>
        <v>4.5</v>
      </c>
      <c r="G1539" s="4" t="str">
        <f>HYPERLINK("http://141.218.60.56/~jnz1568/getInfo.php?workbook=18_08.xlsx&amp;sheet=U0&amp;row=1539&amp;col=7&amp;number=0.00119&amp;sourceID=14","0.00119")</f>
        <v>0.00119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HYPERLINK("http://141.218.60.56/~jnz1568/getInfo.php?workbook=18_08.xlsx&amp;sheet=U0&amp;row=1540&amp;col=6&amp;number=4.6&amp;sourceID=14","4.6")</f>
        <v>4.6</v>
      </c>
      <c r="G1540" s="4" t="str">
        <f>HYPERLINK("http://141.218.60.56/~jnz1568/getInfo.php?workbook=18_08.xlsx&amp;sheet=U0&amp;row=1540&amp;col=7&amp;number=0.00119&amp;sourceID=14","0.00119")</f>
        <v>0.00119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HYPERLINK("http://141.218.60.56/~jnz1568/getInfo.php?workbook=18_08.xlsx&amp;sheet=U0&amp;row=1541&amp;col=6&amp;number=4.7&amp;sourceID=14","4.7")</f>
        <v>4.7</v>
      </c>
      <c r="G1541" s="4" t="str">
        <f>HYPERLINK("http://141.218.60.56/~jnz1568/getInfo.php?workbook=18_08.xlsx&amp;sheet=U0&amp;row=1541&amp;col=7&amp;number=0.00119&amp;sourceID=14","0.00119")</f>
        <v>0.00119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HYPERLINK("http://141.218.60.56/~jnz1568/getInfo.php?workbook=18_08.xlsx&amp;sheet=U0&amp;row=1542&amp;col=6&amp;number=4.8&amp;sourceID=14","4.8")</f>
        <v>4.8</v>
      </c>
      <c r="G1542" s="4" t="str">
        <f>HYPERLINK("http://141.218.60.56/~jnz1568/getInfo.php?workbook=18_08.xlsx&amp;sheet=U0&amp;row=1542&amp;col=7&amp;number=0.00118&amp;sourceID=14","0.00118")</f>
        <v>0.00118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HYPERLINK("http://141.218.60.56/~jnz1568/getInfo.php?workbook=18_08.xlsx&amp;sheet=U0&amp;row=1543&amp;col=6&amp;number=4.9&amp;sourceID=14","4.9")</f>
        <v>4.9</v>
      </c>
      <c r="G1543" s="4" t="str">
        <f>HYPERLINK("http://141.218.60.56/~jnz1568/getInfo.php?workbook=18_08.xlsx&amp;sheet=U0&amp;row=1543&amp;col=7&amp;number=0.00118&amp;sourceID=14","0.00118")</f>
        <v>0.00118</v>
      </c>
    </row>
    <row r="1544" spans="1:7">
      <c r="A1544" s="3">
        <v>18</v>
      </c>
      <c r="B1544" s="3">
        <v>8</v>
      </c>
      <c r="C1544" s="3" t="s">
        <v>52</v>
      </c>
      <c r="D1544" s="3">
        <v>9</v>
      </c>
      <c r="E1544" s="3">
        <v>1</v>
      </c>
      <c r="F1544" s="4" t="str">
        <f>HYPERLINK("http://141.218.60.56/~jnz1568/getInfo.php?workbook=18_08.xlsx&amp;sheet=U0&amp;row=1544&amp;col=6&amp;number=3&amp;sourceID=14","3")</f>
        <v>3</v>
      </c>
      <c r="G1544" s="4" t="str">
        <f>HYPERLINK("http://141.218.60.56/~jnz1568/getInfo.php?workbook=18_08.xlsx&amp;sheet=U0&amp;row=1544&amp;col=7&amp;number=0.00511&amp;sourceID=14","0.00511")</f>
        <v>0.00511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HYPERLINK("http://141.218.60.56/~jnz1568/getInfo.php?workbook=18_08.xlsx&amp;sheet=U0&amp;row=1545&amp;col=6&amp;number=3.1&amp;sourceID=14","3.1")</f>
        <v>3.1</v>
      </c>
      <c r="G1545" s="4" t="str">
        <f>HYPERLINK("http://141.218.60.56/~jnz1568/getInfo.php?workbook=18_08.xlsx&amp;sheet=U0&amp;row=1545&amp;col=7&amp;number=0.00511&amp;sourceID=14","0.00511")</f>
        <v>0.00511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HYPERLINK("http://141.218.60.56/~jnz1568/getInfo.php?workbook=18_08.xlsx&amp;sheet=U0&amp;row=1546&amp;col=6&amp;number=3.2&amp;sourceID=14","3.2")</f>
        <v>3.2</v>
      </c>
      <c r="G1546" s="4" t="str">
        <f>HYPERLINK("http://141.218.60.56/~jnz1568/getInfo.php?workbook=18_08.xlsx&amp;sheet=U0&amp;row=1546&amp;col=7&amp;number=0.00511&amp;sourceID=14","0.00511")</f>
        <v>0.00511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HYPERLINK("http://141.218.60.56/~jnz1568/getInfo.php?workbook=18_08.xlsx&amp;sheet=U0&amp;row=1547&amp;col=6&amp;number=3.3&amp;sourceID=14","3.3")</f>
        <v>3.3</v>
      </c>
      <c r="G1547" s="4" t="str">
        <f>HYPERLINK("http://141.218.60.56/~jnz1568/getInfo.php?workbook=18_08.xlsx&amp;sheet=U0&amp;row=1547&amp;col=7&amp;number=0.00511&amp;sourceID=14","0.00511")</f>
        <v>0.00511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HYPERLINK("http://141.218.60.56/~jnz1568/getInfo.php?workbook=18_08.xlsx&amp;sheet=U0&amp;row=1548&amp;col=6&amp;number=3.4&amp;sourceID=14","3.4")</f>
        <v>3.4</v>
      </c>
      <c r="G1548" s="4" t="str">
        <f>HYPERLINK("http://141.218.60.56/~jnz1568/getInfo.php?workbook=18_08.xlsx&amp;sheet=U0&amp;row=1548&amp;col=7&amp;number=0.00511&amp;sourceID=14","0.00511")</f>
        <v>0.00511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HYPERLINK("http://141.218.60.56/~jnz1568/getInfo.php?workbook=18_08.xlsx&amp;sheet=U0&amp;row=1549&amp;col=6&amp;number=3.5&amp;sourceID=14","3.5")</f>
        <v>3.5</v>
      </c>
      <c r="G1549" s="4" t="str">
        <f>HYPERLINK("http://141.218.60.56/~jnz1568/getInfo.php?workbook=18_08.xlsx&amp;sheet=U0&amp;row=1549&amp;col=7&amp;number=0.00511&amp;sourceID=14","0.00511")</f>
        <v>0.00511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HYPERLINK("http://141.218.60.56/~jnz1568/getInfo.php?workbook=18_08.xlsx&amp;sheet=U0&amp;row=1550&amp;col=6&amp;number=3.6&amp;sourceID=14","3.6")</f>
        <v>3.6</v>
      </c>
      <c r="G1550" s="4" t="str">
        <f>HYPERLINK("http://141.218.60.56/~jnz1568/getInfo.php?workbook=18_08.xlsx&amp;sheet=U0&amp;row=1550&amp;col=7&amp;number=0.00511&amp;sourceID=14","0.00511")</f>
        <v>0.00511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HYPERLINK("http://141.218.60.56/~jnz1568/getInfo.php?workbook=18_08.xlsx&amp;sheet=U0&amp;row=1551&amp;col=6&amp;number=3.7&amp;sourceID=14","3.7")</f>
        <v>3.7</v>
      </c>
      <c r="G1551" s="4" t="str">
        <f>HYPERLINK("http://141.218.60.56/~jnz1568/getInfo.php?workbook=18_08.xlsx&amp;sheet=U0&amp;row=1551&amp;col=7&amp;number=0.00511&amp;sourceID=14","0.00511")</f>
        <v>0.00511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HYPERLINK("http://141.218.60.56/~jnz1568/getInfo.php?workbook=18_08.xlsx&amp;sheet=U0&amp;row=1552&amp;col=6&amp;number=3.8&amp;sourceID=14","3.8")</f>
        <v>3.8</v>
      </c>
      <c r="G1552" s="4" t="str">
        <f>HYPERLINK("http://141.218.60.56/~jnz1568/getInfo.php?workbook=18_08.xlsx&amp;sheet=U0&amp;row=1552&amp;col=7&amp;number=0.00511&amp;sourceID=14","0.00511")</f>
        <v>0.00511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HYPERLINK("http://141.218.60.56/~jnz1568/getInfo.php?workbook=18_08.xlsx&amp;sheet=U0&amp;row=1553&amp;col=6&amp;number=3.9&amp;sourceID=14","3.9")</f>
        <v>3.9</v>
      </c>
      <c r="G1553" s="4" t="str">
        <f>HYPERLINK("http://141.218.60.56/~jnz1568/getInfo.php?workbook=18_08.xlsx&amp;sheet=U0&amp;row=1553&amp;col=7&amp;number=0.00511&amp;sourceID=14","0.00511")</f>
        <v>0.00511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HYPERLINK("http://141.218.60.56/~jnz1568/getInfo.php?workbook=18_08.xlsx&amp;sheet=U0&amp;row=1554&amp;col=6&amp;number=4&amp;sourceID=14","4")</f>
        <v>4</v>
      </c>
      <c r="G1554" s="4" t="str">
        <f>HYPERLINK("http://141.218.60.56/~jnz1568/getInfo.php?workbook=18_08.xlsx&amp;sheet=U0&amp;row=1554&amp;col=7&amp;number=0.00511&amp;sourceID=14","0.00511")</f>
        <v>0.00511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HYPERLINK("http://141.218.60.56/~jnz1568/getInfo.php?workbook=18_08.xlsx&amp;sheet=U0&amp;row=1555&amp;col=6&amp;number=4.1&amp;sourceID=14","4.1")</f>
        <v>4.1</v>
      </c>
      <c r="G1555" s="4" t="str">
        <f>HYPERLINK("http://141.218.60.56/~jnz1568/getInfo.php?workbook=18_08.xlsx&amp;sheet=U0&amp;row=1555&amp;col=7&amp;number=0.00511&amp;sourceID=14","0.00511")</f>
        <v>0.00511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HYPERLINK("http://141.218.60.56/~jnz1568/getInfo.php?workbook=18_08.xlsx&amp;sheet=U0&amp;row=1556&amp;col=6&amp;number=4.2&amp;sourceID=14","4.2")</f>
        <v>4.2</v>
      </c>
      <c r="G1556" s="4" t="str">
        <f>HYPERLINK("http://141.218.60.56/~jnz1568/getInfo.php?workbook=18_08.xlsx&amp;sheet=U0&amp;row=1556&amp;col=7&amp;number=0.00511&amp;sourceID=14","0.00511")</f>
        <v>0.00511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HYPERLINK("http://141.218.60.56/~jnz1568/getInfo.php?workbook=18_08.xlsx&amp;sheet=U0&amp;row=1557&amp;col=6&amp;number=4.3&amp;sourceID=14","4.3")</f>
        <v>4.3</v>
      </c>
      <c r="G1557" s="4" t="str">
        <f>HYPERLINK("http://141.218.60.56/~jnz1568/getInfo.php?workbook=18_08.xlsx&amp;sheet=U0&amp;row=1557&amp;col=7&amp;number=0.00511&amp;sourceID=14","0.00511")</f>
        <v>0.00511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HYPERLINK("http://141.218.60.56/~jnz1568/getInfo.php?workbook=18_08.xlsx&amp;sheet=U0&amp;row=1558&amp;col=6&amp;number=4.4&amp;sourceID=14","4.4")</f>
        <v>4.4</v>
      </c>
      <c r="G1558" s="4" t="str">
        <f>HYPERLINK("http://141.218.60.56/~jnz1568/getInfo.php?workbook=18_08.xlsx&amp;sheet=U0&amp;row=1558&amp;col=7&amp;number=0.00511&amp;sourceID=14","0.00511")</f>
        <v>0.00511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HYPERLINK("http://141.218.60.56/~jnz1568/getInfo.php?workbook=18_08.xlsx&amp;sheet=U0&amp;row=1559&amp;col=6&amp;number=4.5&amp;sourceID=14","4.5")</f>
        <v>4.5</v>
      </c>
      <c r="G1559" s="4" t="str">
        <f>HYPERLINK("http://141.218.60.56/~jnz1568/getInfo.php?workbook=18_08.xlsx&amp;sheet=U0&amp;row=1559&amp;col=7&amp;number=0.00512&amp;sourceID=14","0.00512")</f>
        <v>0.00512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HYPERLINK("http://141.218.60.56/~jnz1568/getInfo.php?workbook=18_08.xlsx&amp;sheet=U0&amp;row=1560&amp;col=6&amp;number=4.6&amp;sourceID=14","4.6")</f>
        <v>4.6</v>
      </c>
      <c r="G1560" s="4" t="str">
        <f>HYPERLINK("http://141.218.60.56/~jnz1568/getInfo.php?workbook=18_08.xlsx&amp;sheet=U0&amp;row=1560&amp;col=7&amp;number=0.00512&amp;sourceID=14","0.00512")</f>
        <v>0.00512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HYPERLINK("http://141.218.60.56/~jnz1568/getInfo.php?workbook=18_08.xlsx&amp;sheet=U0&amp;row=1561&amp;col=6&amp;number=4.7&amp;sourceID=14","4.7")</f>
        <v>4.7</v>
      </c>
      <c r="G1561" s="4" t="str">
        <f>HYPERLINK("http://141.218.60.56/~jnz1568/getInfo.php?workbook=18_08.xlsx&amp;sheet=U0&amp;row=1561&amp;col=7&amp;number=0.00512&amp;sourceID=14","0.00512")</f>
        <v>0.00512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HYPERLINK("http://141.218.60.56/~jnz1568/getInfo.php?workbook=18_08.xlsx&amp;sheet=U0&amp;row=1562&amp;col=6&amp;number=4.8&amp;sourceID=14","4.8")</f>
        <v>4.8</v>
      </c>
      <c r="G1562" s="4" t="str">
        <f>HYPERLINK("http://141.218.60.56/~jnz1568/getInfo.php?workbook=18_08.xlsx&amp;sheet=U0&amp;row=1562&amp;col=7&amp;number=0.00512&amp;sourceID=14","0.00512")</f>
        <v>0.00512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HYPERLINK("http://141.218.60.56/~jnz1568/getInfo.php?workbook=18_08.xlsx&amp;sheet=U0&amp;row=1563&amp;col=6&amp;number=4.9&amp;sourceID=14","4.9")</f>
        <v>4.9</v>
      </c>
      <c r="G1563" s="4" t="str">
        <f>HYPERLINK("http://141.218.60.56/~jnz1568/getInfo.php?workbook=18_08.xlsx&amp;sheet=U0&amp;row=1563&amp;col=7&amp;number=0.00512&amp;sourceID=14","0.00512")</f>
        <v>0.00512</v>
      </c>
    </row>
    <row r="1564" spans="1:7">
      <c r="A1564" s="3">
        <v>18</v>
      </c>
      <c r="B1564" s="3">
        <v>8</v>
      </c>
      <c r="C1564" s="3" t="s">
        <v>53</v>
      </c>
      <c r="D1564" s="3">
        <v>0</v>
      </c>
      <c r="E1564" s="3">
        <v>1</v>
      </c>
      <c r="F1564" s="4" t="str">
        <f>HYPERLINK("http://141.218.60.56/~jnz1568/getInfo.php?workbook=18_08.xlsx&amp;sheet=U0&amp;row=1564&amp;col=6&amp;number=3&amp;sourceID=14","3")</f>
        <v>3</v>
      </c>
      <c r="G1564" s="4" t="str">
        <f>HYPERLINK("http://141.218.60.56/~jnz1568/getInfo.php?workbook=18_08.xlsx&amp;sheet=U0&amp;row=1564&amp;col=7&amp;number=0.0113&amp;sourceID=14","0.0113")</f>
        <v>0.0113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HYPERLINK("http://141.218.60.56/~jnz1568/getInfo.php?workbook=18_08.xlsx&amp;sheet=U0&amp;row=1565&amp;col=6&amp;number=3.1&amp;sourceID=14","3.1")</f>
        <v>3.1</v>
      </c>
      <c r="G1565" s="4" t="str">
        <f>HYPERLINK("http://141.218.60.56/~jnz1568/getInfo.php?workbook=18_08.xlsx&amp;sheet=U0&amp;row=1565&amp;col=7&amp;number=0.0113&amp;sourceID=14","0.0113")</f>
        <v>0.0113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HYPERLINK("http://141.218.60.56/~jnz1568/getInfo.php?workbook=18_08.xlsx&amp;sheet=U0&amp;row=1566&amp;col=6&amp;number=3.2&amp;sourceID=14","3.2")</f>
        <v>3.2</v>
      </c>
      <c r="G1566" s="4" t="str">
        <f>HYPERLINK("http://141.218.60.56/~jnz1568/getInfo.php?workbook=18_08.xlsx&amp;sheet=U0&amp;row=1566&amp;col=7&amp;number=0.0113&amp;sourceID=14","0.0113")</f>
        <v>0.0113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HYPERLINK("http://141.218.60.56/~jnz1568/getInfo.php?workbook=18_08.xlsx&amp;sheet=U0&amp;row=1567&amp;col=6&amp;number=3.3&amp;sourceID=14","3.3")</f>
        <v>3.3</v>
      </c>
      <c r="G1567" s="4" t="str">
        <f>HYPERLINK("http://141.218.60.56/~jnz1568/getInfo.php?workbook=18_08.xlsx&amp;sheet=U0&amp;row=1567&amp;col=7&amp;number=0.0113&amp;sourceID=14","0.0113")</f>
        <v>0.0113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HYPERLINK("http://141.218.60.56/~jnz1568/getInfo.php?workbook=18_08.xlsx&amp;sheet=U0&amp;row=1568&amp;col=6&amp;number=3.4&amp;sourceID=14","3.4")</f>
        <v>3.4</v>
      </c>
      <c r="G1568" s="4" t="str">
        <f>HYPERLINK("http://141.218.60.56/~jnz1568/getInfo.php?workbook=18_08.xlsx&amp;sheet=U0&amp;row=1568&amp;col=7&amp;number=0.0113&amp;sourceID=14","0.0113")</f>
        <v>0.0113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HYPERLINK("http://141.218.60.56/~jnz1568/getInfo.php?workbook=18_08.xlsx&amp;sheet=U0&amp;row=1569&amp;col=6&amp;number=3.5&amp;sourceID=14","3.5")</f>
        <v>3.5</v>
      </c>
      <c r="G1569" s="4" t="str">
        <f>HYPERLINK("http://141.218.60.56/~jnz1568/getInfo.php?workbook=18_08.xlsx&amp;sheet=U0&amp;row=1569&amp;col=7&amp;number=0.0113&amp;sourceID=14","0.0113")</f>
        <v>0.0113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HYPERLINK("http://141.218.60.56/~jnz1568/getInfo.php?workbook=18_08.xlsx&amp;sheet=U0&amp;row=1570&amp;col=6&amp;number=3.6&amp;sourceID=14","3.6")</f>
        <v>3.6</v>
      </c>
      <c r="G1570" s="4" t="str">
        <f>HYPERLINK("http://141.218.60.56/~jnz1568/getInfo.php?workbook=18_08.xlsx&amp;sheet=U0&amp;row=1570&amp;col=7&amp;number=0.0113&amp;sourceID=14","0.0113")</f>
        <v>0.0113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HYPERLINK("http://141.218.60.56/~jnz1568/getInfo.php?workbook=18_08.xlsx&amp;sheet=U0&amp;row=1571&amp;col=6&amp;number=3.7&amp;sourceID=14","3.7")</f>
        <v>3.7</v>
      </c>
      <c r="G1571" s="4" t="str">
        <f>HYPERLINK("http://141.218.60.56/~jnz1568/getInfo.php?workbook=18_08.xlsx&amp;sheet=U0&amp;row=1571&amp;col=7&amp;number=0.0113&amp;sourceID=14","0.0113")</f>
        <v>0.0113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HYPERLINK("http://141.218.60.56/~jnz1568/getInfo.php?workbook=18_08.xlsx&amp;sheet=U0&amp;row=1572&amp;col=6&amp;number=3.8&amp;sourceID=14","3.8")</f>
        <v>3.8</v>
      </c>
      <c r="G1572" s="4" t="str">
        <f>HYPERLINK("http://141.218.60.56/~jnz1568/getInfo.php?workbook=18_08.xlsx&amp;sheet=U0&amp;row=1572&amp;col=7&amp;number=0.0113&amp;sourceID=14","0.0113")</f>
        <v>0.0113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HYPERLINK("http://141.218.60.56/~jnz1568/getInfo.php?workbook=18_08.xlsx&amp;sheet=U0&amp;row=1573&amp;col=6&amp;number=3.9&amp;sourceID=14","3.9")</f>
        <v>3.9</v>
      </c>
      <c r="G1573" s="4" t="str">
        <f>HYPERLINK("http://141.218.60.56/~jnz1568/getInfo.php?workbook=18_08.xlsx&amp;sheet=U0&amp;row=1573&amp;col=7&amp;number=0.0113&amp;sourceID=14","0.0113")</f>
        <v>0.0113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HYPERLINK("http://141.218.60.56/~jnz1568/getInfo.php?workbook=18_08.xlsx&amp;sheet=U0&amp;row=1574&amp;col=6&amp;number=4&amp;sourceID=14","4")</f>
        <v>4</v>
      </c>
      <c r="G1574" s="4" t="str">
        <f>HYPERLINK("http://141.218.60.56/~jnz1568/getInfo.php?workbook=18_08.xlsx&amp;sheet=U0&amp;row=1574&amp;col=7&amp;number=0.0113&amp;sourceID=14","0.0113")</f>
        <v>0.0113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HYPERLINK("http://141.218.60.56/~jnz1568/getInfo.php?workbook=18_08.xlsx&amp;sheet=U0&amp;row=1575&amp;col=6&amp;number=4.1&amp;sourceID=14","4.1")</f>
        <v>4.1</v>
      </c>
      <c r="G1575" s="4" t="str">
        <f>HYPERLINK("http://141.218.60.56/~jnz1568/getInfo.php?workbook=18_08.xlsx&amp;sheet=U0&amp;row=1575&amp;col=7&amp;number=0.0113&amp;sourceID=14","0.0113")</f>
        <v>0.0113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HYPERLINK("http://141.218.60.56/~jnz1568/getInfo.php?workbook=18_08.xlsx&amp;sheet=U0&amp;row=1576&amp;col=6&amp;number=4.2&amp;sourceID=14","4.2")</f>
        <v>4.2</v>
      </c>
      <c r="G1576" s="4" t="str">
        <f>HYPERLINK("http://141.218.60.56/~jnz1568/getInfo.php?workbook=18_08.xlsx&amp;sheet=U0&amp;row=1576&amp;col=7&amp;number=0.0113&amp;sourceID=14","0.0113")</f>
        <v>0.0113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HYPERLINK("http://141.218.60.56/~jnz1568/getInfo.php?workbook=18_08.xlsx&amp;sheet=U0&amp;row=1577&amp;col=6&amp;number=4.3&amp;sourceID=14","4.3")</f>
        <v>4.3</v>
      </c>
      <c r="G1577" s="4" t="str">
        <f>HYPERLINK("http://141.218.60.56/~jnz1568/getInfo.php?workbook=18_08.xlsx&amp;sheet=U0&amp;row=1577&amp;col=7&amp;number=0.0113&amp;sourceID=14","0.0113")</f>
        <v>0.0113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HYPERLINK("http://141.218.60.56/~jnz1568/getInfo.php?workbook=18_08.xlsx&amp;sheet=U0&amp;row=1578&amp;col=6&amp;number=4.4&amp;sourceID=14","4.4")</f>
        <v>4.4</v>
      </c>
      <c r="G1578" s="4" t="str">
        <f>HYPERLINK("http://141.218.60.56/~jnz1568/getInfo.php?workbook=18_08.xlsx&amp;sheet=U0&amp;row=1578&amp;col=7&amp;number=0.0113&amp;sourceID=14","0.0113")</f>
        <v>0.0113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HYPERLINK("http://141.218.60.56/~jnz1568/getInfo.php?workbook=18_08.xlsx&amp;sheet=U0&amp;row=1579&amp;col=6&amp;number=4.5&amp;sourceID=14","4.5")</f>
        <v>4.5</v>
      </c>
      <c r="G1579" s="4" t="str">
        <f>HYPERLINK("http://141.218.60.56/~jnz1568/getInfo.php?workbook=18_08.xlsx&amp;sheet=U0&amp;row=1579&amp;col=7&amp;number=0.0113&amp;sourceID=14","0.0113")</f>
        <v>0.0113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HYPERLINK("http://141.218.60.56/~jnz1568/getInfo.php?workbook=18_08.xlsx&amp;sheet=U0&amp;row=1580&amp;col=6&amp;number=4.6&amp;sourceID=14","4.6")</f>
        <v>4.6</v>
      </c>
      <c r="G1580" s="4" t="str">
        <f>HYPERLINK("http://141.218.60.56/~jnz1568/getInfo.php?workbook=18_08.xlsx&amp;sheet=U0&amp;row=1580&amp;col=7&amp;number=0.0113&amp;sourceID=14","0.0113")</f>
        <v>0.0113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HYPERLINK("http://141.218.60.56/~jnz1568/getInfo.php?workbook=18_08.xlsx&amp;sheet=U0&amp;row=1581&amp;col=6&amp;number=4.7&amp;sourceID=14","4.7")</f>
        <v>4.7</v>
      </c>
      <c r="G1581" s="4" t="str">
        <f>HYPERLINK("http://141.218.60.56/~jnz1568/getInfo.php?workbook=18_08.xlsx&amp;sheet=U0&amp;row=1581&amp;col=7&amp;number=0.0113&amp;sourceID=14","0.0113")</f>
        <v>0.0113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HYPERLINK("http://141.218.60.56/~jnz1568/getInfo.php?workbook=18_08.xlsx&amp;sheet=U0&amp;row=1582&amp;col=6&amp;number=4.8&amp;sourceID=14","4.8")</f>
        <v>4.8</v>
      </c>
      <c r="G1582" s="4" t="str">
        <f>HYPERLINK("http://141.218.60.56/~jnz1568/getInfo.php?workbook=18_08.xlsx&amp;sheet=U0&amp;row=1582&amp;col=7&amp;number=0.0114&amp;sourceID=14","0.0114")</f>
        <v>0.0114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HYPERLINK("http://141.218.60.56/~jnz1568/getInfo.php?workbook=18_08.xlsx&amp;sheet=U0&amp;row=1583&amp;col=6&amp;number=4.9&amp;sourceID=14","4.9")</f>
        <v>4.9</v>
      </c>
      <c r="G1583" s="4" t="str">
        <f>HYPERLINK("http://141.218.60.56/~jnz1568/getInfo.php?workbook=18_08.xlsx&amp;sheet=U0&amp;row=1583&amp;col=7&amp;number=0.0114&amp;sourceID=14","0.0114")</f>
        <v>0.0114</v>
      </c>
    </row>
    <row r="1584" spans="1:7">
      <c r="A1584" s="3">
        <v>18</v>
      </c>
      <c r="B1584" s="3">
        <v>8</v>
      </c>
      <c r="C1584" s="3" t="s">
        <v>53</v>
      </c>
      <c r="D1584" s="3">
        <v>1</v>
      </c>
      <c r="E1584" s="3">
        <v>1</v>
      </c>
      <c r="F1584" s="4" t="str">
        <f>HYPERLINK("http://141.218.60.56/~jnz1568/getInfo.php?workbook=18_08.xlsx&amp;sheet=U0&amp;row=1584&amp;col=6&amp;number=3&amp;sourceID=14","3")</f>
        <v>3</v>
      </c>
      <c r="G1584" s="4" t="str">
        <f>HYPERLINK("http://141.218.60.56/~jnz1568/getInfo.php?workbook=18_08.xlsx&amp;sheet=U0&amp;row=1584&amp;col=7&amp;number=0.0236&amp;sourceID=14","0.0236")</f>
        <v>0.0236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HYPERLINK("http://141.218.60.56/~jnz1568/getInfo.php?workbook=18_08.xlsx&amp;sheet=U0&amp;row=1585&amp;col=6&amp;number=3.1&amp;sourceID=14","3.1")</f>
        <v>3.1</v>
      </c>
      <c r="G1585" s="4" t="str">
        <f>HYPERLINK("http://141.218.60.56/~jnz1568/getInfo.php?workbook=18_08.xlsx&amp;sheet=U0&amp;row=1585&amp;col=7&amp;number=0.0236&amp;sourceID=14","0.0236")</f>
        <v>0.0236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HYPERLINK("http://141.218.60.56/~jnz1568/getInfo.php?workbook=18_08.xlsx&amp;sheet=U0&amp;row=1586&amp;col=6&amp;number=3.2&amp;sourceID=14","3.2")</f>
        <v>3.2</v>
      </c>
      <c r="G1586" s="4" t="str">
        <f>HYPERLINK("http://141.218.60.56/~jnz1568/getInfo.php?workbook=18_08.xlsx&amp;sheet=U0&amp;row=1586&amp;col=7&amp;number=0.0236&amp;sourceID=14","0.0236")</f>
        <v>0.0236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HYPERLINK("http://141.218.60.56/~jnz1568/getInfo.php?workbook=18_08.xlsx&amp;sheet=U0&amp;row=1587&amp;col=6&amp;number=3.3&amp;sourceID=14","3.3")</f>
        <v>3.3</v>
      </c>
      <c r="G1587" s="4" t="str">
        <f>HYPERLINK("http://141.218.60.56/~jnz1568/getInfo.php?workbook=18_08.xlsx&amp;sheet=U0&amp;row=1587&amp;col=7&amp;number=0.0236&amp;sourceID=14","0.0236")</f>
        <v>0.0236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HYPERLINK("http://141.218.60.56/~jnz1568/getInfo.php?workbook=18_08.xlsx&amp;sheet=U0&amp;row=1588&amp;col=6&amp;number=3.4&amp;sourceID=14","3.4")</f>
        <v>3.4</v>
      </c>
      <c r="G1588" s="4" t="str">
        <f>HYPERLINK("http://141.218.60.56/~jnz1568/getInfo.php?workbook=18_08.xlsx&amp;sheet=U0&amp;row=1588&amp;col=7&amp;number=0.0236&amp;sourceID=14","0.0236")</f>
        <v>0.0236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HYPERLINK("http://141.218.60.56/~jnz1568/getInfo.php?workbook=18_08.xlsx&amp;sheet=U0&amp;row=1589&amp;col=6&amp;number=3.5&amp;sourceID=14","3.5")</f>
        <v>3.5</v>
      </c>
      <c r="G1589" s="4" t="str">
        <f>HYPERLINK("http://141.218.60.56/~jnz1568/getInfo.php?workbook=18_08.xlsx&amp;sheet=U0&amp;row=1589&amp;col=7&amp;number=0.0236&amp;sourceID=14","0.0236")</f>
        <v>0.0236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HYPERLINK("http://141.218.60.56/~jnz1568/getInfo.php?workbook=18_08.xlsx&amp;sheet=U0&amp;row=1590&amp;col=6&amp;number=3.6&amp;sourceID=14","3.6")</f>
        <v>3.6</v>
      </c>
      <c r="G1590" s="4" t="str">
        <f>HYPERLINK("http://141.218.60.56/~jnz1568/getInfo.php?workbook=18_08.xlsx&amp;sheet=U0&amp;row=1590&amp;col=7&amp;number=0.0236&amp;sourceID=14","0.0236")</f>
        <v>0.0236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HYPERLINK("http://141.218.60.56/~jnz1568/getInfo.php?workbook=18_08.xlsx&amp;sheet=U0&amp;row=1591&amp;col=6&amp;number=3.7&amp;sourceID=14","3.7")</f>
        <v>3.7</v>
      </c>
      <c r="G1591" s="4" t="str">
        <f>HYPERLINK("http://141.218.60.56/~jnz1568/getInfo.php?workbook=18_08.xlsx&amp;sheet=U0&amp;row=1591&amp;col=7&amp;number=0.0236&amp;sourceID=14","0.0236")</f>
        <v>0.0236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HYPERLINK("http://141.218.60.56/~jnz1568/getInfo.php?workbook=18_08.xlsx&amp;sheet=U0&amp;row=1592&amp;col=6&amp;number=3.8&amp;sourceID=14","3.8")</f>
        <v>3.8</v>
      </c>
      <c r="G1592" s="4" t="str">
        <f>HYPERLINK("http://141.218.60.56/~jnz1568/getInfo.php?workbook=18_08.xlsx&amp;sheet=U0&amp;row=1592&amp;col=7&amp;number=0.0236&amp;sourceID=14","0.0236")</f>
        <v>0.0236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HYPERLINK("http://141.218.60.56/~jnz1568/getInfo.php?workbook=18_08.xlsx&amp;sheet=U0&amp;row=1593&amp;col=6&amp;number=3.9&amp;sourceID=14","3.9")</f>
        <v>3.9</v>
      </c>
      <c r="G1593" s="4" t="str">
        <f>HYPERLINK("http://141.218.60.56/~jnz1568/getInfo.php?workbook=18_08.xlsx&amp;sheet=U0&amp;row=1593&amp;col=7&amp;number=0.0236&amp;sourceID=14","0.0236")</f>
        <v>0.0236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HYPERLINK("http://141.218.60.56/~jnz1568/getInfo.php?workbook=18_08.xlsx&amp;sheet=U0&amp;row=1594&amp;col=6&amp;number=4&amp;sourceID=14","4")</f>
        <v>4</v>
      </c>
      <c r="G1594" s="4" t="str">
        <f>HYPERLINK("http://141.218.60.56/~jnz1568/getInfo.php?workbook=18_08.xlsx&amp;sheet=U0&amp;row=1594&amp;col=7&amp;number=0.0236&amp;sourceID=14","0.0236")</f>
        <v>0.0236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HYPERLINK("http://141.218.60.56/~jnz1568/getInfo.php?workbook=18_08.xlsx&amp;sheet=U0&amp;row=1595&amp;col=6&amp;number=4.1&amp;sourceID=14","4.1")</f>
        <v>4.1</v>
      </c>
      <c r="G1595" s="4" t="str">
        <f>HYPERLINK("http://141.218.60.56/~jnz1568/getInfo.php?workbook=18_08.xlsx&amp;sheet=U0&amp;row=1595&amp;col=7&amp;number=0.0236&amp;sourceID=14","0.0236")</f>
        <v>0.0236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HYPERLINK("http://141.218.60.56/~jnz1568/getInfo.php?workbook=18_08.xlsx&amp;sheet=U0&amp;row=1596&amp;col=6&amp;number=4.2&amp;sourceID=14","4.2")</f>
        <v>4.2</v>
      </c>
      <c r="G1596" s="4" t="str">
        <f>HYPERLINK("http://141.218.60.56/~jnz1568/getInfo.php?workbook=18_08.xlsx&amp;sheet=U0&amp;row=1596&amp;col=7&amp;number=0.0237&amp;sourceID=14","0.0237")</f>
        <v>0.0237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HYPERLINK("http://141.218.60.56/~jnz1568/getInfo.php?workbook=18_08.xlsx&amp;sheet=U0&amp;row=1597&amp;col=6&amp;number=4.3&amp;sourceID=14","4.3")</f>
        <v>4.3</v>
      </c>
      <c r="G1597" s="4" t="str">
        <f>HYPERLINK("http://141.218.60.56/~jnz1568/getInfo.php?workbook=18_08.xlsx&amp;sheet=U0&amp;row=1597&amp;col=7&amp;number=0.0237&amp;sourceID=14","0.0237")</f>
        <v>0.0237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HYPERLINK("http://141.218.60.56/~jnz1568/getInfo.php?workbook=18_08.xlsx&amp;sheet=U0&amp;row=1598&amp;col=6&amp;number=4.4&amp;sourceID=14","4.4")</f>
        <v>4.4</v>
      </c>
      <c r="G1598" s="4" t="str">
        <f>HYPERLINK("http://141.218.60.56/~jnz1568/getInfo.php?workbook=18_08.xlsx&amp;sheet=U0&amp;row=1598&amp;col=7&amp;number=0.0237&amp;sourceID=14","0.0237")</f>
        <v>0.0237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HYPERLINK("http://141.218.60.56/~jnz1568/getInfo.php?workbook=18_08.xlsx&amp;sheet=U0&amp;row=1599&amp;col=6&amp;number=4.5&amp;sourceID=14","4.5")</f>
        <v>4.5</v>
      </c>
      <c r="G1599" s="4" t="str">
        <f>HYPERLINK("http://141.218.60.56/~jnz1568/getInfo.php?workbook=18_08.xlsx&amp;sheet=U0&amp;row=1599&amp;col=7&amp;number=0.0237&amp;sourceID=14","0.0237")</f>
        <v>0.0237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HYPERLINK("http://141.218.60.56/~jnz1568/getInfo.php?workbook=18_08.xlsx&amp;sheet=U0&amp;row=1600&amp;col=6&amp;number=4.6&amp;sourceID=14","4.6")</f>
        <v>4.6</v>
      </c>
      <c r="G1600" s="4" t="str">
        <f>HYPERLINK("http://141.218.60.56/~jnz1568/getInfo.php?workbook=18_08.xlsx&amp;sheet=U0&amp;row=1600&amp;col=7&amp;number=0.0237&amp;sourceID=14","0.0237")</f>
        <v>0.0237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HYPERLINK("http://141.218.60.56/~jnz1568/getInfo.php?workbook=18_08.xlsx&amp;sheet=U0&amp;row=1601&amp;col=6&amp;number=4.7&amp;sourceID=14","4.7")</f>
        <v>4.7</v>
      </c>
      <c r="G1601" s="4" t="str">
        <f>HYPERLINK("http://141.218.60.56/~jnz1568/getInfo.php?workbook=18_08.xlsx&amp;sheet=U0&amp;row=1601&amp;col=7&amp;number=0.0238&amp;sourceID=14","0.0238")</f>
        <v>0.0238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HYPERLINK("http://141.218.60.56/~jnz1568/getInfo.php?workbook=18_08.xlsx&amp;sheet=U0&amp;row=1602&amp;col=6&amp;number=4.8&amp;sourceID=14","4.8")</f>
        <v>4.8</v>
      </c>
      <c r="G1602" s="4" t="str">
        <f>HYPERLINK("http://141.218.60.56/~jnz1568/getInfo.php?workbook=18_08.xlsx&amp;sheet=U0&amp;row=1602&amp;col=7&amp;number=0.0238&amp;sourceID=14","0.0238")</f>
        <v>0.0238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HYPERLINK("http://141.218.60.56/~jnz1568/getInfo.php?workbook=18_08.xlsx&amp;sheet=U0&amp;row=1603&amp;col=6&amp;number=4.9&amp;sourceID=14","4.9")</f>
        <v>4.9</v>
      </c>
      <c r="G1603" s="4" t="str">
        <f>HYPERLINK("http://141.218.60.56/~jnz1568/getInfo.php?workbook=18_08.xlsx&amp;sheet=U0&amp;row=1603&amp;col=7&amp;number=0.0239&amp;sourceID=14","0.0239")</f>
        <v>0.0239</v>
      </c>
    </row>
    <row r="1604" spans="1:7">
      <c r="A1604" s="3">
        <v>18</v>
      </c>
      <c r="B1604" s="3">
        <v>8</v>
      </c>
      <c r="C1604" s="3" t="s">
        <v>53</v>
      </c>
      <c r="D1604" s="3">
        <v>2</v>
      </c>
      <c r="E1604" s="3">
        <v>1</v>
      </c>
      <c r="F1604" s="4" t="str">
        <f>HYPERLINK("http://141.218.60.56/~jnz1568/getInfo.php?workbook=18_08.xlsx&amp;sheet=U0&amp;row=1604&amp;col=6&amp;number=3&amp;sourceID=14","3")</f>
        <v>3</v>
      </c>
      <c r="G1604" s="4" t="str">
        <f>HYPERLINK("http://141.218.60.56/~jnz1568/getInfo.php?workbook=18_08.xlsx&amp;sheet=U0&amp;row=1604&amp;col=7&amp;number=0.102&amp;sourceID=14","0.102")</f>
        <v>0.102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HYPERLINK("http://141.218.60.56/~jnz1568/getInfo.php?workbook=18_08.xlsx&amp;sheet=U0&amp;row=1605&amp;col=6&amp;number=3.1&amp;sourceID=14","3.1")</f>
        <v>3.1</v>
      </c>
      <c r="G1605" s="4" t="str">
        <f>HYPERLINK("http://141.218.60.56/~jnz1568/getInfo.php?workbook=18_08.xlsx&amp;sheet=U0&amp;row=1605&amp;col=7&amp;number=0.102&amp;sourceID=14","0.102")</f>
        <v>0.102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HYPERLINK("http://141.218.60.56/~jnz1568/getInfo.php?workbook=18_08.xlsx&amp;sheet=U0&amp;row=1606&amp;col=6&amp;number=3.2&amp;sourceID=14","3.2")</f>
        <v>3.2</v>
      </c>
      <c r="G1606" s="4" t="str">
        <f>HYPERLINK("http://141.218.60.56/~jnz1568/getInfo.php?workbook=18_08.xlsx&amp;sheet=U0&amp;row=1606&amp;col=7&amp;number=0.102&amp;sourceID=14","0.102")</f>
        <v>0.102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HYPERLINK("http://141.218.60.56/~jnz1568/getInfo.php?workbook=18_08.xlsx&amp;sheet=U0&amp;row=1607&amp;col=6&amp;number=3.3&amp;sourceID=14","3.3")</f>
        <v>3.3</v>
      </c>
      <c r="G1607" s="4" t="str">
        <f>HYPERLINK("http://141.218.60.56/~jnz1568/getInfo.php?workbook=18_08.xlsx&amp;sheet=U0&amp;row=1607&amp;col=7&amp;number=0.102&amp;sourceID=14","0.102")</f>
        <v>0.102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HYPERLINK("http://141.218.60.56/~jnz1568/getInfo.php?workbook=18_08.xlsx&amp;sheet=U0&amp;row=1608&amp;col=6&amp;number=3.4&amp;sourceID=14","3.4")</f>
        <v>3.4</v>
      </c>
      <c r="G1608" s="4" t="str">
        <f>HYPERLINK("http://141.218.60.56/~jnz1568/getInfo.php?workbook=18_08.xlsx&amp;sheet=U0&amp;row=1608&amp;col=7&amp;number=0.102&amp;sourceID=14","0.102")</f>
        <v>0.102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HYPERLINK("http://141.218.60.56/~jnz1568/getInfo.php?workbook=18_08.xlsx&amp;sheet=U0&amp;row=1609&amp;col=6&amp;number=3.5&amp;sourceID=14","3.5")</f>
        <v>3.5</v>
      </c>
      <c r="G1609" s="4" t="str">
        <f>HYPERLINK("http://141.218.60.56/~jnz1568/getInfo.php?workbook=18_08.xlsx&amp;sheet=U0&amp;row=1609&amp;col=7&amp;number=0.102&amp;sourceID=14","0.102")</f>
        <v>0.102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HYPERLINK("http://141.218.60.56/~jnz1568/getInfo.php?workbook=18_08.xlsx&amp;sheet=U0&amp;row=1610&amp;col=6&amp;number=3.6&amp;sourceID=14","3.6")</f>
        <v>3.6</v>
      </c>
      <c r="G1610" s="4" t="str">
        <f>HYPERLINK("http://141.218.60.56/~jnz1568/getInfo.php?workbook=18_08.xlsx&amp;sheet=U0&amp;row=1610&amp;col=7&amp;number=0.102&amp;sourceID=14","0.102")</f>
        <v>0.102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HYPERLINK("http://141.218.60.56/~jnz1568/getInfo.php?workbook=18_08.xlsx&amp;sheet=U0&amp;row=1611&amp;col=6&amp;number=3.7&amp;sourceID=14","3.7")</f>
        <v>3.7</v>
      </c>
      <c r="G1611" s="4" t="str">
        <f>HYPERLINK("http://141.218.60.56/~jnz1568/getInfo.php?workbook=18_08.xlsx&amp;sheet=U0&amp;row=1611&amp;col=7&amp;number=0.102&amp;sourceID=14","0.102")</f>
        <v>0.102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HYPERLINK("http://141.218.60.56/~jnz1568/getInfo.php?workbook=18_08.xlsx&amp;sheet=U0&amp;row=1612&amp;col=6&amp;number=3.8&amp;sourceID=14","3.8")</f>
        <v>3.8</v>
      </c>
      <c r="G1612" s="4" t="str">
        <f>HYPERLINK("http://141.218.60.56/~jnz1568/getInfo.php?workbook=18_08.xlsx&amp;sheet=U0&amp;row=1612&amp;col=7&amp;number=0.102&amp;sourceID=14","0.102")</f>
        <v>0.102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HYPERLINK("http://141.218.60.56/~jnz1568/getInfo.php?workbook=18_08.xlsx&amp;sheet=U0&amp;row=1613&amp;col=6&amp;number=3.9&amp;sourceID=14","3.9")</f>
        <v>3.9</v>
      </c>
      <c r="G1613" s="4" t="str">
        <f>HYPERLINK("http://141.218.60.56/~jnz1568/getInfo.php?workbook=18_08.xlsx&amp;sheet=U0&amp;row=1613&amp;col=7&amp;number=0.102&amp;sourceID=14","0.102")</f>
        <v>0.102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HYPERLINK("http://141.218.60.56/~jnz1568/getInfo.php?workbook=18_08.xlsx&amp;sheet=U0&amp;row=1614&amp;col=6&amp;number=4&amp;sourceID=14","4")</f>
        <v>4</v>
      </c>
      <c r="G1614" s="4" t="str">
        <f>HYPERLINK("http://141.218.60.56/~jnz1568/getInfo.php?workbook=18_08.xlsx&amp;sheet=U0&amp;row=1614&amp;col=7&amp;number=0.103&amp;sourceID=14","0.103")</f>
        <v>0.103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HYPERLINK("http://141.218.60.56/~jnz1568/getInfo.php?workbook=18_08.xlsx&amp;sheet=U0&amp;row=1615&amp;col=6&amp;number=4.1&amp;sourceID=14","4.1")</f>
        <v>4.1</v>
      </c>
      <c r="G1615" s="4" t="str">
        <f>HYPERLINK("http://141.218.60.56/~jnz1568/getInfo.php?workbook=18_08.xlsx&amp;sheet=U0&amp;row=1615&amp;col=7&amp;number=0.103&amp;sourceID=14","0.103")</f>
        <v>0.103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HYPERLINK("http://141.218.60.56/~jnz1568/getInfo.php?workbook=18_08.xlsx&amp;sheet=U0&amp;row=1616&amp;col=6&amp;number=4.2&amp;sourceID=14","4.2")</f>
        <v>4.2</v>
      </c>
      <c r="G1616" s="4" t="str">
        <f>HYPERLINK("http://141.218.60.56/~jnz1568/getInfo.php?workbook=18_08.xlsx&amp;sheet=U0&amp;row=1616&amp;col=7&amp;number=0.103&amp;sourceID=14","0.103")</f>
        <v>0.103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HYPERLINK("http://141.218.60.56/~jnz1568/getInfo.php?workbook=18_08.xlsx&amp;sheet=U0&amp;row=1617&amp;col=6&amp;number=4.3&amp;sourceID=14","4.3")</f>
        <v>4.3</v>
      </c>
      <c r="G1617" s="4" t="str">
        <f>HYPERLINK("http://141.218.60.56/~jnz1568/getInfo.php?workbook=18_08.xlsx&amp;sheet=U0&amp;row=1617&amp;col=7&amp;number=0.103&amp;sourceID=14","0.103")</f>
        <v>0.103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HYPERLINK("http://141.218.60.56/~jnz1568/getInfo.php?workbook=18_08.xlsx&amp;sheet=U0&amp;row=1618&amp;col=6&amp;number=4.4&amp;sourceID=14","4.4")</f>
        <v>4.4</v>
      </c>
      <c r="G1618" s="4" t="str">
        <f>HYPERLINK("http://141.218.60.56/~jnz1568/getInfo.php?workbook=18_08.xlsx&amp;sheet=U0&amp;row=1618&amp;col=7&amp;number=0.103&amp;sourceID=14","0.103")</f>
        <v>0.103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HYPERLINK("http://141.218.60.56/~jnz1568/getInfo.php?workbook=18_08.xlsx&amp;sheet=U0&amp;row=1619&amp;col=6&amp;number=4.5&amp;sourceID=14","4.5")</f>
        <v>4.5</v>
      </c>
      <c r="G1619" s="4" t="str">
        <f>HYPERLINK("http://141.218.60.56/~jnz1568/getInfo.php?workbook=18_08.xlsx&amp;sheet=U0&amp;row=1619&amp;col=7&amp;number=0.103&amp;sourceID=14","0.103")</f>
        <v>0.103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HYPERLINK("http://141.218.60.56/~jnz1568/getInfo.php?workbook=18_08.xlsx&amp;sheet=U0&amp;row=1620&amp;col=6&amp;number=4.6&amp;sourceID=14","4.6")</f>
        <v>4.6</v>
      </c>
      <c r="G1620" s="4" t="str">
        <f>HYPERLINK("http://141.218.60.56/~jnz1568/getInfo.php?workbook=18_08.xlsx&amp;sheet=U0&amp;row=1620&amp;col=7&amp;number=0.103&amp;sourceID=14","0.103")</f>
        <v>0.103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HYPERLINK("http://141.218.60.56/~jnz1568/getInfo.php?workbook=18_08.xlsx&amp;sheet=U0&amp;row=1621&amp;col=6&amp;number=4.7&amp;sourceID=14","4.7")</f>
        <v>4.7</v>
      </c>
      <c r="G1621" s="4" t="str">
        <f>HYPERLINK("http://141.218.60.56/~jnz1568/getInfo.php?workbook=18_08.xlsx&amp;sheet=U0&amp;row=1621&amp;col=7&amp;number=0.104&amp;sourceID=14","0.104")</f>
        <v>0.104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HYPERLINK("http://141.218.60.56/~jnz1568/getInfo.php?workbook=18_08.xlsx&amp;sheet=U0&amp;row=1622&amp;col=6&amp;number=4.8&amp;sourceID=14","4.8")</f>
        <v>4.8</v>
      </c>
      <c r="G1622" s="4" t="str">
        <f>HYPERLINK("http://141.218.60.56/~jnz1568/getInfo.php?workbook=18_08.xlsx&amp;sheet=U0&amp;row=1622&amp;col=7&amp;number=0.104&amp;sourceID=14","0.104")</f>
        <v>0.104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HYPERLINK("http://141.218.60.56/~jnz1568/getInfo.php?workbook=18_08.xlsx&amp;sheet=U0&amp;row=1623&amp;col=6&amp;number=4.9&amp;sourceID=14","4.9")</f>
        <v>4.9</v>
      </c>
      <c r="G1623" s="4" t="str">
        <f>HYPERLINK("http://141.218.60.56/~jnz1568/getInfo.php?workbook=18_08.xlsx&amp;sheet=U0&amp;row=1623&amp;col=7&amp;number=0.104&amp;sourceID=14","0.104")</f>
        <v>0.104</v>
      </c>
    </row>
    <row r="1624" spans="1:7">
      <c r="A1624" s="3">
        <v>18</v>
      </c>
      <c r="B1624" s="3">
        <v>8</v>
      </c>
      <c r="C1624" s="3" t="s">
        <v>53</v>
      </c>
      <c r="D1624" s="3">
        <v>3</v>
      </c>
      <c r="E1624" s="3">
        <v>1</v>
      </c>
      <c r="F1624" s="4" t="str">
        <f>HYPERLINK("http://141.218.60.56/~jnz1568/getInfo.php?workbook=18_08.xlsx&amp;sheet=U0&amp;row=1624&amp;col=6&amp;number=3&amp;sourceID=14","3")</f>
        <v>3</v>
      </c>
      <c r="G1624" s="4" t="str">
        <f>HYPERLINK("http://141.218.60.56/~jnz1568/getInfo.php?workbook=18_08.xlsx&amp;sheet=U0&amp;row=1624&amp;col=7&amp;number=0.00437&amp;sourceID=14","0.00437")</f>
        <v>0.00437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HYPERLINK("http://141.218.60.56/~jnz1568/getInfo.php?workbook=18_08.xlsx&amp;sheet=U0&amp;row=1625&amp;col=6&amp;number=3.1&amp;sourceID=14","3.1")</f>
        <v>3.1</v>
      </c>
      <c r="G1625" s="4" t="str">
        <f>HYPERLINK("http://141.218.60.56/~jnz1568/getInfo.php?workbook=18_08.xlsx&amp;sheet=U0&amp;row=1625&amp;col=7&amp;number=0.00437&amp;sourceID=14","0.00437")</f>
        <v>0.00437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HYPERLINK("http://141.218.60.56/~jnz1568/getInfo.php?workbook=18_08.xlsx&amp;sheet=U0&amp;row=1626&amp;col=6&amp;number=3.2&amp;sourceID=14","3.2")</f>
        <v>3.2</v>
      </c>
      <c r="G1626" s="4" t="str">
        <f>HYPERLINK("http://141.218.60.56/~jnz1568/getInfo.php?workbook=18_08.xlsx&amp;sheet=U0&amp;row=1626&amp;col=7&amp;number=0.00437&amp;sourceID=14","0.00437")</f>
        <v>0.00437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HYPERLINK("http://141.218.60.56/~jnz1568/getInfo.php?workbook=18_08.xlsx&amp;sheet=U0&amp;row=1627&amp;col=6&amp;number=3.3&amp;sourceID=14","3.3")</f>
        <v>3.3</v>
      </c>
      <c r="G1627" s="4" t="str">
        <f>HYPERLINK("http://141.218.60.56/~jnz1568/getInfo.php?workbook=18_08.xlsx&amp;sheet=U0&amp;row=1627&amp;col=7&amp;number=0.00437&amp;sourceID=14","0.00437")</f>
        <v>0.00437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HYPERLINK("http://141.218.60.56/~jnz1568/getInfo.php?workbook=18_08.xlsx&amp;sheet=U0&amp;row=1628&amp;col=6&amp;number=3.4&amp;sourceID=14","3.4")</f>
        <v>3.4</v>
      </c>
      <c r="G1628" s="4" t="str">
        <f>HYPERLINK("http://141.218.60.56/~jnz1568/getInfo.php?workbook=18_08.xlsx&amp;sheet=U0&amp;row=1628&amp;col=7&amp;number=0.00437&amp;sourceID=14","0.00437")</f>
        <v>0.00437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HYPERLINK("http://141.218.60.56/~jnz1568/getInfo.php?workbook=18_08.xlsx&amp;sheet=U0&amp;row=1629&amp;col=6&amp;number=3.5&amp;sourceID=14","3.5")</f>
        <v>3.5</v>
      </c>
      <c r="G1629" s="4" t="str">
        <f>HYPERLINK("http://141.218.60.56/~jnz1568/getInfo.php?workbook=18_08.xlsx&amp;sheet=U0&amp;row=1629&amp;col=7&amp;number=0.00437&amp;sourceID=14","0.00437")</f>
        <v>0.00437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HYPERLINK("http://141.218.60.56/~jnz1568/getInfo.php?workbook=18_08.xlsx&amp;sheet=U0&amp;row=1630&amp;col=6&amp;number=3.6&amp;sourceID=14","3.6")</f>
        <v>3.6</v>
      </c>
      <c r="G1630" s="4" t="str">
        <f>HYPERLINK("http://141.218.60.56/~jnz1568/getInfo.php?workbook=18_08.xlsx&amp;sheet=U0&amp;row=1630&amp;col=7&amp;number=0.00437&amp;sourceID=14","0.00437")</f>
        <v>0.00437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HYPERLINK("http://141.218.60.56/~jnz1568/getInfo.php?workbook=18_08.xlsx&amp;sheet=U0&amp;row=1631&amp;col=6&amp;number=3.7&amp;sourceID=14","3.7")</f>
        <v>3.7</v>
      </c>
      <c r="G1631" s="4" t="str">
        <f>HYPERLINK("http://141.218.60.56/~jnz1568/getInfo.php?workbook=18_08.xlsx&amp;sheet=U0&amp;row=1631&amp;col=7&amp;number=0.00437&amp;sourceID=14","0.00437")</f>
        <v>0.00437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HYPERLINK("http://141.218.60.56/~jnz1568/getInfo.php?workbook=18_08.xlsx&amp;sheet=U0&amp;row=1632&amp;col=6&amp;number=3.8&amp;sourceID=14","3.8")</f>
        <v>3.8</v>
      </c>
      <c r="G1632" s="4" t="str">
        <f>HYPERLINK("http://141.218.60.56/~jnz1568/getInfo.php?workbook=18_08.xlsx&amp;sheet=U0&amp;row=1632&amp;col=7&amp;number=0.00437&amp;sourceID=14","0.00437")</f>
        <v>0.00437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HYPERLINK("http://141.218.60.56/~jnz1568/getInfo.php?workbook=18_08.xlsx&amp;sheet=U0&amp;row=1633&amp;col=6&amp;number=3.9&amp;sourceID=14","3.9")</f>
        <v>3.9</v>
      </c>
      <c r="G1633" s="4" t="str">
        <f>HYPERLINK("http://141.218.60.56/~jnz1568/getInfo.php?workbook=18_08.xlsx&amp;sheet=U0&amp;row=1633&amp;col=7&amp;number=0.00437&amp;sourceID=14","0.00437")</f>
        <v>0.00437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HYPERLINK("http://141.218.60.56/~jnz1568/getInfo.php?workbook=18_08.xlsx&amp;sheet=U0&amp;row=1634&amp;col=6&amp;number=4&amp;sourceID=14","4")</f>
        <v>4</v>
      </c>
      <c r="G1634" s="4" t="str">
        <f>HYPERLINK("http://141.218.60.56/~jnz1568/getInfo.php?workbook=18_08.xlsx&amp;sheet=U0&amp;row=1634&amp;col=7&amp;number=0.00437&amp;sourceID=14","0.00437")</f>
        <v>0.00437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HYPERLINK("http://141.218.60.56/~jnz1568/getInfo.php?workbook=18_08.xlsx&amp;sheet=U0&amp;row=1635&amp;col=6&amp;number=4.1&amp;sourceID=14","4.1")</f>
        <v>4.1</v>
      </c>
      <c r="G1635" s="4" t="str">
        <f>HYPERLINK("http://141.218.60.56/~jnz1568/getInfo.php?workbook=18_08.xlsx&amp;sheet=U0&amp;row=1635&amp;col=7&amp;number=0.00437&amp;sourceID=14","0.00437")</f>
        <v>0.00437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HYPERLINK("http://141.218.60.56/~jnz1568/getInfo.php?workbook=18_08.xlsx&amp;sheet=U0&amp;row=1636&amp;col=6&amp;number=4.2&amp;sourceID=14","4.2")</f>
        <v>4.2</v>
      </c>
      <c r="G1636" s="4" t="str">
        <f>HYPERLINK("http://141.218.60.56/~jnz1568/getInfo.php?workbook=18_08.xlsx&amp;sheet=U0&amp;row=1636&amp;col=7&amp;number=0.00437&amp;sourceID=14","0.00437")</f>
        <v>0.00437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HYPERLINK("http://141.218.60.56/~jnz1568/getInfo.php?workbook=18_08.xlsx&amp;sheet=U0&amp;row=1637&amp;col=6&amp;number=4.3&amp;sourceID=14","4.3")</f>
        <v>4.3</v>
      </c>
      <c r="G1637" s="4" t="str">
        <f>HYPERLINK("http://141.218.60.56/~jnz1568/getInfo.php?workbook=18_08.xlsx&amp;sheet=U0&amp;row=1637&amp;col=7&amp;number=0.00437&amp;sourceID=14","0.00437")</f>
        <v>0.00437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HYPERLINK("http://141.218.60.56/~jnz1568/getInfo.php?workbook=18_08.xlsx&amp;sheet=U0&amp;row=1638&amp;col=6&amp;number=4.4&amp;sourceID=14","4.4")</f>
        <v>4.4</v>
      </c>
      <c r="G1638" s="4" t="str">
        <f>HYPERLINK("http://141.218.60.56/~jnz1568/getInfo.php?workbook=18_08.xlsx&amp;sheet=U0&amp;row=1638&amp;col=7&amp;number=0.00437&amp;sourceID=14","0.00437")</f>
        <v>0.00437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HYPERLINK("http://141.218.60.56/~jnz1568/getInfo.php?workbook=18_08.xlsx&amp;sheet=U0&amp;row=1639&amp;col=6&amp;number=4.5&amp;sourceID=14","4.5")</f>
        <v>4.5</v>
      </c>
      <c r="G1639" s="4" t="str">
        <f>HYPERLINK("http://141.218.60.56/~jnz1568/getInfo.php?workbook=18_08.xlsx&amp;sheet=U0&amp;row=1639&amp;col=7&amp;number=0.00437&amp;sourceID=14","0.00437")</f>
        <v>0.00437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HYPERLINK("http://141.218.60.56/~jnz1568/getInfo.php?workbook=18_08.xlsx&amp;sheet=U0&amp;row=1640&amp;col=6&amp;number=4.6&amp;sourceID=14","4.6")</f>
        <v>4.6</v>
      </c>
      <c r="G1640" s="4" t="str">
        <f>HYPERLINK("http://141.218.60.56/~jnz1568/getInfo.php?workbook=18_08.xlsx&amp;sheet=U0&amp;row=1640&amp;col=7&amp;number=0.00437&amp;sourceID=14","0.00437")</f>
        <v>0.00437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HYPERLINK("http://141.218.60.56/~jnz1568/getInfo.php?workbook=18_08.xlsx&amp;sheet=U0&amp;row=1641&amp;col=6&amp;number=4.7&amp;sourceID=14","4.7")</f>
        <v>4.7</v>
      </c>
      <c r="G1641" s="4" t="str">
        <f>HYPERLINK("http://141.218.60.56/~jnz1568/getInfo.php?workbook=18_08.xlsx&amp;sheet=U0&amp;row=1641&amp;col=7&amp;number=0.00436&amp;sourceID=14","0.00436")</f>
        <v>0.00436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HYPERLINK("http://141.218.60.56/~jnz1568/getInfo.php?workbook=18_08.xlsx&amp;sheet=U0&amp;row=1642&amp;col=6&amp;number=4.8&amp;sourceID=14","4.8")</f>
        <v>4.8</v>
      </c>
      <c r="G1642" s="4" t="str">
        <f>HYPERLINK("http://141.218.60.56/~jnz1568/getInfo.php?workbook=18_08.xlsx&amp;sheet=U0&amp;row=1642&amp;col=7&amp;number=0.00436&amp;sourceID=14","0.00436")</f>
        <v>0.00436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HYPERLINK("http://141.218.60.56/~jnz1568/getInfo.php?workbook=18_08.xlsx&amp;sheet=U0&amp;row=1643&amp;col=6&amp;number=4.9&amp;sourceID=14","4.9")</f>
        <v>4.9</v>
      </c>
      <c r="G1643" s="4" t="str">
        <f>HYPERLINK("http://141.218.60.56/~jnz1568/getInfo.php?workbook=18_08.xlsx&amp;sheet=U0&amp;row=1643&amp;col=7&amp;number=0.00436&amp;sourceID=14","0.00436")</f>
        <v>0.00436</v>
      </c>
    </row>
    <row r="1644" spans="1:7">
      <c r="A1644" s="3">
        <v>18</v>
      </c>
      <c r="B1644" s="3">
        <v>8</v>
      </c>
      <c r="C1644" s="3" t="s">
        <v>53</v>
      </c>
      <c r="D1644" s="3">
        <v>4</v>
      </c>
      <c r="E1644" s="3">
        <v>1</v>
      </c>
      <c r="F1644" s="4" t="str">
        <f>HYPERLINK("http://141.218.60.56/~jnz1568/getInfo.php?workbook=18_08.xlsx&amp;sheet=U0&amp;row=1644&amp;col=6&amp;number=3&amp;sourceID=14","3")</f>
        <v>3</v>
      </c>
      <c r="G1644" s="4" t="str">
        <f>HYPERLINK("http://141.218.60.56/~jnz1568/getInfo.php?workbook=18_08.xlsx&amp;sheet=U0&amp;row=1644&amp;col=7&amp;number=0.0104&amp;sourceID=14","0.0104")</f>
        <v>0.0104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HYPERLINK("http://141.218.60.56/~jnz1568/getInfo.php?workbook=18_08.xlsx&amp;sheet=U0&amp;row=1645&amp;col=6&amp;number=3.1&amp;sourceID=14","3.1")</f>
        <v>3.1</v>
      </c>
      <c r="G1645" s="4" t="str">
        <f>HYPERLINK("http://141.218.60.56/~jnz1568/getInfo.php?workbook=18_08.xlsx&amp;sheet=U0&amp;row=1645&amp;col=7&amp;number=0.0104&amp;sourceID=14","0.0104")</f>
        <v>0.0104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HYPERLINK("http://141.218.60.56/~jnz1568/getInfo.php?workbook=18_08.xlsx&amp;sheet=U0&amp;row=1646&amp;col=6&amp;number=3.2&amp;sourceID=14","3.2")</f>
        <v>3.2</v>
      </c>
      <c r="G1646" s="4" t="str">
        <f>HYPERLINK("http://141.218.60.56/~jnz1568/getInfo.php?workbook=18_08.xlsx&amp;sheet=U0&amp;row=1646&amp;col=7&amp;number=0.0104&amp;sourceID=14","0.0104")</f>
        <v>0.0104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HYPERLINK("http://141.218.60.56/~jnz1568/getInfo.php?workbook=18_08.xlsx&amp;sheet=U0&amp;row=1647&amp;col=6&amp;number=3.3&amp;sourceID=14","3.3")</f>
        <v>3.3</v>
      </c>
      <c r="G1647" s="4" t="str">
        <f>HYPERLINK("http://141.218.60.56/~jnz1568/getInfo.php?workbook=18_08.xlsx&amp;sheet=U0&amp;row=1647&amp;col=7&amp;number=0.0104&amp;sourceID=14","0.0104")</f>
        <v>0.0104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HYPERLINK("http://141.218.60.56/~jnz1568/getInfo.php?workbook=18_08.xlsx&amp;sheet=U0&amp;row=1648&amp;col=6&amp;number=3.4&amp;sourceID=14","3.4")</f>
        <v>3.4</v>
      </c>
      <c r="G1648" s="4" t="str">
        <f>HYPERLINK("http://141.218.60.56/~jnz1568/getInfo.php?workbook=18_08.xlsx&amp;sheet=U0&amp;row=1648&amp;col=7&amp;number=0.0104&amp;sourceID=14","0.0104")</f>
        <v>0.0104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HYPERLINK("http://141.218.60.56/~jnz1568/getInfo.php?workbook=18_08.xlsx&amp;sheet=U0&amp;row=1649&amp;col=6&amp;number=3.5&amp;sourceID=14","3.5")</f>
        <v>3.5</v>
      </c>
      <c r="G1649" s="4" t="str">
        <f>HYPERLINK("http://141.218.60.56/~jnz1568/getInfo.php?workbook=18_08.xlsx&amp;sheet=U0&amp;row=1649&amp;col=7&amp;number=0.0104&amp;sourceID=14","0.0104")</f>
        <v>0.0104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HYPERLINK("http://141.218.60.56/~jnz1568/getInfo.php?workbook=18_08.xlsx&amp;sheet=U0&amp;row=1650&amp;col=6&amp;number=3.6&amp;sourceID=14","3.6")</f>
        <v>3.6</v>
      </c>
      <c r="G1650" s="4" t="str">
        <f>HYPERLINK("http://141.218.60.56/~jnz1568/getInfo.php?workbook=18_08.xlsx&amp;sheet=U0&amp;row=1650&amp;col=7&amp;number=0.0104&amp;sourceID=14","0.0104")</f>
        <v>0.0104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HYPERLINK("http://141.218.60.56/~jnz1568/getInfo.php?workbook=18_08.xlsx&amp;sheet=U0&amp;row=1651&amp;col=6&amp;number=3.7&amp;sourceID=14","3.7")</f>
        <v>3.7</v>
      </c>
      <c r="G1651" s="4" t="str">
        <f>HYPERLINK("http://141.218.60.56/~jnz1568/getInfo.php?workbook=18_08.xlsx&amp;sheet=U0&amp;row=1651&amp;col=7&amp;number=0.0104&amp;sourceID=14","0.0104")</f>
        <v>0.0104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HYPERLINK("http://141.218.60.56/~jnz1568/getInfo.php?workbook=18_08.xlsx&amp;sheet=U0&amp;row=1652&amp;col=6&amp;number=3.8&amp;sourceID=14","3.8")</f>
        <v>3.8</v>
      </c>
      <c r="G1652" s="4" t="str">
        <f>HYPERLINK("http://141.218.60.56/~jnz1568/getInfo.php?workbook=18_08.xlsx&amp;sheet=U0&amp;row=1652&amp;col=7&amp;number=0.0104&amp;sourceID=14","0.0104")</f>
        <v>0.0104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HYPERLINK("http://141.218.60.56/~jnz1568/getInfo.php?workbook=18_08.xlsx&amp;sheet=U0&amp;row=1653&amp;col=6&amp;number=3.9&amp;sourceID=14","3.9")</f>
        <v>3.9</v>
      </c>
      <c r="G1653" s="4" t="str">
        <f>HYPERLINK("http://141.218.60.56/~jnz1568/getInfo.php?workbook=18_08.xlsx&amp;sheet=U0&amp;row=1653&amp;col=7&amp;number=0.0104&amp;sourceID=14","0.0104")</f>
        <v>0.0104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HYPERLINK("http://141.218.60.56/~jnz1568/getInfo.php?workbook=18_08.xlsx&amp;sheet=U0&amp;row=1654&amp;col=6&amp;number=4&amp;sourceID=14","4")</f>
        <v>4</v>
      </c>
      <c r="G1654" s="4" t="str">
        <f>HYPERLINK("http://141.218.60.56/~jnz1568/getInfo.php?workbook=18_08.xlsx&amp;sheet=U0&amp;row=1654&amp;col=7&amp;number=0.0104&amp;sourceID=14","0.0104")</f>
        <v>0.0104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HYPERLINK("http://141.218.60.56/~jnz1568/getInfo.php?workbook=18_08.xlsx&amp;sheet=U0&amp;row=1655&amp;col=6&amp;number=4.1&amp;sourceID=14","4.1")</f>
        <v>4.1</v>
      </c>
      <c r="G1655" s="4" t="str">
        <f>HYPERLINK("http://141.218.60.56/~jnz1568/getInfo.php?workbook=18_08.xlsx&amp;sheet=U0&amp;row=1655&amp;col=7&amp;number=0.0104&amp;sourceID=14","0.0104")</f>
        <v>0.0104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HYPERLINK("http://141.218.60.56/~jnz1568/getInfo.php?workbook=18_08.xlsx&amp;sheet=U0&amp;row=1656&amp;col=6&amp;number=4.2&amp;sourceID=14","4.2")</f>
        <v>4.2</v>
      </c>
      <c r="G1656" s="4" t="str">
        <f>HYPERLINK("http://141.218.60.56/~jnz1568/getInfo.php?workbook=18_08.xlsx&amp;sheet=U0&amp;row=1656&amp;col=7&amp;number=0.0104&amp;sourceID=14","0.0104")</f>
        <v>0.0104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HYPERLINK("http://141.218.60.56/~jnz1568/getInfo.php?workbook=18_08.xlsx&amp;sheet=U0&amp;row=1657&amp;col=6&amp;number=4.3&amp;sourceID=14","4.3")</f>
        <v>4.3</v>
      </c>
      <c r="G1657" s="4" t="str">
        <f>HYPERLINK("http://141.218.60.56/~jnz1568/getInfo.php?workbook=18_08.xlsx&amp;sheet=U0&amp;row=1657&amp;col=7&amp;number=0.0104&amp;sourceID=14","0.0104")</f>
        <v>0.0104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HYPERLINK("http://141.218.60.56/~jnz1568/getInfo.php?workbook=18_08.xlsx&amp;sheet=U0&amp;row=1658&amp;col=6&amp;number=4.4&amp;sourceID=14","4.4")</f>
        <v>4.4</v>
      </c>
      <c r="G1658" s="4" t="str">
        <f>HYPERLINK("http://141.218.60.56/~jnz1568/getInfo.php?workbook=18_08.xlsx&amp;sheet=U0&amp;row=1658&amp;col=7&amp;number=0.0104&amp;sourceID=14","0.0104")</f>
        <v>0.0104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HYPERLINK("http://141.218.60.56/~jnz1568/getInfo.php?workbook=18_08.xlsx&amp;sheet=U0&amp;row=1659&amp;col=6&amp;number=4.5&amp;sourceID=14","4.5")</f>
        <v>4.5</v>
      </c>
      <c r="G1659" s="4" t="str">
        <f>HYPERLINK("http://141.218.60.56/~jnz1568/getInfo.php?workbook=18_08.xlsx&amp;sheet=U0&amp;row=1659&amp;col=7&amp;number=0.0104&amp;sourceID=14","0.0104")</f>
        <v>0.0104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HYPERLINK("http://141.218.60.56/~jnz1568/getInfo.php?workbook=18_08.xlsx&amp;sheet=U0&amp;row=1660&amp;col=6&amp;number=4.6&amp;sourceID=14","4.6")</f>
        <v>4.6</v>
      </c>
      <c r="G1660" s="4" t="str">
        <f>HYPERLINK("http://141.218.60.56/~jnz1568/getInfo.php?workbook=18_08.xlsx&amp;sheet=U0&amp;row=1660&amp;col=7&amp;number=0.0104&amp;sourceID=14","0.0104")</f>
        <v>0.0104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HYPERLINK("http://141.218.60.56/~jnz1568/getInfo.php?workbook=18_08.xlsx&amp;sheet=U0&amp;row=1661&amp;col=6&amp;number=4.7&amp;sourceID=14","4.7")</f>
        <v>4.7</v>
      </c>
      <c r="G1661" s="4" t="str">
        <f>HYPERLINK("http://141.218.60.56/~jnz1568/getInfo.php?workbook=18_08.xlsx&amp;sheet=U0&amp;row=1661&amp;col=7&amp;number=0.0104&amp;sourceID=14","0.0104")</f>
        <v>0.0104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HYPERLINK("http://141.218.60.56/~jnz1568/getInfo.php?workbook=18_08.xlsx&amp;sheet=U0&amp;row=1662&amp;col=6&amp;number=4.8&amp;sourceID=14","4.8")</f>
        <v>4.8</v>
      </c>
      <c r="G1662" s="4" t="str">
        <f>HYPERLINK("http://141.218.60.56/~jnz1568/getInfo.php?workbook=18_08.xlsx&amp;sheet=U0&amp;row=1662&amp;col=7&amp;number=0.0104&amp;sourceID=14","0.0104")</f>
        <v>0.0104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HYPERLINK("http://141.218.60.56/~jnz1568/getInfo.php?workbook=18_08.xlsx&amp;sheet=U0&amp;row=1663&amp;col=6&amp;number=4.9&amp;sourceID=14","4.9")</f>
        <v>4.9</v>
      </c>
      <c r="G1663" s="4" t="str">
        <f>HYPERLINK("http://141.218.60.56/~jnz1568/getInfo.php?workbook=18_08.xlsx&amp;sheet=U0&amp;row=1663&amp;col=7&amp;number=0.0104&amp;sourceID=14","0.0104")</f>
        <v>0.0104</v>
      </c>
    </row>
    <row r="1664" spans="1:7">
      <c r="A1664" s="3">
        <v>18</v>
      </c>
      <c r="B1664" s="3">
        <v>8</v>
      </c>
      <c r="C1664" s="3" t="s">
        <v>53</v>
      </c>
      <c r="D1664" s="3">
        <v>5</v>
      </c>
      <c r="E1664" s="3">
        <v>1</v>
      </c>
      <c r="F1664" s="4" t="str">
        <f>HYPERLINK("http://141.218.60.56/~jnz1568/getInfo.php?workbook=18_08.xlsx&amp;sheet=U0&amp;row=1664&amp;col=6&amp;number=3&amp;sourceID=14","3")</f>
        <v>3</v>
      </c>
      <c r="G1664" s="4" t="str">
        <f>HYPERLINK("http://141.218.60.56/~jnz1568/getInfo.php?workbook=18_08.xlsx&amp;sheet=U0&amp;row=1664&amp;col=7&amp;number=0.00919&amp;sourceID=14","0.00919")</f>
        <v>0.00919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HYPERLINK("http://141.218.60.56/~jnz1568/getInfo.php?workbook=18_08.xlsx&amp;sheet=U0&amp;row=1665&amp;col=6&amp;number=3.1&amp;sourceID=14","3.1")</f>
        <v>3.1</v>
      </c>
      <c r="G1665" s="4" t="str">
        <f>HYPERLINK("http://141.218.60.56/~jnz1568/getInfo.php?workbook=18_08.xlsx&amp;sheet=U0&amp;row=1665&amp;col=7&amp;number=0.00919&amp;sourceID=14","0.00919")</f>
        <v>0.00919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HYPERLINK("http://141.218.60.56/~jnz1568/getInfo.php?workbook=18_08.xlsx&amp;sheet=U0&amp;row=1666&amp;col=6&amp;number=3.2&amp;sourceID=14","3.2")</f>
        <v>3.2</v>
      </c>
      <c r="G1666" s="4" t="str">
        <f>HYPERLINK("http://141.218.60.56/~jnz1568/getInfo.php?workbook=18_08.xlsx&amp;sheet=U0&amp;row=1666&amp;col=7&amp;number=0.00919&amp;sourceID=14","0.00919")</f>
        <v>0.00919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HYPERLINK("http://141.218.60.56/~jnz1568/getInfo.php?workbook=18_08.xlsx&amp;sheet=U0&amp;row=1667&amp;col=6&amp;number=3.3&amp;sourceID=14","3.3")</f>
        <v>3.3</v>
      </c>
      <c r="G1667" s="4" t="str">
        <f>HYPERLINK("http://141.218.60.56/~jnz1568/getInfo.php?workbook=18_08.xlsx&amp;sheet=U0&amp;row=1667&amp;col=7&amp;number=0.00919&amp;sourceID=14","0.00919")</f>
        <v>0.00919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HYPERLINK("http://141.218.60.56/~jnz1568/getInfo.php?workbook=18_08.xlsx&amp;sheet=U0&amp;row=1668&amp;col=6&amp;number=3.4&amp;sourceID=14","3.4")</f>
        <v>3.4</v>
      </c>
      <c r="G1668" s="4" t="str">
        <f>HYPERLINK("http://141.218.60.56/~jnz1568/getInfo.php?workbook=18_08.xlsx&amp;sheet=U0&amp;row=1668&amp;col=7&amp;number=0.00919&amp;sourceID=14","0.00919")</f>
        <v>0.00919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HYPERLINK("http://141.218.60.56/~jnz1568/getInfo.php?workbook=18_08.xlsx&amp;sheet=U0&amp;row=1669&amp;col=6&amp;number=3.5&amp;sourceID=14","3.5")</f>
        <v>3.5</v>
      </c>
      <c r="G1669" s="4" t="str">
        <f>HYPERLINK("http://141.218.60.56/~jnz1568/getInfo.php?workbook=18_08.xlsx&amp;sheet=U0&amp;row=1669&amp;col=7&amp;number=0.00919&amp;sourceID=14","0.00919")</f>
        <v>0.00919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HYPERLINK("http://141.218.60.56/~jnz1568/getInfo.php?workbook=18_08.xlsx&amp;sheet=U0&amp;row=1670&amp;col=6&amp;number=3.6&amp;sourceID=14","3.6")</f>
        <v>3.6</v>
      </c>
      <c r="G1670" s="4" t="str">
        <f>HYPERLINK("http://141.218.60.56/~jnz1568/getInfo.php?workbook=18_08.xlsx&amp;sheet=U0&amp;row=1670&amp;col=7&amp;number=0.00918&amp;sourceID=14","0.00918")</f>
        <v>0.00918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HYPERLINK("http://141.218.60.56/~jnz1568/getInfo.php?workbook=18_08.xlsx&amp;sheet=U0&amp;row=1671&amp;col=6&amp;number=3.7&amp;sourceID=14","3.7")</f>
        <v>3.7</v>
      </c>
      <c r="G1671" s="4" t="str">
        <f>HYPERLINK("http://141.218.60.56/~jnz1568/getInfo.php?workbook=18_08.xlsx&amp;sheet=U0&amp;row=1671&amp;col=7&amp;number=0.00918&amp;sourceID=14","0.00918")</f>
        <v>0.00918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HYPERLINK("http://141.218.60.56/~jnz1568/getInfo.php?workbook=18_08.xlsx&amp;sheet=U0&amp;row=1672&amp;col=6&amp;number=3.8&amp;sourceID=14","3.8")</f>
        <v>3.8</v>
      </c>
      <c r="G1672" s="4" t="str">
        <f>HYPERLINK("http://141.218.60.56/~jnz1568/getInfo.php?workbook=18_08.xlsx&amp;sheet=U0&amp;row=1672&amp;col=7&amp;number=0.00918&amp;sourceID=14","0.00918")</f>
        <v>0.00918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HYPERLINK("http://141.218.60.56/~jnz1568/getInfo.php?workbook=18_08.xlsx&amp;sheet=U0&amp;row=1673&amp;col=6&amp;number=3.9&amp;sourceID=14","3.9")</f>
        <v>3.9</v>
      </c>
      <c r="G1673" s="4" t="str">
        <f>HYPERLINK("http://141.218.60.56/~jnz1568/getInfo.php?workbook=18_08.xlsx&amp;sheet=U0&amp;row=1673&amp;col=7&amp;number=0.00918&amp;sourceID=14","0.00918")</f>
        <v>0.00918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HYPERLINK("http://141.218.60.56/~jnz1568/getInfo.php?workbook=18_08.xlsx&amp;sheet=U0&amp;row=1674&amp;col=6&amp;number=4&amp;sourceID=14","4")</f>
        <v>4</v>
      </c>
      <c r="G1674" s="4" t="str">
        <f>HYPERLINK("http://141.218.60.56/~jnz1568/getInfo.php?workbook=18_08.xlsx&amp;sheet=U0&amp;row=1674&amp;col=7&amp;number=0.00917&amp;sourceID=14","0.00917")</f>
        <v>0.00917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HYPERLINK("http://141.218.60.56/~jnz1568/getInfo.php?workbook=18_08.xlsx&amp;sheet=U0&amp;row=1675&amp;col=6&amp;number=4.1&amp;sourceID=14","4.1")</f>
        <v>4.1</v>
      </c>
      <c r="G1675" s="4" t="str">
        <f>HYPERLINK("http://141.218.60.56/~jnz1568/getInfo.php?workbook=18_08.xlsx&amp;sheet=U0&amp;row=1675&amp;col=7&amp;number=0.00917&amp;sourceID=14","0.00917")</f>
        <v>0.00917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HYPERLINK("http://141.218.60.56/~jnz1568/getInfo.php?workbook=18_08.xlsx&amp;sheet=U0&amp;row=1676&amp;col=6&amp;number=4.2&amp;sourceID=14","4.2")</f>
        <v>4.2</v>
      </c>
      <c r="G1676" s="4" t="str">
        <f>HYPERLINK("http://141.218.60.56/~jnz1568/getInfo.php?workbook=18_08.xlsx&amp;sheet=U0&amp;row=1676&amp;col=7&amp;number=0.00917&amp;sourceID=14","0.00917")</f>
        <v>0.00917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HYPERLINK("http://141.218.60.56/~jnz1568/getInfo.php?workbook=18_08.xlsx&amp;sheet=U0&amp;row=1677&amp;col=6&amp;number=4.3&amp;sourceID=14","4.3")</f>
        <v>4.3</v>
      </c>
      <c r="G1677" s="4" t="str">
        <f>HYPERLINK("http://141.218.60.56/~jnz1568/getInfo.php?workbook=18_08.xlsx&amp;sheet=U0&amp;row=1677&amp;col=7&amp;number=0.00916&amp;sourceID=14","0.00916")</f>
        <v>0.00916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HYPERLINK("http://141.218.60.56/~jnz1568/getInfo.php?workbook=18_08.xlsx&amp;sheet=U0&amp;row=1678&amp;col=6&amp;number=4.4&amp;sourceID=14","4.4")</f>
        <v>4.4</v>
      </c>
      <c r="G1678" s="4" t="str">
        <f>HYPERLINK("http://141.218.60.56/~jnz1568/getInfo.php?workbook=18_08.xlsx&amp;sheet=U0&amp;row=1678&amp;col=7&amp;number=0.00915&amp;sourceID=14","0.00915")</f>
        <v>0.00915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HYPERLINK("http://141.218.60.56/~jnz1568/getInfo.php?workbook=18_08.xlsx&amp;sheet=U0&amp;row=1679&amp;col=6&amp;number=4.5&amp;sourceID=14","4.5")</f>
        <v>4.5</v>
      </c>
      <c r="G1679" s="4" t="str">
        <f>HYPERLINK("http://141.218.60.56/~jnz1568/getInfo.php?workbook=18_08.xlsx&amp;sheet=U0&amp;row=1679&amp;col=7&amp;number=0.00914&amp;sourceID=14","0.00914")</f>
        <v>0.00914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HYPERLINK("http://141.218.60.56/~jnz1568/getInfo.php?workbook=18_08.xlsx&amp;sheet=U0&amp;row=1680&amp;col=6&amp;number=4.6&amp;sourceID=14","4.6")</f>
        <v>4.6</v>
      </c>
      <c r="G1680" s="4" t="str">
        <f>HYPERLINK("http://141.218.60.56/~jnz1568/getInfo.php?workbook=18_08.xlsx&amp;sheet=U0&amp;row=1680&amp;col=7&amp;number=0.00913&amp;sourceID=14","0.00913")</f>
        <v>0.00913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HYPERLINK("http://141.218.60.56/~jnz1568/getInfo.php?workbook=18_08.xlsx&amp;sheet=U0&amp;row=1681&amp;col=6&amp;number=4.7&amp;sourceID=14","4.7")</f>
        <v>4.7</v>
      </c>
      <c r="G1681" s="4" t="str">
        <f>HYPERLINK("http://141.218.60.56/~jnz1568/getInfo.php?workbook=18_08.xlsx&amp;sheet=U0&amp;row=1681&amp;col=7&amp;number=0.00911&amp;sourceID=14","0.00911")</f>
        <v>0.00911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HYPERLINK("http://141.218.60.56/~jnz1568/getInfo.php?workbook=18_08.xlsx&amp;sheet=U0&amp;row=1682&amp;col=6&amp;number=4.8&amp;sourceID=14","4.8")</f>
        <v>4.8</v>
      </c>
      <c r="G1682" s="4" t="str">
        <f>HYPERLINK("http://141.218.60.56/~jnz1568/getInfo.php?workbook=18_08.xlsx&amp;sheet=U0&amp;row=1682&amp;col=7&amp;number=0.00909&amp;sourceID=14","0.00909")</f>
        <v>0.00909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HYPERLINK("http://141.218.60.56/~jnz1568/getInfo.php?workbook=18_08.xlsx&amp;sheet=U0&amp;row=1683&amp;col=6&amp;number=4.9&amp;sourceID=14","4.9")</f>
        <v>4.9</v>
      </c>
      <c r="G1683" s="4" t="str">
        <f>HYPERLINK("http://141.218.60.56/~jnz1568/getInfo.php?workbook=18_08.xlsx&amp;sheet=U0&amp;row=1683&amp;col=7&amp;number=0.00907&amp;sourceID=14","0.00907")</f>
        <v>0.00907</v>
      </c>
    </row>
    <row r="1684" spans="1:7">
      <c r="A1684" s="3">
        <v>18</v>
      </c>
      <c r="B1684" s="3">
        <v>8</v>
      </c>
      <c r="C1684" s="3" t="s">
        <v>53</v>
      </c>
      <c r="D1684" s="3">
        <v>6</v>
      </c>
      <c r="E1684" s="3">
        <v>1</v>
      </c>
      <c r="F1684" s="4" t="str">
        <f>HYPERLINK("http://141.218.60.56/~jnz1568/getInfo.php?workbook=18_08.xlsx&amp;sheet=U0&amp;row=1684&amp;col=6&amp;number=3&amp;sourceID=14","3")</f>
        <v>3</v>
      </c>
      <c r="G1684" s="4" t="str">
        <f>HYPERLINK("http://141.218.60.56/~jnz1568/getInfo.php?workbook=18_08.xlsx&amp;sheet=U0&amp;row=1684&amp;col=7&amp;number=0.00321&amp;sourceID=14","0.00321")</f>
        <v>0.00321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HYPERLINK("http://141.218.60.56/~jnz1568/getInfo.php?workbook=18_08.xlsx&amp;sheet=U0&amp;row=1685&amp;col=6&amp;number=3.1&amp;sourceID=14","3.1")</f>
        <v>3.1</v>
      </c>
      <c r="G1685" s="4" t="str">
        <f>HYPERLINK("http://141.218.60.56/~jnz1568/getInfo.php?workbook=18_08.xlsx&amp;sheet=U0&amp;row=1685&amp;col=7&amp;number=0.00321&amp;sourceID=14","0.00321")</f>
        <v>0.00321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HYPERLINK("http://141.218.60.56/~jnz1568/getInfo.php?workbook=18_08.xlsx&amp;sheet=U0&amp;row=1686&amp;col=6&amp;number=3.2&amp;sourceID=14","3.2")</f>
        <v>3.2</v>
      </c>
      <c r="G1686" s="4" t="str">
        <f>HYPERLINK("http://141.218.60.56/~jnz1568/getInfo.php?workbook=18_08.xlsx&amp;sheet=U0&amp;row=1686&amp;col=7&amp;number=0.00321&amp;sourceID=14","0.00321")</f>
        <v>0.00321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HYPERLINK("http://141.218.60.56/~jnz1568/getInfo.php?workbook=18_08.xlsx&amp;sheet=U0&amp;row=1687&amp;col=6&amp;number=3.3&amp;sourceID=14","3.3")</f>
        <v>3.3</v>
      </c>
      <c r="G1687" s="4" t="str">
        <f>HYPERLINK("http://141.218.60.56/~jnz1568/getInfo.php?workbook=18_08.xlsx&amp;sheet=U0&amp;row=1687&amp;col=7&amp;number=0.00321&amp;sourceID=14","0.00321")</f>
        <v>0.00321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HYPERLINK("http://141.218.60.56/~jnz1568/getInfo.php?workbook=18_08.xlsx&amp;sheet=U0&amp;row=1688&amp;col=6&amp;number=3.4&amp;sourceID=14","3.4")</f>
        <v>3.4</v>
      </c>
      <c r="G1688" s="4" t="str">
        <f>HYPERLINK("http://141.218.60.56/~jnz1568/getInfo.php?workbook=18_08.xlsx&amp;sheet=U0&amp;row=1688&amp;col=7&amp;number=0.00321&amp;sourceID=14","0.00321")</f>
        <v>0.00321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HYPERLINK("http://141.218.60.56/~jnz1568/getInfo.php?workbook=18_08.xlsx&amp;sheet=U0&amp;row=1689&amp;col=6&amp;number=3.5&amp;sourceID=14","3.5")</f>
        <v>3.5</v>
      </c>
      <c r="G1689" s="4" t="str">
        <f>HYPERLINK("http://141.218.60.56/~jnz1568/getInfo.php?workbook=18_08.xlsx&amp;sheet=U0&amp;row=1689&amp;col=7&amp;number=0.00321&amp;sourceID=14","0.00321")</f>
        <v>0.00321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HYPERLINK("http://141.218.60.56/~jnz1568/getInfo.php?workbook=18_08.xlsx&amp;sheet=U0&amp;row=1690&amp;col=6&amp;number=3.6&amp;sourceID=14","3.6")</f>
        <v>3.6</v>
      </c>
      <c r="G1690" s="4" t="str">
        <f>HYPERLINK("http://141.218.60.56/~jnz1568/getInfo.php?workbook=18_08.xlsx&amp;sheet=U0&amp;row=1690&amp;col=7&amp;number=0.00321&amp;sourceID=14","0.00321")</f>
        <v>0.00321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HYPERLINK("http://141.218.60.56/~jnz1568/getInfo.php?workbook=18_08.xlsx&amp;sheet=U0&amp;row=1691&amp;col=6&amp;number=3.7&amp;sourceID=14","3.7")</f>
        <v>3.7</v>
      </c>
      <c r="G1691" s="4" t="str">
        <f>HYPERLINK("http://141.218.60.56/~jnz1568/getInfo.php?workbook=18_08.xlsx&amp;sheet=U0&amp;row=1691&amp;col=7&amp;number=0.00321&amp;sourceID=14","0.00321")</f>
        <v>0.00321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HYPERLINK("http://141.218.60.56/~jnz1568/getInfo.php?workbook=18_08.xlsx&amp;sheet=U0&amp;row=1692&amp;col=6&amp;number=3.8&amp;sourceID=14","3.8")</f>
        <v>3.8</v>
      </c>
      <c r="G1692" s="4" t="str">
        <f>HYPERLINK("http://141.218.60.56/~jnz1568/getInfo.php?workbook=18_08.xlsx&amp;sheet=U0&amp;row=1692&amp;col=7&amp;number=0.00321&amp;sourceID=14","0.00321")</f>
        <v>0.00321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HYPERLINK("http://141.218.60.56/~jnz1568/getInfo.php?workbook=18_08.xlsx&amp;sheet=U0&amp;row=1693&amp;col=6&amp;number=3.9&amp;sourceID=14","3.9")</f>
        <v>3.9</v>
      </c>
      <c r="G1693" s="4" t="str">
        <f>HYPERLINK("http://141.218.60.56/~jnz1568/getInfo.php?workbook=18_08.xlsx&amp;sheet=U0&amp;row=1693&amp;col=7&amp;number=0.00321&amp;sourceID=14","0.00321")</f>
        <v>0.00321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HYPERLINK("http://141.218.60.56/~jnz1568/getInfo.php?workbook=18_08.xlsx&amp;sheet=U0&amp;row=1694&amp;col=6&amp;number=4&amp;sourceID=14","4")</f>
        <v>4</v>
      </c>
      <c r="G1694" s="4" t="str">
        <f>HYPERLINK("http://141.218.60.56/~jnz1568/getInfo.php?workbook=18_08.xlsx&amp;sheet=U0&amp;row=1694&amp;col=7&amp;number=0.00321&amp;sourceID=14","0.00321")</f>
        <v>0.00321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HYPERLINK("http://141.218.60.56/~jnz1568/getInfo.php?workbook=18_08.xlsx&amp;sheet=U0&amp;row=1695&amp;col=6&amp;number=4.1&amp;sourceID=14","4.1")</f>
        <v>4.1</v>
      </c>
      <c r="G1695" s="4" t="str">
        <f>HYPERLINK("http://141.218.60.56/~jnz1568/getInfo.php?workbook=18_08.xlsx&amp;sheet=U0&amp;row=1695&amp;col=7&amp;number=0.0032&amp;sourceID=14","0.0032")</f>
        <v>0.0032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HYPERLINK("http://141.218.60.56/~jnz1568/getInfo.php?workbook=18_08.xlsx&amp;sheet=U0&amp;row=1696&amp;col=6&amp;number=4.2&amp;sourceID=14","4.2")</f>
        <v>4.2</v>
      </c>
      <c r="G1696" s="4" t="str">
        <f>HYPERLINK("http://141.218.60.56/~jnz1568/getInfo.php?workbook=18_08.xlsx&amp;sheet=U0&amp;row=1696&amp;col=7&amp;number=0.0032&amp;sourceID=14","0.0032")</f>
        <v>0.0032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HYPERLINK("http://141.218.60.56/~jnz1568/getInfo.php?workbook=18_08.xlsx&amp;sheet=U0&amp;row=1697&amp;col=6&amp;number=4.3&amp;sourceID=14","4.3")</f>
        <v>4.3</v>
      </c>
      <c r="G1697" s="4" t="str">
        <f>HYPERLINK("http://141.218.60.56/~jnz1568/getInfo.php?workbook=18_08.xlsx&amp;sheet=U0&amp;row=1697&amp;col=7&amp;number=0.0032&amp;sourceID=14","0.0032")</f>
        <v>0.0032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HYPERLINK("http://141.218.60.56/~jnz1568/getInfo.php?workbook=18_08.xlsx&amp;sheet=U0&amp;row=1698&amp;col=6&amp;number=4.4&amp;sourceID=14","4.4")</f>
        <v>4.4</v>
      </c>
      <c r="G1698" s="4" t="str">
        <f>HYPERLINK("http://141.218.60.56/~jnz1568/getInfo.php?workbook=18_08.xlsx&amp;sheet=U0&amp;row=1698&amp;col=7&amp;number=0.00319&amp;sourceID=14","0.00319")</f>
        <v>0.00319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HYPERLINK("http://141.218.60.56/~jnz1568/getInfo.php?workbook=18_08.xlsx&amp;sheet=U0&amp;row=1699&amp;col=6&amp;number=4.5&amp;sourceID=14","4.5")</f>
        <v>4.5</v>
      </c>
      <c r="G1699" s="4" t="str">
        <f>HYPERLINK("http://141.218.60.56/~jnz1568/getInfo.php?workbook=18_08.xlsx&amp;sheet=U0&amp;row=1699&amp;col=7&amp;number=0.00319&amp;sourceID=14","0.00319")</f>
        <v>0.00319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HYPERLINK("http://141.218.60.56/~jnz1568/getInfo.php?workbook=18_08.xlsx&amp;sheet=U0&amp;row=1700&amp;col=6&amp;number=4.6&amp;sourceID=14","4.6")</f>
        <v>4.6</v>
      </c>
      <c r="G1700" s="4" t="str">
        <f>HYPERLINK("http://141.218.60.56/~jnz1568/getInfo.php?workbook=18_08.xlsx&amp;sheet=U0&amp;row=1700&amp;col=7&amp;number=0.00318&amp;sourceID=14","0.00318")</f>
        <v>0.00318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HYPERLINK("http://141.218.60.56/~jnz1568/getInfo.php?workbook=18_08.xlsx&amp;sheet=U0&amp;row=1701&amp;col=6&amp;number=4.7&amp;sourceID=14","4.7")</f>
        <v>4.7</v>
      </c>
      <c r="G1701" s="4" t="str">
        <f>HYPERLINK("http://141.218.60.56/~jnz1568/getInfo.php?workbook=18_08.xlsx&amp;sheet=U0&amp;row=1701&amp;col=7&amp;number=0.00317&amp;sourceID=14","0.00317")</f>
        <v>0.00317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HYPERLINK("http://141.218.60.56/~jnz1568/getInfo.php?workbook=18_08.xlsx&amp;sheet=U0&amp;row=1702&amp;col=6&amp;number=4.8&amp;sourceID=14","4.8")</f>
        <v>4.8</v>
      </c>
      <c r="G1702" s="4" t="str">
        <f>HYPERLINK("http://141.218.60.56/~jnz1568/getInfo.php?workbook=18_08.xlsx&amp;sheet=U0&amp;row=1702&amp;col=7&amp;number=0.00316&amp;sourceID=14","0.00316")</f>
        <v>0.00316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HYPERLINK("http://141.218.60.56/~jnz1568/getInfo.php?workbook=18_08.xlsx&amp;sheet=U0&amp;row=1703&amp;col=6&amp;number=4.9&amp;sourceID=14","4.9")</f>
        <v>4.9</v>
      </c>
      <c r="G1703" s="4" t="str">
        <f>HYPERLINK("http://141.218.60.56/~jnz1568/getInfo.php?workbook=18_08.xlsx&amp;sheet=U0&amp;row=1703&amp;col=7&amp;number=0.00315&amp;sourceID=14","0.00315")</f>
        <v>0.00315</v>
      </c>
    </row>
    <row r="1704" spans="1:7">
      <c r="A1704" s="3">
        <v>18</v>
      </c>
      <c r="B1704" s="3">
        <v>8</v>
      </c>
      <c r="C1704" s="3">
        <v>2</v>
      </c>
      <c r="D1704" s="3">
        <v>3</v>
      </c>
      <c r="E1704" s="3">
        <v>1</v>
      </c>
      <c r="F1704" s="4" t="str">
        <f>HYPERLINK("http://141.218.60.56/~jnz1568/getInfo.php?workbook=18_08.xlsx&amp;sheet=U0&amp;row=1704&amp;col=6&amp;number=3&amp;sourceID=14","3")</f>
        <v>3</v>
      </c>
      <c r="G1704" s="4" t="str">
        <f>HYPERLINK("http://141.218.60.56/~jnz1568/getInfo.php?workbook=18_08.xlsx&amp;sheet=U0&amp;row=1704&amp;col=7&amp;number=0.0463&amp;sourceID=14","0.0463")</f>
        <v>0.0463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HYPERLINK("http://141.218.60.56/~jnz1568/getInfo.php?workbook=18_08.xlsx&amp;sheet=U0&amp;row=1705&amp;col=6&amp;number=3.1&amp;sourceID=14","3.1")</f>
        <v>3.1</v>
      </c>
      <c r="G1705" s="4" t="str">
        <f>HYPERLINK("http://141.218.60.56/~jnz1568/getInfo.php?workbook=18_08.xlsx&amp;sheet=U0&amp;row=1705&amp;col=7&amp;number=0.0463&amp;sourceID=14","0.0463")</f>
        <v>0.0463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HYPERLINK("http://141.218.60.56/~jnz1568/getInfo.php?workbook=18_08.xlsx&amp;sheet=U0&amp;row=1706&amp;col=6&amp;number=3.2&amp;sourceID=14","3.2")</f>
        <v>3.2</v>
      </c>
      <c r="G1706" s="4" t="str">
        <f>HYPERLINK("http://141.218.60.56/~jnz1568/getInfo.php?workbook=18_08.xlsx&amp;sheet=U0&amp;row=1706&amp;col=7&amp;number=0.0463&amp;sourceID=14","0.0463")</f>
        <v>0.0463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HYPERLINK("http://141.218.60.56/~jnz1568/getInfo.php?workbook=18_08.xlsx&amp;sheet=U0&amp;row=1707&amp;col=6&amp;number=3.3&amp;sourceID=14","3.3")</f>
        <v>3.3</v>
      </c>
      <c r="G1707" s="4" t="str">
        <f>HYPERLINK("http://141.218.60.56/~jnz1568/getInfo.php?workbook=18_08.xlsx&amp;sheet=U0&amp;row=1707&amp;col=7&amp;number=0.0463&amp;sourceID=14","0.0463")</f>
        <v>0.0463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HYPERLINK("http://141.218.60.56/~jnz1568/getInfo.php?workbook=18_08.xlsx&amp;sheet=U0&amp;row=1708&amp;col=6&amp;number=3.4&amp;sourceID=14","3.4")</f>
        <v>3.4</v>
      </c>
      <c r="G1708" s="4" t="str">
        <f>HYPERLINK("http://141.218.60.56/~jnz1568/getInfo.php?workbook=18_08.xlsx&amp;sheet=U0&amp;row=1708&amp;col=7&amp;number=0.0463&amp;sourceID=14","0.0463")</f>
        <v>0.0463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HYPERLINK("http://141.218.60.56/~jnz1568/getInfo.php?workbook=18_08.xlsx&amp;sheet=U0&amp;row=1709&amp;col=6&amp;number=3.5&amp;sourceID=14","3.5")</f>
        <v>3.5</v>
      </c>
      <c r="G1709" s="4" t="str">
        <f>HYPERLINK("http://141.218.60.56/~jnz1568/getInfo.php?workbook=18_08.xlsx&amp;sheet=U0&amp;row=1709&amp;col=7&amp;number=0.0463&amp;sourceID=14","0.0463")</f>
        <v>0.0463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HYPERLINK("http://141.218.60.56/~jnz1568/getInfo.php?workbook=18_08.xlsx&amp;sheet=U0&amp;row=1710&amp;col=6&amp;number=3.6&amp;sourceID=14","3.6")</f>
        <v>3.6</v>
      </c>
      <c r="G1710" s="4" t="str">
        <f>HYPERLINK("http://141.218.60.56/~jnz1568/getInfo.php?workbook=18_08.xlsx&amp;sheet=U0&amp;row=1710&amp;col=7&amp;number=0.0463&amp;sourceID=14","0.0463")</f>
        <v>0.0463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HYPERLINK("http://141.218.60.56/~jnz1568/getInfo.php?workbook=18_08.xlsx&amp;sheet=U0&amp;row=1711&amp;col=6&amp;number=3.7&amp;sourceID=14","3.7")</f>
        <v>3.7</v>
      </c>
      <c r="G1711" s="4" t="str">
        <f>HYPERLINK("http://141.218.60.56/~jnz1568/getInfo.php?workbook=18_08.xlsx&amp;sheet=U0&amp;row=1711&amp;col=7&amp;number=0.0463&amp;sourceID=14","0.0463")</f>
        <v>0.0463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HYPERLINK("http://141.218.60.56/~jnz1568/getInfo.php?workbook=18_08.xlsx&amp;sheet=U0&amp;row=1712&amp;col=6&amp;number=3.8&amp;sourceID=14","3.8")</f>
        <v>3.8</v>
      </c>
      <c r="G1712" s="4" t="str">
        <f>HYPERLINK("http://141.218.60.56/~jnz1568/getInfo.php?workbook=18_08.xlsx&amp;sheet=U0&amp;row=1712&amp;col=7&amp;number=0.0463&amp;sourceID=14","0.0463")</f>
        <v>0.0463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HYPERLINK("http://141.218.60.56/~jnz1568/getInfo.php?workbook=18_08.xlsx&amp;sheet=U0&amp;row=1713&amp;col=6&amp;number=3.9&amp;sourceID=14","3.9")</f>
        <v>3.9</v>
      </c>
      <c r="G1713" s="4" t="str">
        <f>HYPERLINK("http://141.218.60.56/~jnz1568/getInfo.php?workbook=18_08.xlsx&amp;sheet=U0&amp;row=1713&amp;col=7&amp;number=0.0463&amp;sourceID=14","0.0463")</f>
        <v>0.0463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HYPERLINK("http://141.218.60.56/~jnz1568/getInfo.php?workbook=18_08.xlsx&amp;sheet=U0&amp;row=1714&amp;col=6&amp;number=4&amp;sourceID=14","4")</f>
        <v>4</v>
      </c>
      <c r="G1714" s="4" t="str">
        <f>HYPERLINK("http://141.218.60.56/~jnz1568/getInfo.php?workbook=18_08.xlsx&amp;sheet=U0&amp;row=1714&amp;col=7&amp;number=0.0463&amp;sourceID=14","0.0463")</f>
        <v>0.0463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HYPERLINK("http://141.218.60.56/~jnz1568/getInfo.php?workbook=18_08.xlsx&amp;sheet=U0&amp;row=1715&amp;col=6&amp;number=4.1&amp;sourceID=14","4.1")</f>
        <v>4.1</v>
      </c>
      <c r="G1715" s="4" t="str">
        <f>HYPERLINK("http://141.218.60.56/~jnz1568/getInfo.php?workbook=18_08.xlsx&amp;sheet=U0&amp;row=1715&amp;col=7&amp;number=0.0463&amp;sourceID=14","0.0463")</f>
        <v>0.0463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HYPERLINK("http://141.218.60.56/~jnz1568/getInfo.php?workbook=18_08.xlsx&amp;sheet=U0&amp;row=1716&amp;col=6&amp;number=4.2&amp;sourceID=14","4.2")</f>
        <v>4.2</v>
      </c>
      <c r="G1716" s="4" t="str">
        <f>HYPERLINK("http://141.218.60.56/~jnz1568/getInfo.php?workbook=18_08.xlsx&amp;sheet=U0&amp;row=1716&amp;col=7&amp;number=0.0462&amp;sourceID=14","0.0462")</f>
        <v>0.0462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HYPERLINK("http://141.218.60.56/~jnz1568/getInfo.php?workbook=18_08.xlsx&amp;sheet=U0&amp;row=1717&amp;col=6&amp;number=4.3&amp;sourceID=14","4.3")</f>
        <v>4.3</v>
      </c>
      <c r="G1717" s="4" t="str">
        <f>HYPERLINK("http://141.218.60.56/~jnz1568/getInfo.php?workbook=18_08.xlsx&amp;sheet=U0&amp;row=1717&amp;col=7&amp;number=0.0462&amp;sourceID=14","0.0462")</f>
        <v>0.0462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HYPERLINK("http://141.218.60.56/~jnz1568/getInfo.php?workbook=18_08.xlsx&amp;sheet=U0&amp;row=1718&amp;col=6&amp;number=4.4&amp;sourceID=14","4.4")</f>
        <v>4.4</v>
      </c>
      <c r="G1718" s="4" t="str">
        <f>HYPERLINK("http://141.218.60.56/~jnz1568/getInfo.php?workbook=18_08.xlsx&amp;sheet=U0&amp;row=1718&amp;col=7&amp;number=0.0462&amp;sourceID=14","0.0462")</f>
        <v>0.0462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HYPERLINK("http://141.218.60.56/~jnz1568/getInfo.php?workbook=18_08.xlsx&amp;sheet=U0&amp;row=1719&amp;col=6&amp;number=4.5&amp;sourceID=14","4.5")</f>
        <v>4.5</v>
      </c>
      <c r="G1719" s="4" t="str">
        <f>HYPERLINK("http://141.218.60.56/~jnz1568/getInfo.php?workbook=18_08.xlsx&amp;sheet=U0&amp;row=1719&amp;col=7&amp;number=0.0462&amp;sourceID=14","0.0462")</f>
        <v>0.0462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HYPERLINK("http://141.218.60.56/~jnz1568/getInfo.php?workbook=18_08.xlsx&amp;sheet=U0&amp;row=1720&amp;col=6&amp;number=4.6&amp;sourceID=14","4.6")</f>
        <v>4.6</v>
      </c>
      <c r="G1720" s="4" t="str">
        <f>HYPERLINK("http://141.218.60.56/~jnz1568/getInfo.php?workbook=18_08.xlsx&amp;sheet=U0&amp;row=1720&amp;col=7&amp;number=0.0461&amp;sourceID=14","0.0461")</f>
        <v>0.0461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HYPERLINK("http://141.218.60.56/~jnz1568/getInfo.php?workbook=18_08.xlsx&amp;sheet=U0&amp;row=1721&amp;col=6&amp;number=4.7&amp;sourceID=14","4.7")</f>
        <v>4.7</v>
      </c>
      <c r="G1721" s="4" t="str">
        <f>HYPERLINK("http://141.218.60.56/~jnz1568/getInfo.php?workbook=18_08.xlsx&amp;sheet=U0&amp;row=1721&amp;col=7&amp;number=0.0461&amp;sourceID=14","0.0461")</f>
        <v>0.0461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HYPERLINK("http://141.218.60.56/~jnz1568/getInfo.php?workbook=18_08.xlsx&amp;sheet=U0&amp;row=1722&amp;col=6&amp;number=4.8&amp;sourceID=14","4.8")</f>
        <v>4.8</v>
      </c>
      <c r="G1722" s="4" t="str">
        <f>HYPERLINK("http://141.218.60.56/~jnz1568/getInfo.php?workbook=18_08.xlsx&amp;sheet=U0&amp;row=1722&amp;col=7&amp;number=0.046&amp;sourceID=14","0.046")</f>
        <v>0.046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HYPERLINK("http://141.218.60.56/~jnz1568/getInfo.php?workbook=18_08.xlsx&amp;sheet=U0&amp;row=1723&amp;col=6&amp;number=4.9&amp;sourceID=14","4.9")</f>
        <v>4.9</v>
      </c>
      <c r="G1723" s="4" t="str">
        <f>HYPERLINK("http://141.218.60.56/~jnz1568/getInfo.php?workbook=18_08.xlsx&amp;sheet=U0&amp;row=1723&amp;col=7&amp;number=0.0459&amp;sourceID=14","0.0459")</f>
        <v>0.0459</v>
      </c>
    </row>
    <row r="1724" spans="1:7">
      <c r="A1724" s="3">
        <v>18</v>
      </c>
      <c r="B1724" s="3">
        <v>8</v>
      </c>
      <c r="C1724" s="3">
        <v>2</v>
      </c>
      <c r="D1724" s="3">
        <v>4</v>
      </c>
      <c r="E1724" s="3">
        <v>1</v>
      </c>
      <c r="F1724" s="4" t="str">
        <f>HYPERLINK("http://141.218.60.56/~jnz1568/getInfo.php?workbook=18_08.xlsx&amp;sheet=U0&amp;row=1724&amp;col=6&amp;number=3&amp;sourceID=14","3")</f>
        <v>3</v>
      </c>
      <c r="G1724" s="4" t="str">
        <f>HYPERLINK("http://141.218.60.56/~jnz1568/getInfo.php?workbook=18_08.xlsx&amp;sheet=U0&amp;row=1724&amp;col=7&amp;number=0.0857&amp;sourceID=14","0.0857")</f>
        <v>0.0857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HYPERLINK("http://141.218.60.56/~jnz1568/getInfo.php?workbook=18_08.xlsx&amp;sheet=U0&amp;row=1725&amp;col=6&amp;number=3.1&amp;sourceID=14","3.1")</f>
        <v>3.1</v>
      </c>
      <c r="G1725" s="4" t="str">
        <f>HYPERLINK("http://141.218.60.56/~jnz1568/getInfo.php?workbook=18_08.xlsx&amp;sheet=U0&amp;row=1725&amp;col=7&amp;number=0.0857&amp;sourceID=14","0.0857")</f>
        <v>0.0857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HYPERLINK("http://141.218.60.56/~jnz1568/getInfo.php?workbook=18_08.xlsx&amp;sheet=U0&amp;row=1726&amp;col=6&amp;number=3.2&amp;sourceID=14","3.2")</f>
        <v>3.2</v>
      </c>
      <c r="G1726" s="4" t="str">
        <f>HYPERLINK("http://141.218.60.56/~jnz1568/getInfo.php?workbook=18_08.xlsx&amp;sheet=U0&amp;row=1726&amp;col=7&amp;number=0.0857&amp;sourceID=14","0.0857")</f>
        <v>0.0857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HYPERLINK("http://141.218.60.56/~jnz1568/getInfo.php?workbook=18_08.xlsx&amp;sheet=U0&amp;row=1727&amp;col=6&amp;number=3.3&amp;sourceID=14","3.3")</f>
        <v>3.3</v>
      </c>
      <c r="G1727" s="4" t="str">
        <f>HYPERLINK("http://141.218.60.56/~jnz1568/getInfo.php?workbook=18_08.xlsx&amp;sheet=U0&amp;row=1727&amp;col=7&amp;number=0.0857&amp;sourceID=14","0.0857")</f>
        <v>0.0857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HYPERLINK("http://141.218.60.56/~jnz1568/getInfo.php?workbook=18_08.xlsx&amp;sheet=U0&amp;row=1728&amp;col=6&amp;number=3.4&amp;sourceID=14","3.4")</f>
        <v>3.4</v>
      </c>
      <c r="G1728" s="4" t="str">
        <f>HYPERLINK("http://141.218.60.56/~jnz1568/getInfo.php?workbook=18_08.xlsx&amp;sheet=U0&amp;row=1728&amp;col=7&amp;number=0.0857&amp;sourceID=14","0.0857")</f>
        <v>0.0857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HYPERLINK("http://141.218.60.56/~jnz1568/getInfo.php?workbook=18_08.xlsx&amp;sheet=U0&amp;row=1729&amp;col=6&amp;number=3.5&amp;sourceID=14","3.5")</f>
        <v>3.5</v>
      </c>
      <c r="G1729" s="4" t="str">
        <f>HYPERLINK("http://141.218.60.56/~jnz1568/getInfo.php?workbook=18_08.xlsx&amp;sheet=U0&amp;row=1729&amp;col=7&amp;number=0.0857&amp;sourceID=14","0.0857")</f>
        <v>0.0857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HYPERLINK("http://141.218.60.56/~jnz1568/getInfo.php?workbook=18_08.xlsx&amp;sheet=U0&amp;row=1730&amp;col=6&amp;number=3.6&amp;sourceID=14","3.6")</f>
        <v>3.6</v>
      </c>
      <c r="G1730" s="4" t="str">
        <f>HYPERLINK("http://141.218.60.56/~jnz1568/getInfo.php?workbook=18_08.xlsx&amp;sheet=U0&amp;row=1730&amp;col=7&amp;number=0.0857&amp;sourceID=14","0.0857")</f>
        <v>0.0857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HYPERLINK("http://141.218.60.56/~jnz1568/getInfo.php?workbook=18_08.xlsx&amp;sheet=U0&amp;row=1731&amp;col=6&amp;number=3.7&amp;sourceID=14","3.7")</f>
        <v>3.7</v>
      </c>
      <c r="G1731" s="4" t="str">
        <f>HYPERLINK("http://141.218.60.56/~jnz1568/getInfo.php?workbook=18_08.xlsx&amp;sheet=U0&amp;row=1731&amp;col=7&amp;number=0.0857&amp;sourceID=14","0.0857")</f>
        <v>0.0857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HYPERLINK("http://141.218.60.56/~jnz1568/getInfo.php?workbook=18_08.xlsx&amp;sheet=U0&amp;row=1732&amp;col=6&amp;number=3.8&amp;sourceID=14","3.8")</f>
        <v>3.8</v>
      </c>
      <c r="G1732" s="4" t="str">
        <f>HYPERLINK("http://141.218.60.56/~jnz1568/getInfo.php?workbook=18_08.xlsx&amp;sheet=U0&amp;row=1732&amp;col=7&amp;number=0.0856&amp;sourceID=14","0.0856")</f>
        <v>0.0856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HYPERLINK("http://141.218.60.56/~jnz1568/getInfo.php?workbook=18_08.xlsx&amp;sheet=U0&amp;row=1733&amp;col=6&amp;number=3.9&amp;sourceID=14","3.9")</f>
        <v>3.9</v>
      </c>
      <c r="G1733" s="4" t="str">
        <f>HYPERLINK("http://141.218.60.56/~jnz1568/getInfo.php?workbook=18_08.xlsx&amp;sheet=U0&amp;row=1733&amp;col=7&amp;number=0.0856&amp;sourceID=14","0.0856")</f>
        <v>0.0856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HYPERLINK("http://141.218.60.56/~jnz1568/getInfo.php?workbook=18_08.xlsx&amp;sheet=U0&amp;row=1734&amp;col=6&amp;number=4&amp;sourceID=14","4")</f>
        <v>4</v>
      </c>
      <c r="G1734" s="4" t="str">
        <f>HYPERLINK("http://141.218.60.56/~jnz1568/getInfo.php?workbook=18_08.xlsx&amp;sheet=U0&amp;row=1734&amp;col=7&amp;number=0.0856&amp;sourceID=14","0.0856")</f>
        <v>0.0856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HYPERLINK("http://141.218.60.56/~jnz1568/getInfo.php?workbook=18_08.xlsx&amp;sheet=U0&amp;row=1735&amp;col=6&amp;number=4.1&amp;sourceID=14","4.1")</f>
        <v>4.1</v>
      </c>
      <c r="G1735" s="4" t="str">
        <f>HYPERLINK("http://141.218.60.56/~jnz1568/getInfo.php?workbook=18_08.xlsx&amp;sheet=U0&amp;row=1735&amp;col=7&amp;number=0.0856&amp;sourceID=14","0.0856")</f>
        <v>0.0856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HYPERLINK("http://141.218.60.56/~jnz1568/getInfo.php?workbook=18_08.xlsx&amp;sheet=U0&amp;row=1736&amp;col=6&amp;number=4.2&amp;sourceID=14","4.2")</f>
        <v>4.2</v>
      </c>
      <c r="G1736" s="4" t="str">
        <f>HYPERLINK("http://141.218.60.56/~jnz1568/getInfo.php?workbook=18_08.xlsx&amp;sheet=U0&amp;row=1736&amp;col=7&amp;number=0.0855&amp;sourceID=14","0.0855")</f>
        <v>0.0855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HYPERLINK("http://141.218.60.56/~jnz1568/getInfo.php?workbook=18_08.xlsx&amp;sheet=U0&amp;row=1737&amp;col=6&amp;number=4.3&amp;sourceID=14","4.3")</f>
        <v>4.3</v>
      </c>
      <c r="G1737" s="4" t="str">
        <f>HYPERLINK("http://141.218.60.56/~jnz1568/getInfo.php?workbook=18_08.xlsx&amp;sheet=U0&amp;row=1737&amp;col=7&amp;number=0.0855&amp;sourceID=14","0.0855")</f>
        <v>0.0855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HYPERLINK("http://141.218.60.56/~jnz1568/getInfo.php?workbook=18_08.xlsx&amp;sheet=U0&amp;row=1738&amp;col=6&amp;number=4.4&amp;sourceID=14","4.4")</f>
        <v>4.4</v>
      </c>
      <c r="G1738" s="4" t="str">
        <f>HYPERLINK("http://141.218.60.56/~jnz1568/getInfo.php?workbook=18_08.xlsx&amp;sheet=U0&amp;row=1738&amp;col=7&amp;number=0.0854&amp;sourceID=14","0.0854")</f>
        <v>0.0854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HYPERLINK("http://141.218.60.56/~jnz1568/getInfo.php?workbook=18_08.xlsx&amp;sheet=U0&amp;row=1739&amp;col=6&amp;number=4.5&amp;sourceID=14","4.5")</f>
        <v>4.5</v>
      </c>
      <c r="G1739" s="4" t="str">
        <f>HYPERLINK("http://141.218.60.56/~jnz1568/getInfo.php?workbook=18_08.xlsx&amp;sheet=U0&amp;row=1739&amp;col=7&amp;number=0.0854&amp;sourceID=14","0.0854")</f>
        <v>0.0854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HYPERLINK("http://141.218.60.56/~jnz1568/getInfo.php?workbook=18_08.xlsx&amp;sheet=U0&amp;row=1740&amp;col=6&amp;number=4.6&amp;sourceID=14","4.6")</f>
        <v>4.6</v>
      </c>
      <c r="G1740" s="4" t="str">
        <f>HYPERLINK("http://141.218.60.56/~jnz1568/getInfo.php?workbook=18_08.xlsx&amp;sheet=U0&amp;row=1740&amp;col=7&amp;number=0.0853&amp;sourceID=14","0.0853")</f>
        <v>0.0853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HYPERLINK("http://141.218.60.56/~jnz1568/getInfo.php?workbook=18_08.xlsx&amp;sheet=U0&amp;row=1741&amp;col=6&amp;number=4.7&amp;sourceID=14","4.7")</f>
        <v>4.7</v>
      </c>
      <c r="G1741" s="4" t="str">
        <f>HYPERLINK("http://141.218.60.56/~jnz1568/getInfo.php?workbook=18_08.xlsx&amp;sheet=U0&amp;row=1741&amp;col=7&amp;number=0.0852&amp;sourceID=14","0.0852")</f>
        <v>0.0852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HYPERLINK("http://141.218.60.56/~jnz1568/getInfo.php?workbook=18_08.xlsx&amp;sheet=U0&amp;row=1742&amp;col=6&amp;number=4.8&amp;sourceID=14","4.8")</f>
        <v>4.8</v>
      </c>
      <c r="G1742" s="4" t="str">
        <f>HYPERLINK("http://141.218.60.56/~jnz1568/getInfo.php?workbook=18_08.xlsx&amp;sheet=U0&amp;row=1742&amp;col=7&amp;number=0.0851&amp;sourceID=14","0.0851")</f>
        <v>0.0851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HYPERLINK("http://141.218.60.56/~jnz1568/getInfo.php?workbook=18_08.xlsx&amp;sheet=U0&amp;row=1743&amp;col=6&amp;number=4.9&amp;sourceID=14","4.9")</f>
        <v>4.9</v>
      </c>
      <c r="G1743" s="4" t="str">
        <f>HYPERLINK("http://141.218.60.56/~jnz1568/getInfo.php?workbook=18_08.xlsx&amp;sheet=U0&amp;row=1743&amp;col=7&amp;number=0.0849&amp;sourceID=14","0.0849")</f>
        <v>0.0849</v>
      </c>
    </row>
    <row r="1744" spans="1:7">
      <c r="A1744" s="3">
        <v>18</v>
      </c>
      <c r="B1744" s="3">
        <v>8</v>
      </c>
      <c r="C1744" s="3">
        <v>2</v>
      </c>
      <c r="D1744" s="3">
        <v>5</v>
      </c>
      <c r="E1744" s="3">
        <v>1</v>
      </c>
      <c r="F1744" s="4" t="str">
        <f>HYPERLINK("http://141.218.60.56/~jnz1568/getInfo.php?workbook=18_08.xlsx&amp;sheet=U0&amp;row=1744&amp;col=6&amp;number=3&amp;sourceID=14","3")</f>
        <v>3</v>
      </c>
      <c r="G1744" s="4" t="str">
        <f>HYPERLINK("http://141.218.60.56/~jnz1568/getInfo.php?workbook=18_08.xlsx&amp;sheet=U0&amp;row=1744&amp;col=7&amp;number=0.0129&amp;sourceID=14","0.0129")</f>
        <v>0.0129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HYPERLINK("http://141.218.60.56/~jnz1568/getInfo.php?workbook=18_08.xlsx&amp;sheet=U0&amp;row=1745&amp;col=6&amp;number=3.1&amp;sourceID=14","3.1")</f>
        <v>3.1</v>
      </c>
      <c r="G1745" s="4" t="str">
        <f>HYPERLINK("http://141.218.60.56/~jnz1568/getInfo.php?workbook=18_08.xlsx&amp;sheet=U0&amp;row=1745&amp;col=7&amp;number=0.0129&amp;sourceID=14","0.0129")</f>
        <v>0.0129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HYPERLINK("http://141.218.60.56/~jnz1568/getInfo.php?workbook=18_08.xlsx&amp;sheet=U0&amp;row=1746&amp;col=6&amp;number=3.2&amp;sourceID=14","3.2")</f>
        <v>3.2</v>
      </c>
      <c r="G1746" s="4" t="str">
        <f>HYPERLINK("http://141.218.60.56/~jnz1568/getInfo.php?workbook=18_08.xlsx&amp;sheet=U0&amp;row=1746&amp;col=7&amp;number=0.0129&amp;sourceID=14","0.0129")</f>
        <v>0.0129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HYPERLINK("http://141.218.60.56/~jnz1568/getInfo.php?workbook=18_08.xlsx&amp;sheet=U0&amp;row=1747&amp;col=6&amp;number=3.3&amp;sourceID=14","3.3")</f>
        <v>3.3</v>
      </c>
      <c r="G1747" s="4" t="str">
        <f>HYPERLINK("http://141.218.60.56/~jnz1568/getInfo.php?workbook=18_08.xlsx&amp;sheet=U0&amp;row=1747&amp;col=7&amp;number=0.0129&amp;sourceID=14","0.0129")</f>
        <v>0.0129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HYPERLINK("http://141.218.60.56/~jnz1568/getInfo.php?workbook=18_08.xlsx&amp;sheet=U0&amp;row=1748&amp;col=6&amp;number=3.4&amp;sourceID=14","3.4")</f>
        <v>3.4</v>
      </c>
      <c r="G1748" s="4" t="str">
        <f>HYPERLINK("http://141.218.60.56/~jnz1568/getInfo.php?workbook=18_08.xlsx&amp;sheet=U0&amp;row=1748&amp;col=7&amp;number=0.0129&amp;sourceID=14","0.0129")</f>
        <v>0.0129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HYPERLINK("http://141.218.60.56/~jnz1568/getInfo.php?workbook=18_08.xlsx&amp;sheet=U0&amp;row=1749&amp;col=6&amp;number=3.5&amp;sourceID=14","3.5")</f>
        <v>3.5</v>
      </c>
      <c r="G1749" s="4" t="str">
        <f>HYPERLINK("http://141.218.60.56/~jnz1568/getInfo.php?workbook=18_08.xlsx&amp;sheet=U0&amp;row=1749&amp;col=7&amp;number=0.0129&amp;sourceID=14","0.0129")</f>
        <v>0.0129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HYPERLINK("http://141.218.60.56/~jnz1568/getInfo.php?workbook=18_08.xlsx&amp;sheet=U0&amp;row=1750&amp;col=6&amp;number=3.6&amp;sourceID=14","3.6")</f>
        <v>3.6</v>
      </c>
      <c r="G1750" s="4" t="str">
        <f>HYPERLINK("http://141.218.60.56/~jnz1568/getInfo.php?workbook=18_08.xlsx&amp;sheet=U0&amp;row=1750&amp;col=7&amp;number=0.0129&amp;sourceID=14","0.0129")</f>
        <v>0.0129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HYPERLINK("http://141.218.60.56/~jnz1568/getInfo.php?workbook=18_08.xlsx&amp;sheet=U0&amp;row=1751&amp;col=6&amp;number=3.7&amp;sourceID=14","3.7")</f>
        <v>3.7</v>
      </c>
      <c r="G1751" s="4" t="str">
        <f>HYPERLINK("http://141.218.60.56/~jnz1568/getInfo.php?workbook=18_08.xlsx&amp;sheet=U0&amp;row=1751&amp;col=7&amp;number=0.0129&amp;sourceID=14","0.0129")</f>
        <v>0.0129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HYPERLINK("http://141.218.60.56/~jnz1568/getInfo.php?workbook=18_08.xlsx&amp;sheet=U0&amp;row=1752&amp;col=6&amp;number=3.8&amp;sourceID=14","3.8")</f>
        <v>3.8</v>
      </c>
      <c r="G1752" s="4" t="str">
        <f>HYPERLINK("http://141.218.60.56/~jnz1568/getInfo.php?workbook=18_08.xlsx&amp;sheet=U0&amp;row=1752&amp;col=7&amp;number=0.0129&amp;sourceID=14","0.0129")</f>
        <v>0.0129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HYPERLINK("http://141.218.60.56/~jnz1568/getInfo.php?workbook=18_08.xlsx&amp;sheet=U0&amp;row=1753&amp;col=6&amp;number=3.9&amp;sourceID=14","3.9")</f>
        <v>3.9</v>
      </c>
      <c r="G1753" s="4" t="str">
        <f>HYPERLINK("http://141.218.60.56/~jnz1568/getInfo.php?workbook=18_08.xlsx&amp;sheet=U0&amp;row=1753&amp;col=7&amp;number=0.0129&amp;sourceID=14","0.0129")</f>
        <v>0.0129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HYPERLINK("http://141.218.60.56/~jnz1568/getInfo.php?workbook=18_08.xlsx&amp;sheet=U0&amp;row=1754&amp;col=6&amp;number=4&amp;sourceID=14","4")</f>
        <v>4</v>
      </c>
      <c r="G1754" s="4" t="str">
        <f>HYPERLINK("http://141.218.60.56/~jnz1568/getInfo.php?workbook=18_08.xlsx&amp;sheet=U0&amp;row=1754&amp;col=7&amp;number=0.0129&amp;sourceID=14","0.0129")</f>
        <v>0.0129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HYPERLINK("http://141.218.60.56/~jnz1568/getInfo.php?workbook=18_08.xlsx&amp;sheet=U0&amp;row=1755&amp;col=6&amp;number=4.1&amp;sourceID=14","4.1")</f>
        <v>4.1</v>
      </c>
      <c r="G1755" s="4" t="str">
        <f>HYPERLINK("http://141.218.60.56/~jnz1568/getInfo.php?workbook=18_08.xlsx&amp;sheet=U0&amp;row=1755&amp;col=7&amp;number=0.0129&amp;sourceID=14","0.0129")</f>
        <v>0.0129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HYPERLINK("http://141.218.60.56/~jnz1568/getInfo.php?workbook=18_08.xlsx&amp;sheet=U0&amp;row=1756&amp;col=6&amp;number=4.2&amp;sourceID=14","4.2")</f>
        <v>4.2</v>
      </c>
      <c r="G1756" s="4" t="str">
        <f>HYPERLINK("http://141.218.60.56/~jnz1568/getInfo.php?workbook=18_08.xlsx&amp;sheet=U0&amp;row=1756&amp;col=7&amp;number=0.0129&amp;sourceID=14","0.0129")</f>
        <v>0.0129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HYPERLINK("http://141.218.60.56/~jnz1568/getInfo.php?workbook=18_08.xlsx&amp;sheet=U0&amp;row=1757&amp;col=6&amp;number=4.3&amp;sourceID=14","4.3")</f>
        <v>4.3</v>
      </c>
      <c r="G1757" s="4" t="str">
        <f>HYPERLINK("http://141.218.60.56/~jnz1568/getInfo.php?workbook=18_08.xlsx&amp;sheet=U0&amp;row=1757&amp;col=7&amp;number=0.0129&amp;sourceID=14","0.0129")</f>
        <v>0.0129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HYPERLINK("http://141.218.60.56/~jnz1568/getInfo.php?workbook=18_08.xlsx&amp;sheet=U0&amp;row=1758&amp;col=6&amp;number=4.4&amp;sourceID=14","4.4")</f>
        <v>4.4</v>
      </c>
      <c r="G1758" s="4" t="str">
        <f>HYPERLINK("http://141.218.60.56/~jnz1568/getInfo.php?workbook=18_08.xlsx&amp;sheet=U0&amp;row=1758&amp;col=7&amp;number=0.0129&amp;sourceID=14","0.0129")</f>
        <v>0.0129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HYPERLINK("http://141.218.60.56/~jnz1568/getInfo.php?workbook=18_08.xlsx&amp;sheet=U0&amp;row=1759&amp;col=6&amp;number=4.5&amp;sourceID=14","4.5")</f>
        <v>4.5</v>
      </c>
      <c r="G1759" s="4" t="str">
        <f>HYPERLINK("http://141.218.60.56/~jnz1568/getInfo.php?workbook=18_08.xlsx&amp;sheet=U0&amp;row=1759&amp;col=7&amp;number=0.0129&amp;sourceID=14","0.0129")</f>
        <v>0.0129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HYPERLINK("http://141.218.60.56/~jnz1568/getInfo.php?workbook=18_08.xlsx&amp;sheet=U0&amp;row=1760&amp;col=6&amp;number=4.6&amp;sourceID=14","4.6")</f>
        <v>4.6</v>
      </c>
      <c r="G1760" s="4" t="str">
        <f>HYPERLINK("http://141.218.60.56/~jnz1568/getInfo.php?workbook=18_08.xlsx&amp;sheet=U0&amp;row=1760&amp;col=7&amp;number=0.0129&amp;sourceID=14","0.0129")</f>
        <v>0.0129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HYPERLINK("http://141.218.60.56/~jnz1568/getInfo.php?workbook=18_08.xlsx&amp;sheet=U0&amp;row=1761&amp;col=6&amp;number=4.7&amp;sourceID=14","4.7")</f>
        <v>4.7</v>
      </c>
      <c r="G1761" s="4" t="str">
        <f>HYPERLINK("http://141.218.60.56/~jnz1568/getInfo.php?workbook=18_08.xlsx&amp;sheet=U0&amp;row=1761&amp;col=7&amp;number=0.0129&amp;sourceID=14","0.0129")</f>
        <v>0.0129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HYPERLINK("http://141.218.60.56/~jnz1568/getInfo.php?workbook=18_08.xlsx&amp;sheet=U0&amp;row=1762&amp;col=6&amp;number=4.8&amp;sourceID=14","4.8")</f>
        <v>4.8</v>
      </c>
      <c r="G1762" s="4" t="str">
        <f>HYPERLINK("http://141.218.60.56/~jnz1568/getInfo.php?workbook=18_08.xlsx&amp;sheet=U0&amp;row=1762&amp;col=7&amp;number=0.0128&amp;sourceID=14","0.0128")</f>
        <v>0.0128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HYPERLINK("http://141.218.60.56/~jnz1568/getInfo.php?workbook=18_08.xlsx&amp;sheet=U0&amp;row=1763&amp;col=6&amp;number=4.9&amp;sourceID=14","4.9")</f>
        <v>4.9</v>
      </c>
      <c r="G1763" s="4" t="str">
        <f>HYPERLINK("http://141.218.60.56/~jnz1568/getInfo.php?workbook=18_08.xlsx&amp;sheet=U0&amp;row=1763&amp;col=7&amp;number=0.0128&amp;sourceID=14","0.0128")</f>
        <v>0.0128</v>
      </c>
    </row>
    <row r="1764" spans="1:7">
      <c r="A1764" s="3">
        <v>18</v>
      </c>
      <c r="B1764" s="3">
        <v>8</v>
      </c>
      <c r="C1764" s="3">
        <v>2</v>
      </c>
      <c r="D1764" s="3">
        <v>6</v>
      </c>
      <c r="E1764" s="3">
        <v>1</v>
      </c>
      <c r="F1764" s="4" t="str">
        <f>HYPERLINK("http://141.218.60.56/~jnz1568/getInfo.php?workbook=18_08.xlsx&amp;sheet=U0&amp;row=1764&amp;col=6&amp;number=3&amp;sourceID=14","3")</f>
        <v>3</v>
      </c>
      <c r="G1764" s="4" t="str">
        <f>HYPERLINK("http://141.218.60.56/~jnz1568/getInfo.php?workbook=18_08.xlsx&amp;sheet=U0&amp;row=1764&amp;col=7&amp;number=0.288&amp;sourceID=14","0.288")</f>
        <v>0.288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HYPERLINK("http://141.218.60.56/~jnz1568/getInfo.php?workbook=18_08.xlsx&amp;sheet=U0&amp;row=1765&amp;col=6&amp;number=3.1&amp;sourceID=14","3.1")</f>
        <v>3.1</v>
      </c>
      <c r="G1765" s="4" t="str">
        <f>HYPERLINK("http://141.218.60.56/~jnz1568/getInfo.php?workbook=18_08.xlsx&amp;sheet=U0&amp;row=1765&amp;col=7&amp;number=0.288&amp;sourceID=14","0.288")</f>
        <v>0.288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HYPERLINK("http://141.218.60.56/~jnz1568/getInfo.php?workbook=18_08.xlsx&amp;sheet=U0&amp;row=1766&amp;col=6&amp;number=3.2&amp;sourceID=14","3.2")</f>
        <v>3.2</v>
      </c>
      <c r="G1766" s="4" t="str">
        <f>HYPERLINK("http://141.218.60.56/~jnz1568/getInfo.php?workbook=18_08.xlsx&amp;sheet=U0&amp;row=1766&amp;col=7&amp;number=0.288&amp;sourceID=14","0.288")</f>
        <v>0.288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HYPERLINK("http://141.218.60.56/~jnz1568/getInfo.php?workbook=18_08.xlsx&amp;sheet=U0&amp;row=1767&amp;col=6&amp;number=3.3&amp;sourceID=14","3.3")</f>
        <v>3.3</v>
      </c>
      <c r="G1767" s="4" t="str">
        <f>HYPERLINK("http://141.218.60.56/~jnz1568/getInfo.php?workbook=18_08.xlsx&amp;sheet=U0&amp;row=1767&amp;col=7&amp;number=0.288&amp;sourceID=14","0.288")</f>
        <v>0.288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HYPERLINK("http://141.218.60.56/~jnz1568/getInfo.php?workbook=18_08.xlsx&amp;sheet=U0&amp;row=1768&amp;col=6&amp;number=3.4&amp;sourceID=14","3.4")</f>
        <v>3.4</v>
      </c>
      <c r="G1768" s="4" t="str">
        <f>HYPERLINK("http://141.218.60.56/~jnz1568/getInfo.php?workbook=18_08.xlsx&amp;sheet=U0&amp;row=1768&amp;col=7&amp;number=0.288&amp;sourceID=14","0.288")</f>
        <v>0.288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HYPERLINK("http://141.218.60.56/~jnz1568/getInfo.php?workbook=18_08.xlsx&amp;sheet=U0&amp;row=1769&amp;col=6&amp;number=3.5&amp;sourceID=14","3.5")</f>
        <v>3.5</v>
      </c>
      <c r="G1769" s="4" t="str">
        <f>HYPERLINK("http://141.218.60.56/~jnz1568/getInfo.php?workbook=18_08.xlsx&amp;sheet=U0&amp;row=1769&amp;col=7&amp;number=0.289&amp;sourceID=14","0.289")</f>
        <v>0.289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HYPERLINK("http://141.218.60.56/~jnz1568/getInfo.php?workbook=18_08.xlsx&amp;sheet=U0&amp;row=1770&amp;col=6&amp;number=3.6&amp;sourceID=14","3.6")</f>
        <v>3.6</v>
      </c>
      <c r="G1770" s="4" t="str">
        <f>HYPERLINK("http://141.218.60.56/~jnz1568/getInfo.php?workbook=18_08.xlsx&amp;sheet=U0&amp;row=1770&amp;col=7&amp;number=0.289&amp;sourceID=14","0.289")</f>
        <v>0.289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HYPERLINK("http://141.218.60.56/~jnz1568/getInfo.php?workbook=18_08.xlsx&amp;sheet=U0&amp;row=1771&amp;col=6&amp;number=3.7&amp;sourceID=14","3.7")</f>
        <v>3.7</v>
      </c>
      <c r="G1771" s="4" t="str">
        <f>HYPERLINK("http://141.218.60.56/~jnz1568/getInfo.php?workbook=18_08.xlsx&amp;sheet=U0&amp;row=1771&amp;col=7&amp;number=0.289&amp;sourceID=14","0.289")</f>
        <v>0.289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HYPERLINK("http://141.218.60.56/~jnz1568/getInfo.php?workbook=18_08.xlsx&amp;sheet=U0&amp;row=1772&amp;col=6&amp;number=3.8&amp;sourceID=14","3.8")</f>
        <v>3.8</v>
      </c>
      <c r="G1772" s="4" t="str">
        <f>HYPERLINK("http://141.218.60.56/~jnz1568/getInfo.php?workbook=18_08.xlsx&amp;sheet=U0&amp;row=1772&amp;col=7&amp;number=0.289&amp;sourceID=14","0.289")</f>
        <v>0.289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HYPERLINK("http://141.218.60.56/~jnz1568/getInfo.php?workbook=18_08.xlsx&amp;sheet=U0&amp;row=1773&amp;col=6&amp;number=3.9&amp;sourceID=14","3.9")</f>
        <v>3.9</v>
      </c>
      <c r="G1773" s="4" t="str">
        <f>HYPERLINK("http://141.218.60.56/~jnz1568/getInfo.php?workbook=18_08.xlsx&amp;sheet=U0&amp;row=1773&amp;col=7&amp;number=0.289&amp;sourceID=14","0.289")</f>
        <v>0.289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HYPERLINK("http://141.218.60.56/~jnz1568/getInfo.php?workbook=18_08.xlsx&amp;sheet=U0&amp;row=1774&amp;col=6&amp;number=4&amp;sourceID=14","4")</f>
        <v>4</v>
      </c>
      <c r="G1774" s="4" t="str">
        <f>HYPERLINK("http://141.218.60.56/~jnz1568/getInfo.php?workbook=18_08.xlsx&amp;sheet=U0&amp;row=1774&amp;col=7&amp;number=0.289&amp;sourceID=14","0.289")</f>
        <v>0.289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HYPERLINK("http://141.218.60.56/~jnz1568/getInfo.php?workbook=18_08.xlsx&amp;sheet=U0&amp;row=1775&amp;col=6&amp;number=4.1&amp;sourceID=14","4.1")</f>
        <v>4.1</v>
      </c>
      <c r="G1775" s="4" t="str">
        <f>HYPERLINK("http://141.218.60.56/~jnz1568/getInfo.php?workbook=18_08.xlsx&amp;sheet=U0&amp;row=1775&amp;col=7&amp;number=0.289&amp;sourceID=14","0.289")</f>
        <v>0.289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HYPERLINK("http://141.218.60.56/~jnz1568/getInfo.php?workbook=18_08.xlsx&amp;sheet=U0&amp;row=1776&amp;col=6&amp;number=4.2&amp;sourceID=14","4.2")</f>
        <v>4.2</v>
      </c>
      <c r="G1776" s="4" t="str">
        <f>HYPERLINK("http://141.218.60.56/~jnz1568/getInfo.php?workbook=18_08.xlsx&amp;sheet=U0&amp;row=1776&amp;col=7&amp;number=0.29&amp;sourceID=14","0.29")</f>
        <v>0.29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HYPERLINK("http://141.218.60.56/~jnz1568/getInfo.php?workbook=18_08.xlsx&amp;sheet=U0&amp;row=1777&amp;col=6&amp;number=4.3&amp;sourceID=14","4.3")</f>
        <v>4.3</v>
      </c>
      <c r="G1777" s="4" t="str">
        <f>HYPERLINK("http://141.218.60.56/~jnz1568/getInfo.php?workbook=18_08.xlsx&amp;sheet=U0&amp;row=1777&amp;col=7&amp;number=0.29&amp;sourceID=14","0.29")</f>
        <v>0.29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HYPERLINK("http://141.218.60.56/~jnz1568/getInfo.php?workbook=18_08.xlsx&amp;sheet=U0&amp;row=1778&amp;col=6&amp;number=4.4&amp;sourceID=14","4.4")</f>
        <v>4.4</v>
      </c>
      <c r="G1778" s="4" t="str">
        <f>HYPERLINK("http://141.218.60.56/~jnz1568/getInfo.php?workbook=18_08.xlsx&amp;sheet=U0&amp;row=1778&amp;col=7&amp;number=0.291&amp;sourceID=14","0.291")</f>
        <v>0.291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HYPERLINK("http://141.218.60.56/~jnz1568/getInfo.php?workbook=18_08.xlsx&amp;sheet=U0&amp;row=1779&amp;col=6&amp;number=4.5&amp;sourceID=14","4.5")</f>
        <v>4.5</v>
      </c>
      <c r="G1779" s="4" t="str">
        <f>HYPERLINK("http://141.218.60.56/~jnz1568/getInfo.php?workbook=18_08.xlsx&amp;sheet=U0&amp;row=1779&amp;col=7&amp;number=0.291&amp;sourceID=14","0.291")</f>
        <v>0.291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HYPERLINK("http://141.218.60.56/~jnz1568/getInfo.php?workbook=18_08.xlsx&amp;sheet=U0&amp;row=1780&amp;col=6&amp;number=4.6&amp;sourceID=14","4.6")</f>
        <v>4.6</v>
      </c>
      <c r="G1780" s="4" t="str">
        <f>HYPERLINK("http://141.218.60.56/~jnz1568/getInfo.php?workbook=18_08.xlsx&amp;sheet=U0&amp;row=1780&amp;col=7&amp;number=0.292&amp;sourceID=14","0.292")</f>
        <v>0.292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HYPERLINK("http://141.218.60.56/~jnz1568/getInfo.php?workbook=18_08.xlsx&amp;sheet=U0&amp;row=1781&amp;col=6&amp;number=4.7&amp;sourceID=14","4.7")</f>
        <v>4.7</v>
      </c>
      <c r="G1781" s="4" t="str">
        <f>HYPERLINK("http://141.218.60.56/~jnz1568/getInfo.php?workbook=18_08.xlsx&amp;sheet=U0&amp;row=1781&amp;col=7&amp;number=0.293&amp;sourceID=14","0.293")</f>
        <v>0.293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HYPERLINK("http://141.218.60.56/~jnz1568/getInfo.php?workbook=18_08.xlsx&amp;sheet=U0&amp;row=1782&amp;col=6&amp;number=4.8&amp;sourceID=14","4.8")</f>
        <v>4.8</v>
      </c>
      <c r="G1782" s="4" t="str">
        <f>HYPERLINK("http://141.218.60.56/~jnz1568/getInfo.php?workbook=18_08.xlsx&amp;sheet=U0&amp;row=1782&amp;col=7&amp;number=0.294&amp;sourceID=14","0.294")</f>
        <v>0.294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HYPERLINK("http://141.218.60.56/~jnz1568/getInfo.php?workbook=18_08.xlsx&amp;sheet=U0&amp;row=1783&amp;col=6&amp;number=4.9&amp;sourceID=14","4.9")</f>
        <v>4.9</v>
      </c>
      <c r="G1783" s="4" t="str">
        <f>HYPERLINK("http://141.218.60.56/~jnz1568/getInfo.php?workbook=18_08.xlsx&amp;sheet=U0&amp;row=1783&amp;col=7&amp;number=0.296&amp;sourceID=14","0.296")</f>
        <v>0.296</v>
      </c>
    </row>
    <row r="1784" spans="1:7">
      <c r="A1784" s="3">
        <v>18</v>
      </c>
      <c r="B1784" s="3">
        <v>8</v>
      </c>
      <c r="C1784" s="3">
        <v>2</v>
      </c>
      <c r="D1784" s="3">
        <v>7</v>
      </c>
      <c r="E1784" s="3">
        <v>1</v>
      </c>
      <c r="F1784" s="4" t="str">
        <f>HYPERLINK("http://141.218.60.56/~jnz1568/getInfo.php?workbook=18_08.xlsx&amp;sheet=U0&amp;row=1784&amp;col=6&amp;number=3&amp;sourceID=14","3")</f>
        <v>3</v>
      </c>
      <c r="G1784" s="4" t="str">
        <f>HYPERLINK("http://141.218.60.56/~jnz1568/getInfo.php?workbook=18_08.xlsx&amp;sheet=U0&amp;row=1784&amp;col=7&amp;number=0.181&amp;sourceID=14","0.181")</f>
        <v>0.181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HYPERLINK("http://141.218.60.56/~jnz1568/getInfo.php?workbook=18_08.xlsx&amp;sheet=U0&amp;row=1785&amp;col=6&amp;number=3.1&amp;sourceID=14","3.1")</f>
        <v>3.1</v>
      </c>
      <c r="G1785" s="4" t="str">
        <f>HYPERLINK("http://141.218.60.56/~jnz1568/getInfo.php?workbook=18_08.xlsx&amp;sheet=U0&amp;row=1785&amp;col=7&amp;number=0.181&amp;sourceID=14","0.181")</f>
        <v>0.181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HYPERLINK("http://141.218.60.56/~jnz1568/getInfo.php?workbook=18_08.xlsx&amp;sheet=U0&amp;row=1786&amp;col=6&amp;number=3.2&amp;sourceID=14","3.2")</f>
        <v>3.2</v>
      </c>
      <c r="G1786" s="4" t="str">
        <f>HYPERLINK("http://141.218.60.56/~jnz1568/getInfo.php?workbook=18_08.xlsx&amp;sheet=U0&amp;row=1786&amp;col=7&amp;number=0.181&amp;sourceID=14","0.181")</f>
        <v>0.181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HYPERLINK("http://141.218.60.56/~jnz1568/getInfo.php?workbook=18_08.xlsx&amp;sheet=U0&amp;row=1787&amp;col=6&amp;number=3.3&amp;sourceID=14","3.3")</f>
        <v>3.3</v>
      </c>
      <c r="G1787" s="4" t="str">
        <f>HYPERLINK("http://141.218.60.56/~jnz1568/getInfo.php?workbook=18_08.xlsx&amp;sheet=U0&amp;row=1787&amp;col=7&amp;number=0.181&amp;sourceID=14","0.181")</f>
        <v>0.181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HYPERLINK("http://141.218.60.56/~jnz1568/getInfo.php?workbook=18_08.xlsx&amp;sheet=U0&amp;row=1788&amp;col=6&amp;number=3.4&amp;sourceID=14","3.4")</f>
        <v>3.4</v>
      </c>
      <c r="G1788" s="4" t="str">
        <f>HYPERLINK("http://141.218.60.56/~jnz1568/getInfo.php?workbook=18_08.xlsx&amp;sheet=U0&amp;row=1788&amp;col=7&amp;number=0.181&amp;sourceID=14","0.181")</f>
        <v>0.181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HYPERLINK("http://141.218.60.56/~jnz1568/getInfo.php?workbook=18_08.xlsx&amp;sheet=U0&amp;row=1789&amp;col=6&amp;number=3.5&amp;sourceID=14","3.5")</f>
        <v>3.5</v>
      </c>
      <c r="G1789" s="4" t="str">
        <f>HYPERLINK("http://141.218.60.56/~jnz1568/getInfo.php?workbook=18_08.xlsx&amp;sheet=U0&amp;row=1789&amp;col=7&amp;number=0.181&amp;sourceID=14","0.181")</f>
        <v>0.181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HYPERLINK("http://141.218.60.56/~jnz1568/getInfo.php?workbook=18_08.xlsx&amp;sheet=U0&amp;row=1790&amp;col=6&amp;number=3.6&amp;sourceID=14","3.6")</f>
        <v>3.6</v>
      </c>
      <c r="G1790" s="4" t="str">
        <f>HYPERLINK("http://141.218.60.56/~jnz1568/getInfo.php?workbook=18_08.xlsx&amp;sheet=U0&amp;row=1790&amp;col=7&amp;number=0.181&amp;sourceID=14","0.181")</f>
        <v>0.181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HYPERLINK("http://141.218.60.56/~jnz1568/getInfo.php?workbook=18_08.xlsx&amp;sheet=U0&amp;row=1791&amp;col=6&amp;number=3.7&amp;sourceID=14","3.7")</f>
        <v>3.7</v>
      </c>
      <c r="G1791" s="4" t="str">
        <f>HYPERLINK("http://141.218.60.56/~jnz1568/getInfo.php?workbook=18_08.xlsx&amp;sheet=U0&amp;row=1791&amp;col=7&amp;number=0.181&amp;sourceID=14","0.181")</f>
        <v>0.181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HYPERLINK("http://141.218.60.56/~jnz1568/getInfo.php?workbook=18_08.xlsx&amp;sheet=U0&amp;row=1792&amp;col=6&amp;number=3.8&amp;sourceID=14","3.8")</f>
        <v>3.8</v>
      </c>
      <c r="G1792" s="4" t="str">
        <f>HYPERLINK("http://141.218.60.56/~jnz1568/getInfo.php?workbook=18_08.xlsx&amp;sheet=U0&amp;row=1792&amp;col=7&amp;number=0.181&amp;sourceID=14","0.181")</f>
        <v>0.181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HYPERLINK("http://141.218.60.56/~jnz1568/getInfo.php?workbook=18_08.xlsx&amp;sheet=U0&amp;row=1793&amp;col=6&amp;number=3.9&amp;sourceID=14","3.9")</f>
        <v>3.9</v>
      </c>
      <c r="G1793" s="4" t="str">
        <f>HYPERLINK("http://141.218.60.56/~jnz1568/getInfo.php?workbook=18_08.xlsx&amp;sheet=U0&amp;row=1793&amp;col=7&amp;number=0.181&amp;sourceID=14","0.181")</f>
        <v>0.181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HYPERLINK("http://141.218.60.56/~jnz1568/getInfo.php?workbook=18_08.xlsx&amp;sheet=U0&amp;row=1794&amp;col=6&amp;number=4&amp;sourceID=14","4")</f>
        <v>4</v>
      </c>
      <c r="G1794" s="4" t="str">
        <f>HYPERLINK("http://141.218.60.56/~jnz1568/getInfo.php?workbook=18_08.xlsx&amp;sheet=U0&amp;row=1794&amp;col=7&amp;number=0.181&amp;sourceID=14","0.181")</f>
        <v>0.181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HYPERLINK("http://141.218.60.56/~jnz1568/getInfo.php?workbook=18_08.xlsx&amp;sheet=U0&amp;row=1795&amp;col=6&amp;number=4.1&amp;sourceID=14","4.1")</f>
        <v>4.1</v>
      </c>
      <c r="G1795" s="4" t="str">
        <f>HYPERLINK("http://141.218.60.56/~jnz1568/getInfo.php?workbook=18_08.xlsx&amp;sheet=U0&amp;row=1795&amp;col=7&amp;number=0.181&amp;sourceID=14","0.181")</f>
        <v>0.181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HYPERLINK("http://141.218.60.56/~jnz1568/getInfo.php?workbook=18_08.xlsx&amp;sheet=U0&amp;row=1796&amp;col=6&amp;number=4.2&amp;sourceID=14","4.2")</f>
        <v>4.2</v>
      </c>
      <c r="G1796" s="4" t="str">
        <f>HYPERLINK("http://141.218.60.56/~jnz1568/getInfo.php?workbook=18_08.xlsx&amp;sheet=U0&amp;row=1796&amp;col=7&amp;number=0.182&amp;sourceID=14","0.182")</f>
        <v>0.182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HYPERLINK("http://141.218.60.56/~jnz1568/getInfo.php?workbook=18_08.xlsx&amp;sheet=U0&amp;row=1797&amp;col=6&amp;number=4.3&amp;sourceID=14","4.3")</f>
        <v>4.3</v>
      </c>
      <c r="G1797" s="4" t="str">
        <f>HYPERLINK("http://141.218.60.56/~jnz1568/getInfo.php?workbook=18_08.xlsx&amp;sheet=U0&amp;row=1797&amp;col=7&amp;number=0.182&amp;sourceID=14","0.182")</f>
        <v>0.182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HYPERLINK("http://141.218.60.56/~jnz1568/getInfo.php?workbook=18_08.xlsx&amp;sheet=U0&amp;row=1798&amp;col=6&amp;number=4.4&amp;sourceID=14","4.4")</f>
        <v>4.4</v>
      </c>
      <c r="G1798" s="4" t="str">
        <f>HYPERLINK("http://141.218.60.56/~jnz1568/getInfo.php?workbook=18_08.xlsx&amp;sheet=U0&amp;row=1798&amp;col=7&amp;number=0.182&amp;sourceID=14","0.182")</f>
        <v>0.182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HYPERLINK("http://141.218.60.56/~jnz1568/getInfo.php?workbook=18_08.xlsx&amp;sheet=U0&amp;row=1799&amp;col=6&amp;number=4.5&amp;sourceID=14","4.5")</f>
        <v>4.5</v>
      </c>
      <c r="G1799" s="4" t="str">
        <f>HYPERLINK("http://141.218.60.56/~jnz1568/getInfo.php?workbook=18_08.xlsx&amp;sheet=U0&amp;row=1799&amp;col=7&amp;number=0.183&amp;sourceID=14","0.183")</f>
        <v>0.183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HYPERLINK("http://141.218.60.56/~jnz1568/getInfo.php?workbook=18_08.xlsx&amp;sheet=U0&amp;row=1800&amp;col=6&amp;number=4.6&amp;sourceID=14","4.6")</f>
        <v>4.6</v>
      </c>
      <c r="G1800" s="4" t="str">
        <f>HYPERLINK("http://141.218.60.56/~jnz1568/getInfo.php?workbook=18_08.xlsx&amp;sheet=U0&amp;row=1800&amp;col=7&amp;number=0.183&amp;sourceID=14","0.183")</f>
        <v>0.183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HYPERLINK("http://141.218.60.56/~jnz1568/getInfo.php?workbook=18_08.xlsx&amp;sheet=U0&amp;row=1801&amp;col=6&amp;number=4.7&amp;sourceID=14","4.7")</f>
        <v>4.7</v>
      </c>
      <c r="G1801" s="4" t="str">
        <f>HYPERLINK("http://141.218.60.56/~jnz1568/getInfo.php?workbook=18_08.xlsx&amp;sheet=U0&amp;row=1801&amp;col=7&amp;number=0.184&amp;sourceID=14","0.184")</f>
        <v>0.184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HYPERLINK("http://141.218.60.56/~jnz1568/getInfo.php?workbook=18_08.xlsx&amp;sheet=U0&amp;row=1802&amp;col=6&amp;number=4.8&amp;sourceID=14","4.8")</f>
        <v>4.8</v>
      </c>
      <c r="G1802" s="4" t="str">
        <f>HYPERLINK("http://141.218.60.56/~jnz1568/getInfo.php?workbook=18_08.xlsx&amp;sheet=U0&amp;row=1802&amp;col=7&amp;number=0.184&amp;sourceID=14","0.184")</f>
        <v>0.184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HYPERLINK("http://141.218.60.56/~jnz1568/getInfo.php?workbook=18_08.xlsx&amp;sheet=U0&amp;row=1803&amp;col=6&amp;number=4.9&amp;sourceID=14","4.9")</f>
        <v>4.9</v>
      </c>
      <c r="G1803" s="4" t="str">
        <f>HYPERLINK("http://141.218.60.56/~jnz1568/getInfo.php?workbook=18_08.xlsx&amp;sheet=U0&amp;row=1803&amp;col=7&amp;number=0.185&amp;sourceID=14","0.185")</f>
        <v>0.185</v>
      </c>
    </row>
    <row r="1804" spans="1:7">
      <c r="A1804" s="3">
        <v>18</v>
      </c>
      <c r="B1804" s="3">
        <v>8</v>
      </c>
      <c r="C1804" s="3">
        <v>2</v>
      </c>
      <c r="D1804" s="3">
        <v>8</v>
      </c>
      <c r="E1804" s="3">
        <v>1</v>
      </c>
      <c r="F1804" s="4" t="str">
        <f>HYPERLINK("http://141.218.60.56/~jnz1568/getInfo.php?workbook=18_08.xlsx&amp;sheet=U0&amp;row=1804&amp;col=6&amp;number=3&amp;sourceID=14","3")</f>
        <v>3</v>
      </c>
      <c r="G1804" s="4" t="str">
        <f>HYPERLINK("http://141.218.60.56/~jnz1568/getInfo.php?workbook=18_08.xlsx&amp;sheet=U0&amp;row=1804&amp;col=7&amp;number=0.232&amp;sourceID=14","0.232")</f>
        <v>0.232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HYPERLINK("http://141.218.60.56/~jnz1568/getInfo.php?workbook=18_08.xlsx&amp;sheet=U0&amp;row=1805&amp;col=6&amp;number=3.1&amp;sourceID=14","3.1")</f>
        <v>3.1</v>
      </c>
      <c r="G1805" s="4" t="str">
        <f>HYPERLINK("http://141.218.60.56/~jnz1568/getInfo.php?workbook=18_08.xlsx&amp;sheet=U0&amp;row=1805&amp;col=7&amp;number=0.232&amp;sourceID=14","0.232")</f>
        <v>0.232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HYPERLINK("http://141.218.60.56/~jnz1568/getInfo.php?workbook=18_08.xlsx&amp;sheet=U0&amp;row=1806&amp;col=6&amp;number=3.2&amp;sourceID=14","3.2")</f>
        <v>3.2</v>
      </c>
      <c r="G1806" s="4" t="str">
        <f>HYPERLINK("http://141.218.60.56/~jnz1568/getInfo.php?workbook=18_08.xlsx&amp;sheet=U0&amp;row=1806&amp;col=7&amp;number=0.232&amp;sourceID=14","0.232")</f>
        <v>0.232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HYPERLINK("http://141.218.60.56/~jnz1568/getInfo.php?workbook=18_08.xlsx&amp;sheet=U0&amp;row=1807&amp;col=6&amp;number=3.3&amp;sourceID=14","3.3")</f>
        <v>3.3</v>
      </c>
      <c r="G1807" s="4" t="str">
        <f>HYPERLINK("http://141.218.60.56/~jnz1568/getInfo.php?workbook=18_08.xlsx&amp;sheet=U0&amp;row=1807&amp;col=7&amp;number=0.232&amp;sourceID=14","0.232")</f>
        <v>0.232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HYPERLINK("http://141.218.60.56/~jnz1568/getInfo.php?workbook=18_08.xlsx&amp;sheet=U0&amp;row=1808&amp;col=6&amp;number=3.4&amp;sourceID=14","3.4")</f>
        <v>3.4</v>
      </c>
      <c r="G1808" s="4" t="str">
        <f>HYPERLINK("http://141.218.60.56/~jnz1568/getInfo.php?workbook=18_08.xlsx&amp;sheet=U0&amp;row=1808&amp;col=7&amp;number=0.232&amp;sourceID=14","0.232")</f>
        <v>0.232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HYPERLINK("http://141.218.60.56/~jnz1568/getInfo.php?workbook=18_08.xlsx&amp;sheet=U0&amp;row=1809&amp;col=6&amp;number=3.5&amp;sourceID=14","3.5")</f>
        <v>3.5</v>
      </c>
      <c r="G1809" s="4" t="str">
        <f>HYPERLINK("http://141.218.60.56/~jnz1568/getInfo.php?workbook=18_08.xlsx&amp;sheet=U0&amp;row=1809&amp;col=7&amp;number=0.232&amp;sourceID=14","0.232")</f>
        <v>0.232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HYPERLINK("http://141.218.60.56/~jnz1568/getInfo.php?workbook=18_08.xlsx&amp;sheet=U0&amp;row=1810&amp;col=6&amp;number=3.6&amp;sourceID=14","3.6")</f>
        <v>3.6</v>
      </c>
      <c r="G1810" s="4" t="str">
        <f>HYPERLINK("http://141.218.60.56/~jnz1568/getInfo.php?workbook=18_08.xlsx&amp;sheet=U0&amp;row=1810&amp;col=7&amp;number=0.232&amp;sourceID=14","0.232")</f>
        <v>0.232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HYPERLINK("http://141.218.60.56/~jnz1568/getInfo.php?workbook=18_08.xlsx&amp;sheet=U0&amp;row=1811&amp;col=6&amp;number=3.7&amp;sourceID=14","3.7")</f>
        <v>3.7</v>
      </c>
      <c r="G1811" s="4" t="str">
        <f>HYPERLINK("http://141.218.60.56/~jnz1568/getInfo.php?workbook=18_08.xlsx&amp;sheet=U0&amp;row=1811&amp;col=7&amp;number=0.232&amp;sourceID=14","0.232")</f>
        <v>0.232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HYPERLINK("http://141.218.60.56/~jnz1568/getInfo.php?workbook=18_08.xlsx&amp;sheet=U0&amp;row=1812&amp;col=6&amp;number=3.8&amp;sourceID=14","3.8")</f>
        <v>3.8</v>
      </c>
      <c r="G1812" s="4" t="str">
        <f>HYPERLINK("http://141.218.60.56/~jnz1568/getInfo.php?workbook=18_08.xlsx&amp;sheet=U0&amp;row=1812&amp;col=7&amp;number=0.232&amp;sourceID=14","0.232")</f>
        <v>0.232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HYPERLINK("http://141.218.60.56/~jnz1568/getInfo.php?workbook=18_08.xlsx&amp;sheet=U0&amp;row=1813&amp;col=6&amp;number=3.9&amp;sourceID=14","3.9")</f>
        <v>3.9</v>
      </c>
      <c r="G1813" s="4" t="str">
        <f>HYPERLINK("http://141.218.60.56/~jnz1568/getInfo.php?workbook=18_08.xlsx&amp;sheet=U0&amp;row=1813&amp;col=7&amp;number=0.232&amp;sourceID=14","0.232")</f>
        <v>0.232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HYPERLINK("http://141.218.60.56/~jnz1568/getInfo.php?workbook=18_08.xlsx&amp;sheet=U0&amp;row=1814&amp;col=6&amp;number=4&amp;sourceID=14","4")</f>
        <v>4</v>
      </c>
      <c r="G1814" s="4" t="str">
        <f>HYPERLINK("http://141.218.60.56/~jnz1568/getInfo.php?workbook=18_08.xlsx&amp;sheet=U0&amp;row=1814&amp;col=7&amp;number=0.232&amp;sourceID=14","0.232")</f>
        <v>0.232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HYPERLINK("http://141.218.60.56/~jnz1568/getInfo.php?workbook=18_08.xlsx&amp;sheet=U0&amp;row=1815&amp;col=6&amp;number=4.1&amp;sourceID=14","4.1")</f>
        <v>4.1</v>
      </c>
      <c r="G1815" s="4" t="str">
        <f>HYPERLINK("http://141.218.60.56/~jnz1568/getInfo.php?workbook=18_08.xlsx&amp;sheet=U0&amp;row=1815&amp;col=7&amp;number=0.233&amp;sourceID=14","0.233")</f>
        <v>0.233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HYPERLINK("http://141.218.60.56/~jnz1568/getInfo.php?workbook=18_08.xlsx&amp;sheet=U0&amp;row=1816&amp;col=6&amp;number=4.2&amp;sourceID=14","4.2")</f>
        <v>4.2</v>
      </c>
      <c r="G1816" s="4" t="str">
        <f>HYPERLINK("http://141.218.60.56/~jnz1568/getInfo.php?workbook=18_08.xlsx&amp;sheet=U0&amp;row=1816&amp;col=7&amp;number=0.233&amp;sourceID=14","0.233")</f>
        <v>0.233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HYPERLINK("http://141.218.60.56/~jnz1568/getInfo.php?workbook=18_08.xlsx&amp;sheet=U0&amp;row=1817&amp;col=6&amp;number=4.3&amp;sourceID=14","4.3")</f>
        <v>4.3</v>
      </c>
      <c r="G1817" s="4" t="str">
        <f>HYPERLINK("http://141.218.60.56/~jnz1568/getInfo.php?workbook=18_08.xlsx&amp;sheet=U0&amp;row=1817&amp;col=7&amp;number=0.233&amp;sourceID=14","0.233")</f>
        <v>0.233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HYPERLINK("http://141.218.60.56/~jnz1568/getInfo.php?workbook=18_08.xlsx&amp;sheet=U0&amp;row=1818&amp;col=6&amp;number=4.4&amp;sourceID=14","4.4")</f>
        <v>4.4</v>
      </c>
      <c r="G1818" s="4" t="str">
        <f>HYPERLINK("http://141.218.60.56/~jnz1568/getInfo.php?workbook=18_08.xlsx&amp;sheet=U0&amp;row=1818&amp;col=7&amp;number=0.233&amp;sourceID=14","0.233")</f>
        <v>0.233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HYPERLINK("http://141.218.60.56/~jnz1568/getInfo.php?workbook=18_08.xlsx&amp;sheet=U0&amp;row=1819&amp;col=6&amp;number=4.5&amp;sourceID=14","4.5")</f>
        <v>4.5</v>
      </c>
      <c r="G1819" s="4" t="str">
        <f>HYPERLINK("http://141.218.60.56/~jnz1568/getInfo.php?workbook=18_08.xlsx&amp;sheet=U0&amp;row=1819&amp;col=7&amp;number=0.234&amp;sourceID=14","0.234")</f>
        <v>0.234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HYPERLINK("http://141.218.60.56/~jnz1568/getInfo.php?workbook=18_08.xlsx&amp;sheet=U0&amp;row=1820&amp;col=6&amp;number=4.6&amp;sourceID=14","4.6")</f>
        <v>4.6</v>
      </c>
      <c r="G1820" s="4" t="str">
        <f>HYPERLINK("http://141.218.60.56/~jnz1568/getInfo.php?workbook=18_08.xlsx&amp;sheet=U0&amp;row=1820&amp;col=7&amp;number=0.235&amp;sourceID=14","0.235")</f>
        <v>0.235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HYPERLINK("http://141.218.60.56/~jnz1568/getInfo.php?workbook=18_08.xlsx&amp;sheet=U0&amp;row=1821&amp;col=6&amp;number=4.7&amp;sourceID=14","4.7")</f>
        <v>4.7</v>
      </c>
      <c r="G1821" s="4" t="str">
        <f>HYPERLINK("http://141.218.60.56/~jnz1568/getInfo.php?workbook=18_08.xlsx&amp;sheet=U0&amp;row=1821&amp;col=7&amp;number=0.235&amp;sourceID=14","0.235")</f>
        <v>0.235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HYPERLINK("http://141.218.60.56/~jnz1568/getInfo.php?workbook=18_08.xlsx&amp;sheet=U0&amp;row=1822&amp;col=6&amp;number=4.8&amp;sourceID=14","4.8")</f>
        <v>4.8</v>
      </c>
      <c r="G1822" s="4" t="str">
        <f>HYPERLINK("http://141.218.60.56/~jnz1568/getInfo.php?workbook=18_08.xlsx&amp;sheet=U0&amp;row=1822&amp;col=7&amp;number=0.236&amp;sourceID=14","0.236")</f>
        <v>0.236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HYPERLINK("http://141.218.60.56/~jnz1568/getInfo.php?workbook=18_08.xlsx&amp;sheet=U0&amp;row=1823&amp;col=6&amp;number=4.9&amp;sourceID=14","4.9")</f>
        <v>4.9</v>
      </c>
      <c r="G1823" s="4" t="str">
        <f>HYPERLINK("http://141.218.60.56/~jnz1568/getInfo.php?workbook=18_08.xlsx&amp;sheet=U0&amp;row=1823&amp;col=7&amp;number=0.237&amp;sourceID=14","0.237")</f>
        <v>0.237</v>
      </c>
    </row>
    <row r="1824" spans="1:7">
      <c r="A1824" s="3">
        <v>18</v>
      </c>
      <c r="B1824" s="3">
        <v>8</v>
      </c>
      <c r="C1824" s="3">
        <v>2</v>
      </c>
      <c r="D1824" s="3">
        <v>9</v>
      </c>
      <c r="E1824" s="3">
        <v>1</v>
      </c>
      <c r="F1824" s="4" t="str">
        <f>HYPERLINK("http://141.218.60.56/~jnz1568/getInfo.php?workbook=18_08.xlsx&amp;sheet=U0&amp;row=1824&amp;col=6&amp;number=3&amp;sourceID=14","3")</f>
        <v>3</v>
      </c>
      <c r="G1824" s="4" t="str">
        <f>HYPERLINK("http://141.218.60.56/~jnz1568/getInfo.php?workbook=18_08.xlsx&amp;sheet=U0&amp;row=1824&amp;col=7&amp;number=0.014&amp;sourceID=14","0.014")</f>
        <v>0.014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HYPERLINK("http://141.218.60.56/~jnz1568/getInfo.php?workbook=18_08.xlsx&amp;sheet=U0&amp;row=1825&amp;col=6&amp;number=3.1&amp;sourceID=14","3.1")</f>
        <v>3.1</v>
      </c>
      <c r="G1825" s="4" t="str">
        <f>HYPERLINK("http://141.218.60.56/~jnz1568/getInfo.php?workbook=18_08.xlsx&amp;sheet=U0&amp;row=1825&amp;col=7&amp;number=0.014&amp;sourceID=14","0.014")</f>
        <v>0.014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HYPERLINK("http://141.218.60.56/~jnz1568/getInfo.php?workbook=18_08.xlsx&amp;sheet=U0&amp;row=1826&amp;col=6&amp;number=3.2&amp;sourceID=14","3.2")</f>
        <v>3.2</v>
      </c>
      <c r="G1826" s="4" t="str">
        <f>HYPERLINK("http://141.218.60.56/~jnz1568/getInfo.php?workbook=18_08.xlsx&amp;sheet=U0&amp;row=1826&amp;col=7&amp;number=0.014&amp;sourceID=14","0.014")</f>
        <v>0.014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HYPERLINK("http://141.218.60.56/~jnz1568/getInfo.php?workbook=18_08.xlsx&amp;sheet=U0&amp;row=1827&amp;col=6&amp;number=3.3&amp;sourceID=14","3.3")</f>
        <v>3.3</v>
      </c>
      <c r="G1827" s="4" t="str">
        <f>HYPERLINK("http://141.218.60.56/~jnz1568/getInfo.php?workbook=18_08.xlsx&amp;sheet=U0&amp;row=1827&amp;col=7&amp;number=0.014&amp;sourceID=14","0.014")</f>
        <v>0.014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HYPERLINK("http://141.218.60.56/~jnz1568/getInfo.php?workbook=18_08.xlsx&amp;sheet=U0&amp;row=1828&amp;col=6&amp;number=3.4&amp;sourceID=14","3.4")</f>
        <v>3.4</v>
      </c>
      <c r="G1828" s="4" t="str">
        <f>HYPERLINK("http://141.218.60.56/~jnz1568/getInfo.php?workbook=18_08.xlsx&amp;sheet=U0&amp;row=1828&amp;col=7&amp;number=0.014&amp;sourceID=14","0.014")</f>
        <v>0.014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HYPERLINK("http://141.218.60.56/~jnz1568/getInfo.php?workbook=18_08.xlsx&amp;sheet=U0&amp;row=1829&amp;col=6&amp;number=3.5&amp;sourceID=14","3.5")</f>
        <v>3.5</v>
      </c>
      <c r="G1829" s="4" t="str">
        <f>HYPERLINK("http://141.218.60.56/~jnz1568/getInfo.php?workbook=18_08.xlsx&amp;sheet=U0&amp;row=1829&amp;col=7&amp;number=0.014&amp;sourceID=14","0.014")</f>
        <v>0.014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HYPERLINK("http://141.218.60.56/~jnz1568/getInfo.php?workbook=18_08.xlsx&amp;sheet=U0&amp;row=1830&amp;col=6&amp;number=3.6&amp;sourceID=14","3.6")</f>
        <v>3.6</v>
      </c>
      <c r="G1830" s="4" t="str">
        <f>HYPERLINK("http://141.218.60.56/~jnz1568/getInfo.php?workbook=18_08.xlsx&amp;sheet=U0&amp;row=1830&amp;col=7&amp;number=0.014&amp;sourceID=14","0.014")</f>
        <v>0.014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HYPERLINK("http://141.218.60.56/~jnz1568/getInfo.php?workbook=18_08.xlsx&amp;sheet=U0&amp;row=1831&amp;col=6&amp;number=3.7&amp;sourceID=14","3.7")</f>
        <v>3.7</v>
      </c>
      <c r="G1831" s="4" t="str">
        <f>HYPERLINK("http://141.218.60.56/~jnz1568/getInfo.php?workbook=18_08.xlsx&amp;sheet=U0&amp;row=1831&amp;col=7&amp;number=0.014&amp;sourceID=14","0.014")</f>
        <v>0.014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HYPERLINK("http://141.218.60.56/~jnz1568/getInfo.php?workbook=18_08.xlsx&amp;sheet=U0&amp;row=1832&amp;col=6&amp;number=3.8&amp;sourceID=14","3.8")</f>
        <v>3.8</v>
      </c>
      <c r="G1832" s="4" t="str">
        <f>HYPERLINK("http://141.218.60.56/~jnz1568/getInfo.php?workbook=18_08.xlsx&amp;sheet=U0&amp;row=1832&amp;col=7&amp;number=0.014&amp;sourceID=14","0.014")</f>
        <v>0.014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HYPERLINK("http://141.218.60.56/~jnz1568/getInfo.php?workbook=18_08.xlsx&amp;sheet=U0&amp;row=1833&amp;col=6&amp;number=3.9&amp;sourceID=14","3.9")</f>
        <v>3.9</v>
      </c>
      <c r="G1833" s="4" t="str">
        <f>HYPERLINK("http://141.218.60.56/~jnz1568/getInfo.php?workbook=18_08.xlsx&amp;sheet=U0&amp;row=1833&amp;col=7&amp;number=0.014&amp;sourceID=14","0.014")</f>
        <v>0.014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HYPERLINK("http://141.218.60.56/~jnz1568/getInfo.php?workbook=18_08.xlsx&amp;sheet=U0&amp;row=1834&amp;col=6&amp;number=4&amp;sourceID=14","4")</f>
        <v>4</v>
      </c>
      <c r="G1834" s="4" t="str">
        <f>HYPERLINK("http://141.218.60.56/~jnz1568/getInfo.php?workbook=18_08.xlsx&amp;sheet=U0&amp;row=1834&amp;col=7&amp;number=0.014&amp;sourceID=14","0.014")</f>
        <v>0.014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HYPERLINK("http://141.218.60.56/~jnz1568/getInfo.php?workbook=18_08.xlsx&amp;sheet=U0&amp;row=1835&amp;col=6&amp;number=4.1&amp;sourceID=14","4.1")</f>
        <v>4.1</v>
      </c>
      <c r="G1835" s="4" t="str">
        <f>HYPERLINK("http://141.218.60.56/~jnz1568/getInfo.php?workbook=18_08.xlsx&amp;sheet=U0&amp;row=1835&amp;col=7&amp;number=0.014&amp;sourceID=14","0.014")</f>
        <v>0.014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HYPERLINK("http://141.218.60.56/~jnz1568/getInfo.php?workbook=18_08.xlsx&amp;sheet=U0&amp;row=1836&amp;col=6&amp;number=4.2&amp;sourceID=14","4.2")</f>
        <v>4.2</v>
      </c>
      <c r="G1836" s="4" t="str">
        <f>HYPERLINK("http://141.218.60.56/~jnz1568/getInfo.php?workbook=18_08.xlsx&amp;sheet=U0&amp;row=1836&amp;col=7&amp;number=0.014&amp;sourceID=14","0.014")</f>
        <v>0.014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HYPERLINK("http://141.218.60.56/~jnz1568/getInfo.php?workbook=18_08.xlsx&amp;sheet=U0&amp;row=1837&amp;col=6&amp;number=4.3&amp;sourceID=14","4.3")</f>
        <v>4.3</v>
      </c>
      <c r="G1837" s="4" t="str">
        <f>HYPERLINK("http://141.218.60.56/~jnz1568/getInfo.php?workbook=18_08.xlsx&amp;sheet=U0&amp;row=1837&amp;col=7&amp;number=0.014&amp;sourceID=14","0.014")</f>
        <v>0.014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HYPERLINK("http://141.218.60.56/~jnz1568/getInfo.php?workbook=18_08.xlsx&amp;sheet=U0&amp;row=1838&amp;col=6&amp;number=4.4&amp;sourceID=14","4.4")</f>
        <v>4.4</v>
      </c>
      <c r="G1838" s="4" t="str">
        <f>HYPERLINK("http://141.218.60.56/~jnz1568/getInfo.php?workbook=18_08.xlsx&amp;sheet=U0&amp;row=1838&amp;col=7&amp;number=0.014&amp;sourceID=14","0.014")</f>
        <v>0.014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HYPERLINK("http://141.218.60.56/~jnz1568/getInfo.php?workbook=18_08.xlsx&amp;sheet=U0&amp;row=1839&amp;col=6&amp;number=4.5&amp;sourceID=14","4.5")</f>
        <v>4.5</v>
      </c>
      <c r="G1839" s="4" t="str">
        <f>HYPERLINK("http://141.218.60.56/~jnz1568/getInfo.php?workbook=18_08.xlsx&amp;sheet=U0&amp;row=1839&amp;col=7&amp;number=0.014&amp;sourceID=14","0.014")</f>
        <v>0.014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HYPERLINK("http://141.218.60.56/~jnz1568/getInfo.php?workbook=18_08.xlsx&amp;sheet=U0&amp;row=1840&amp;col=6&amp;number=4.6&amp;sourceID=14","4.6")</f>
        <v>4.6</v>
      </c>
      <c r="G1840" s="4" t="str">
        <f>HYPERLINK("http://141.218.60.56/~jnz1568/getInfo.php?workbook=18_08.xlsx&amp;sheet=U0&amp;row=1840&amp;col=7&amp;number=0.0139&amp;sourceID=14","0.0139")</f>
        <v>0.0139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HYPERLINK("http://141.218.60.56/~jnz1568/getInfo.php?workbook=18_08.xlsx&amp;sheet=U0&amp;row=1841&amp;col=6&amp;number=4.7&amp;sourceID=14","4.7")</f>
        <v>4.7</v>
      </c>
      <c r="G1841" s="4" t="str">
        <f>HYPERLINK("http://141.218.60.56/~jnz1568/getInfo.php?workbook=18_08.xlsx&amp;sheet=U0&amp;row=1841&amp;col=7&amp;number=0.0139&amp;sourceID=14","0.0139")</f>
        <v>0.0139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HYPERLINK("http://141.218.60.56/~jnz1568/getInfo.php?workbook=18_08.xlsx&amp;sheet=U0&amp;row=1842&amp;col=6&amp;number=4.8&amp;sourceID=14","4.8")</f>
        <v>4.8</v>
      </c>
      <c r="G1842" s="4" t="str">
        <f>HYPERLINK("http://141.218.60.56/~jnz1568/getInfo.php?workbook=18_08.xlsx&amp;sheet=U0&amp;row=1842&amp;col=7&amp;number=0.0139&amp;sourceID=14","0.0139")</f>
        <v>0.0139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HYPERLINK("http://141.218.60.56/~jnz1568/getInfo.php?workbook=18_08.xlsx&amp;sheet=U0&amp;row=1843&amp;col=6&amp;number=4.9&amp;sourceID=14","4.9")</f>
        <v>4.9</v>
      </c>
      <c r="G1843" s="4" t="str">
        <f>HYPERLINK("http://141.218.60.56/~jnz1568/getInfo.php?workbook=18_08.xlsx&amp;sheet=U0&amp;row=1843&amp;col=7&amp;number=0.0139&amp;sourceID=14","0.0139")</f>
        <v>0.0139</v>
      </c>
    </row>
    <row r="1844" spans="1:7">
      <c r="A1844" s="3">
        <v>18</v>
      </c>
      <c r="B1844" s="3">
        <v>8</v>
      </c>
      <c r="C1844" s="3" t="s">
        <v>54</v>
      </c>
      <c r="D1844" s="3">
        <v>0</v>
      </c>
      <c r="E1844" s="3">
        <v>1</v>
      </c>
      <c r="F1844" s="4" t="str">
        <f>HYPERLINK("http://141.218.60.56/~jnz1568/getInfo.php?workbook=18_08.xlsx&amp;sheet=U0&amp;row=1844&amp;col=6&amp;number=3&amp;sourceID=14","3")</f>
        <v>3</v>
      </c>
      <c r="G1844" s="4" t="str">
        <f>HYPERLINK("http://141.218.60.56/~jnz1568/getInfo.php?workbook=18_08.xlsx&amp;sheet=U0&amp;row=1844&amp;col=7&amp;number=0.000526&amp;sourceID=14","0.000526")</f>
        <v>0.000526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HYPERLINK("http://141.218.60.56/~jnz1568/getInfo.php?workbook=18_08.xlsx&amp;sheet=U0&amp;row=1845&amp;col=6&amp;number=3.1&amp;sourceID=14","3.1")</f>
        <v>3.1</v>
      </c>
      <c r="G1845" s="4" t="str">
        <f>HYPERLINK("http://141.218.60.56/~jnz1568/getInfo.php?workbook=18_08.xlsx&amp;sheet=U0&amp;row=1845&amp;col=7&amp;number=0.000526&amp;sourceID=14","0.000526")</f>
        <v>0.000526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HYPERLINK("http://141.218.60.56/~jnz1568/getInfo.php?workbook=18_08.xlsx&amp;sheet=U0&amp;row=1846&amp;col=6&amp;number=3.2&amp;sourceID=14","3.2")</f>
        <v>3.2</v>
      </c>
      <c r="G1846" s="4" t="str">
        <f>HYPERLINK("http://141.218.60.56/~jnz1568/getInfo.php?workbook=18_08.xlsx&amp;sheet=U0&amp;row=1846&amp;col=7&amp;number=0.000526&amp;sourceID=14","0.000526")</f>
        <v>0.000526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HYPERLINK("http://141.218.60.56/~jnz1568/getInfo.php?workbook=18_08.xlsx&amp;sheet=U0&amp;row=1847&amp;col=6&amp;number=3.3&amp;sourceID=14","3.3")</f>
        <v>3.3</v>
      </c>
      <c r="G1847" s="4" t="str">
        <f>HYPERLINK("http://141.218.60.56/~jnz1568/getInfo.php?workbook=18_08.xlsx&amp;sheet=U0&amp;row=1847&amp;col=7&amp;number=0.000526&amp;sourceID=14","0.000526")</f>
        <v>0.000526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HYPERLINK("http://141.218.60.56/~jnz1568/getInfo.php?workbook=18_08.xlsx&amp;sheet=U0&amp;row=1848&amp;col=6&amp;number=3.4&amp;sourceID=14","3.4")</f>
        <v>3.4</v>
      </c>
      <c r="G1848" s="4" t="str">
        <f>HYPERLINK("http://141.218.60.56/~jnz1568/getInfo.php?workbook=18_08.xlsx&amp;sheet=U0&amp;row=1848&amp;col=7&amp;number=0.000526&amp;sourceID=14","0.000526")</f>
        <v>0.000526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HYPERLINK("http://141.218.60.56/~jnz1568/getInfo.php?workbook=18_08.xlsx&amp;sheet=U0&amp;row=1849&amp;col=6&amp;number=3.5&amp;sourceID=14","3.5")</f>
        <v>3.5</v>
      </c>
      <c r="G1849" s="4" t="str">
        <f>HYPERLINK("http://141.218.60.56/~jnz1568/getInfo.php?workbook=18_08.xlsx&amp;sheet=U0&amp;row=1849&amp;col=7&amp;number=0.000526&amp;sourceID=14","0.000526")</f>
        <v>0.000526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HYPERLINK("http://141.218.60.56/~jnz1568/getInfo.php?workbook=18_08.xlsx&amp;sheet=U0&amp;row=1850&amp;col=6&amp;number=3.6&amp;sourceID=14","3.6")</f>
        <v>3.6</v>
      </c>
      <c r="G1850" s="4" t="str">
        <f>HYPERLINK("http://141.218.60.56/~jnz1568/getInfo.php?workbook=18_08.xlsx&amp;sheet=U0&amp;row=1850&amp;col=7&amp;number=0.000525&amp;sourceID=14","0.000525")</f>
        <v>0.000525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HYPERLINK("http://141.218.60.56/~jnz1568/getInfo.php?workbook=18_08.xlsx&amp;sheet=U0&amp;row=1851&amp;col=6&amp;number=3.7&amp;sourceID=14","3.7")</f>
        <v>3.7</v>
      </c>
      <c r="G1851" s="4" t="str">
        <f>HYPERLINK("http://141.218.60.56/~jnz1568/getInfo.php?workbook=18_08.xlsx&amp;sheet=U0&amp;row=1851&amp;col=7&amp;number=0.000525&amp;sourceID=14","0.000525")</f>
        <v>0.000525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HYPERLINK("http://141.218.60.56/~jnz1568/getInfo.php?workbook=18_08.xlsx&amp;sheet=U0&amp;row=1852&amp;col=6&amp;number=3.8&amp;sourceID=14","3.8")</f>
        <v>3.8</v>
      </c>
      <c r="G1852" s="4" t="str">
        <f>HYPERLINK("http://141.218.60.56/~jnz1568/getInfo.php?workbook=18_08.xlsx&amp;sheet=U0&amp;row=1852&amp;col=7&amp;number=0.000525&amp;sourceID=14","0.000525")</f>
        <v>0.000525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HYPERLINK("http://141.218.60.56/~jnz1568/getInfo.php?workbook=18_08.xlsx&amp;sheet=U0&amp;row=1853&amp;col=6&amp;number=3.9&amp;sourceID=14","3.9")</f>
        <v>3.9</v>
      </c>
      <c r="G1853" s="4" t="str">
        <f>HYPERLINK("http://141.218.60.56/~jnz1568/getInfo.php?workbook=18_08.xlsx&amp;sheet=U0&amp;row=1853&amp;col=7&amp;number=0.000525&amp;sourceID=14","0.000525")</f>
        <v>0.000525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HYPERLINK("http://141.218.60.56/~jnz1568/getInfo.php?workbook=18_08.xlsx&amp;sheet=U0&amp;row=1854&amp;col=6&amp;number=4&amp;sourceID=14","4")</f>
        <v>4</v>
      </c>
      <c r="G1854" s="4" t="str">
        <f>HYPERLINK("http://141.218.60.56/~jnz1568/getInfo.php?workbook=18_08.xlsx&amp;sheet=U0&amp;row=1854&amp;col=7&amp;number=0.000524&amp;sourceID=14","0.000524")</f>
        <v>0.000524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HYPERLINK("http://141.218.60.56/~jnz1568/getInfo.php?workbook=18_08.xlsx&amp;sheet=U0&amp;row=1855&amp;col=6&amp;number=4.1&amp;sourceID=14","4.1")</f>
        <v>4.1</v>
      </c>
      <c r="G1855" s="4" t="str">
        <f>HYPERLINK("http://141.218.60.56/~jnz1568/getInfo.php?workbook=18_08.xlsx&amp;sheet=U0&amp;row=1855&amp;col=7&amp;number=0.000524&amp;sourceID=14","0.000524")</f>
        <v>0.000524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HYPERLINK("http://141.218.60.56/~jnz1568/getInfo.php?workbook=18_08.xlsx&amp;sheet=U0&amp;row=1856&amp;col=6&amp;number=4.2&amp;sourceID=14","4.2")</f>
        <v>4.2</v>
      </c>
      <c r="G1856" s="4" t="str">
        <f>HYPERLINK("http://141.218.60.56/~jnz1568/getInfo.php?workbook=18_08.xlsx&amp;sheet=U0&amp;row=1856&amp;col=7&amp;number=0.000523&amp;sourceID=14","0.000523")</f>
        <v>0.000523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HYPERLINK("http://141.218.60.56/~jnz1568/getInfo.php?workbook=18_08.xlsx&amp;sheet=U0&amp;row=1857&amp;col=6&amp;number=4.3&amp;sourceID=14","4.3")</f>
        <v>4.3</v>
      </c>
      <c r="G1857" s="4" t="str">
        <f>HYPERLINK("http://141.218.60.56/~jnz1568/getInfo.php?workbook=18_08.xlsx&amp;sheet=U0&amp;row=1857&amp;col=7&amp;number=0.000522&amp;sourceID=14","0.000522")</f>
        <v>0.000522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HYPERLINK("http://141.218.60.56/~jnz1568/getInfo.php?workbook=18_08.xlsx&amp;sheet=U0&amp;row=1858&amp;col=6&amp;number=4.4&amp;sourceID=14","4.4")</f>
        <v>4.4</v>
      </c>
      <c r="G1858" s="4" t="str">
        <f>HYPERLINK("http://141.218.60.56/~jnz1568/getInfo.php?workbook=18_08.xlsx&amp;sheet=U0&amp;row=1858&amp;col=7&amp;number=0.000521&amp;sourceID=14","0.000521")</f>
        <v>0.000521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HYPERLINK("http://141.218.60.56/~jnz1568/getInfo.php?workbook=18_08.xlsx&amp;sheet=U0&amp;row=1859&amp;col=6&amp;number=4.5&amp;sourceID=14","4.5")</f>
        <v>4.5</v>
      </c>
      <c r="G1859" s="4" t="str">
        <f>HYPERLINK("http://141.218.60.56/~jnz1568/getInfo.php?workbook=18_08.xlsx&amp;sheet=U0&amp;row=1859&amp;col=7&amp;number=0.00052&amp;sourceID=14","0.00052")</f>
        <v>0.00052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HYPERLINK("http://141.218.60.56/~jnz1568/getInfo.php?workbook=18_08.xlsx&amp;sheet=U0&amp;row=1860&amp;col=6&amp;number=4.6&amp;sourceID=14","4.6")</f>
        <v>4.6</v>
      </c>
      <c r="G1860" s="4" t="str">
        <f>HYPERLINK("http://141.218.60.56/~jnz1568/getInfo.php?workbook=18_08.xlsx&amp;sheet=U0&amp;row=1860&amp;col=7&amp;number=0.000518&amp;sourceID=14","0.000518")</f>
        <v>0.000518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HYPERLINK("http://141.218.60.56/~jnz1568/getInfo.php?workbook=18_08.xlsx&amp;sheet=U0&amp;row=1861&amp;col=6&amp;number=4.7&amp;sourceID=14","4.7")</f>
        <v>4.7</v>
      </c>
      <c r="G1861" s="4" t="str">
        <f>HYPERLINK("http://141.218.60.56/~jnz1568/getInfo.php?workbook=18_08.xlsx&amp;sheet=U0&amp;row=1861&amp;col=7&amp;number=0.000516&amp;sourceID=14","0.000516")</f>
        <v>0.000516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HYPERLINK("http://141.218.60.56/~jnz1568/getInfo.php?workbook=18_08.xlsx&amp;sheet=U0&amp;row=1862&amp;col=6&amp;number=4.8&amp;sourceID=14","4.8")</f>
        <v>4.8</v>
      </c>
      <c r="G1862" s="4" t="str">
        <f>HYPERLINK("http://141.218.60.56/~jnz1568/getInfo.php?workbook=18_08.xlsx&amp;sheet=U0&amp;row=1862&amp;col=7&amp;number=0.000513&amp;sourceID=14","0.000513")</f>
        <v>0.000513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HYPERLINK("http://141.218.60.56/~jnz1568/getInfo.php?workbook=18_08.xlsx&amp;sheet=U0&amp;row=1863&amp;col=6&amp;number=4.9&amp;sourceID=14","4.9")</f>
        <v>4.9</v>
      </c>
      <c r="G1863" s="4" t="str">
        <f>HYPERLINK("http://141.218.60.56/~jnz1568/getInfo.php?workbook=18_08.xlsx&amp;sheet=U0&amp;row=1863&amp;col=7&amp;number=0.00051&amp;sourceID=14","0.00051")</f>
        <v>0.00051</v>
      </c>
    </row>
    <row r="1864" spans="1:7">
      <c r="A1864" s="3">
        <v>18</v>
      </c>
      <c r="B1864" s="3">
        <v>8</v>
      </c>
      <c r="C1864" s="3" t="s">
        <v>54</v>
      </c>
      <c r="D1864" s="3">
        <v>1</v>
      </c>
      <c r="E1864" s="3">
        <v>1</v>
      </c>
      <c r="F1864" s="4" t="str">
        <f>HYPERLINK("http://141.218.60.56/~jnz1568/getInfo.php?workbook=18_08.xlsx&amp;sheet=U0&amp;row=1864&amp;col=6&amp;number=3&amp;sourceID=14","3")</f>
        <v>3</v>
      </c>
      <c r="G1864" s="4" t="str">
        <f>HYPERLINK("http://141.218.60.56/~jnz1568/getInfo.php?workbook=18_08.xlsx&amp;sheet=U0&amp;row=1864&amp;col=7&amp;number=0.00447&amp;sourceID=14","0.00447")</f>
        <v>0.00447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HYPERLINK("http://141.218.60.56/~jnz1568/getInfo.php?workbook=18_08.xlsx&amp;sheet=U0&amp;row=1865&amp;col=6&amp;number=3.1&amp;sourceID=14","3.1")</f>
        <v>3.1</v>
      </c>
      <c r="G1865" s="4" t="str">
        <f>HYPERLINK("http://141.218.60.56/~jnz1568/getInfo.php?workbook=18_08.xlsx&amp;sheet=U0&amp;row=1865&amp;col=7&amp;number=0.00447&amp;sourceID=14","0.00447")</f>
        <v>0.00447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HYPERLINK("http://141.218.60.56/~jnz1568/getInfo.php?workbook=18_08.xlsx&amp;sheet=U0&amp;row=1866&amp;col=6&amp;number=3.2&amp;sourceID=14","3.2")</f>
        <v>3.2</v>
      </c>
      <c r="G1866" s="4" t="str">
        <f>HYPERLINK("http://141.218.60.56/~jnz1568/getInfo.php?workbook=18_08.xlsx&amp;sheet=U0&amp;row=1866&amp;col=7&amp;number=0.00447&amp;sourceID=14","0.00447")</f>
        <v>0.00447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HYPERLINK("http://141.218.60.56/~jnz1568/getInfo.php?workbook=18_08.xlsx&amp;sheet=U0&amp;row=1867&amp;col=6&amp;number=3.3&amp;sourceID=14","3.3")</f>
        <v>3.3</v>
      </c>
      <c r="G1867" s="4" t="str">
        <f>HYPERLINK("http://141.218.60.56/~jnz1568/getInfo.php?workbook=18_08.xlsx&amp;sheet=U0&amp;row=1867&amp;col=7&amp;number=0.00447&amp;sourceID=14","0.00447")</f>
        <v>0.00447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HYPERLINK("http://141.218.60.56/~jnz1568/getInfo.php?workbook=18_08.xlsx&amp;sheet=U0&amp;row=1868&amp;col=6&amp;number=3.4&amp;sourceID=14","3.4")</f>
        <v>3.4</v>
      </c>
      <c r="G1868" s="4" t="str">
        <f>HYPERLINK("http://141.218.60.56/~jnz1568/getInfo.php?workbook=18_08.xlsx&amp;sheet=U0&amp;row=1868&amp;col=7&amp;number=0.00447&amp;sourceID=14","0.00447")</f>
        <v>0.00447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HYPERLINK("http://141.218.60.56/~jnz1568/getInfo.php?workbook=18_08.xlsx&amp;sheet=U0&amp;row=1869&amp;col=6&amp;number=3.5&amp;sourceID=14","3.5")</f>
        <v>3.5</v>
      </c>
      <c r="G1869" s="4" t="str">
        <f>HYPERLINK("http://141.218.60.56/~jnz1568/getInfo.php?workbook=18_08.xlsx&amp;sheet=U0&amp;row=1869&amp;col=7&amp;number=0.00447&amp;sourceID=14","0.00447")</f>
        <v>0.00447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HYPERLINK("http://141.218.60.56/~jnz1568/getInfo.php?workbook=18_08.xlsx&amp;sheet=U0&amp;row=1870&amp;col=6&amp;number=3.6&amp;sourceID=14","3.6")</f>
        <v>3.6</v>
      </c>
      <c r="G1870" s="4" t="str">
        <f>HYPERLINK("http://141.218.60.56/~jnz1568/getInfo.php?workbook=18_08.xlsx&amp;sheet=U0&amp;row=1870&amp;col=7&amp;number=0.00446&amp;sourceID=14","0.00446")</f>
        <v>0.00446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HYPERLINK("http://141.218.60.56/~jnz1568/getInfo.php?workbook=18_08.xlsx&amp;sheet=U0&amp;row=1871&amp;col=6&amp;number=3.7&amp;sourceID=14","3.7")</f>
        <v>3.7</v>
      </c>
      <c r="G1871" s="4" t="str">
        <f>HYPERLINK("http://141.218.60.56/~jnz1568/getInfo.php?workbook=18_08.xlsx&amp;sheet=U0&amp;row=1871&amp;col=7&amp;number=0.00446&amp;sourceID=14","0.00446")</f>
        <v>0.00446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HYPERLINK("http://141.218.60.56/~jnz1568/getInfo.php?workbook=18_08.xlsx&amp;sheet=U0&amp;row=1872&amp;col=6&amp;number=3.8&amp;sourceID=14","3.8")</f>
        <v>3.8</v>
      </c>
      <c r="G1872" s="4" t="str">
        <f>HYPERLINK("http://141.218.60.56/~jnz1568/getInfo.php?workbook=18_08.xlsx&amp;sheet=U0&amp;row=1872&amp;col=7&amp;number=0.00446&amp;sourceID=14","0.00446")</f>
        <v>0.00446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HYPERLINK("http://141.218.60.56/~jnz1568/getInfo.php?workbook=18_08.xlsx&amp;sheet=U0&amp;row=1873&amp;col=6&amp;number=3.9&amp;sourceID=14","3.9")</f>
        <v>3.9</v>
      </c>
      <c r="G1873" s="4" t="str">
        <f>HYPERLINK("http://141.218.60.56/~jnz1568/getInfo.php?workbook=18_08.xlsx&amp;sheet=U0&amp;row=1873&amp;col=7&amp;number=0.00446&amp;sourceID=14","0.00446")</f>
        <v>0.00446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HYPERLINK("http://141.218.60.56/~jnz1568/getInfo.php?workbook=18_08.xlsx&amp;sheet=U0&amp;row=1874&amp;col=6&amp;number=4&amp;sourceID=14","4")</f>
        <v>4</v>
      </c>
      <c r="G1874" s="4" t="str">
        <f>HYPERLINK("http://141.218.60.56/~jnz1568/getInfo.php?workbook=18_08.xlsx&amp;sheet=U0&amp;row=1874&amp;col=7&amp;number=0.00446&amp;sourceID=14","0.00446")</f>
        <v>0.00446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HYPERLINK("http://141.218.60.56/~jnz1568/getInfo.php?workbook=18_08.xlsx&amp;sheet=U0&amp;row=1875&amp;col=6&amp;number=4.1&amp;sourceID=14","4.1")</f>
        <v>4.1</v>
      </c>
      <c r="G1875" s="4" t="str">
        <f>HYPERLINK("http://141.218.60.56/~jnz1568/getInfo.php?workbook=18_08.xlsx&amp;sheet=U0&amp;row=1875&amp;col=7&amp;number=0.00446&amp;sourceID=14","0.00446")</f>
        <v>0.00446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HYPERLINK("http://141.218.60.56/~jnz1568/getInfo.php?workbook=18_08.xlsx&amp;sheet=U0&amp;row=1876&amp;col=6&amp;number=4.2&amp;sourceID=14","4.2")</f>
        <v>4.2</v>
      </c>
      <c r="G1876" s="4" t="str">
        <f>HYPERLINK("http://141.218.60.56/~jnz1568/getInfo.php?workbook=18_08.xlsx&amp;sheet=U0&amp;row=1876&amp;col=7&amp;number=0.00445&amp;sourceID=14","0.00445")</f>
        <v>0.00445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HYPERLINK("http://141.218.60.56/~jnz1568/getInfo.php?workbook=18_08.xlsx&amp;sheet=U0&amp;row=1877&amp;col=6&amp;number=4.3&amp;sourceID=14","4.3")</f>
        <v>4.3</v>
      </c>
      <c r="G1877" s="4" t="str">
        <f>HYPERLINK("http://141.218.60.56/~jnz1568/getInfo.php?workbook=18_08.xlsx&amp;sheet=U0&amp;row=1877&amp;col=7&amp;number=0.00445&amp;sourceID=14","0.00445")</f>
        <v>0.00445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HYPERLINK("http://141.218.60.56/~jnz1568/getInfo.php?workbook=18_08.xlsx&amp;sheet=U0&amp;row=1878&amp;col=6&amp;number=4.4&amp;sourceID=14","4.4")</f>
        <v>4.4</v>
      </c>
      <c r="G1878" s="4" t="str">
        <f>HYPERLINK("http://141.218.60.56/~jnz1568/getInfo.php?workbook=18_08.xlsx&amp;sheet=U0&amp;row=1878&amp;col=7&amp;number=0.00444&amp;sourceID=14","0.00444")</f>
        <v>0.00444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HYPERLINK("http://141.218.60.56/~jnz1568/getInfo.php?workbook=18_08.xlsx&amp;sheet=U0&amp;row=1879&amp;col=6&amp;number=4.5&amp;sourceID=14","4.5")</f>
        <v>4.5</v>
      </c>
      <c r="G1879" s="4" t="str">
        <f>HYPERLINK("http://141.218.60.56/~jnz1568/getInfo.php?workbook=18_08.xlsx&amp;sheet=U0&amp;row=1879&amp;col=7&amp;number=0.00444&amp;sourceID=14","0.00444")</f>
        <v>0.00444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HYPERLINK("http://141.218.60.56/~jnz1568/getInfo.php?workbook=18_08.xlsx&amp;sheet=U0&amp;row=1880&amp;col=6&amp;number=4.6&amp;sourceID=14","4.6")</f>
        <v>4.6</v>
      </c>
      <c r="G1880" s="4" t="str">
        <f>HYPERLINK("http://141.218.60.56/~jnz1568/getInfo.php?workbook=18_08.xlsx&amp;sheet=U0&amp;row=1880&amp;col=7&amp;number=0.00443&amp;sourceID=14","0.00443")</f>
        <v>0.00443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HYPERLINK("http://141.218.60.56/~jnz1568/getInfo.php?workbook=18_08.xlsx&amp;sheet=U0&amp;row=1881&amp;col=6&amp;number=4.7&amp;sourceID=14","4.7")</f>
        <v>4.7</v>
      </c>
      <c r="G1881" s="4" t="str">
        <f>HYPERLINK("http://141.218.60.56/~jnz1568/getInfo.php?workbook=18_08.xlsx&amp;sheet=U0&amp;row=1881&amp;col=7&amp;number=0.00442&amp;sourceID=14","0.00442")</f>
        <v>0.00442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HYPERLINK("http://141.218.60.56/~jnz1568/getInfo.php?workbook=18_08.xlsx&amp;sheet=U0&amp;row=1882&amp;col=6&amp;number=4.8&amp;sourceID=14","4.8")</f>
        <v>4.8</v>
      </c>
      <c r="G1882" s="4" t="str">
        <f>HYPERLINK("http://141.218.60.56/~jnz1568/getInfo.php?workbook=18_08.xlsx&amp;sheet=U0&amp;row=1882&amp;col=7&amp;number=0.00441&amp;sourceID=14","0.00441")</f>
        <v>0.00441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HYPERLINK("http://141.218.60.56/~jnz1568/getInfo.php?workbook=18_08.xlsx&amp;sheet=U0&amp;row=1883&amp;col=6&amp;number=4.9&amp;sourceID=14","4.9")</f>
        <v>4.9</v>
      </c>
      <c r="G1883" s="4" t="str">
        <f>HYPERLINK("http://141.218.60.56/~jnz1568/getInfo.php?workbook=18_08.xlsx&amp;sheet=U0&amp;row=1883&amp;col=7&amp;number=0.00439&amp;sourceID=14","0.00439")</f>
        <v>0.00439</v>
      </c>
    </row>
    <row r="1884" spans="1:7">
      <c r="A1884" s="3">
        <v>18</v>
      </c>
      <c r="B1884" s="3">
        <v>8</v>
      </c>
      <c r="C1884" s="3" t="s">
        <v>54</v>
      </c>
      <c r="D1884" s="3">
        <v>2</v>
      </c>
      <c r="E1884" s="3">
        <v>1</v>
      </c>
      <c r="F1884" s="4" t="str">
        <f>HYPERLINK("http://141.218.60.56/~jnz1568/getInfo.php?workbook=18_08.xlsx&amp;sheet=U0&amp;row=1884&amp;col=6&amp;number=3&amp;sourceID=14","3")</f>
        <v>3</v>
      </c>
      <c r="G1884" s="4" t="str">
        <f>HYPERLINK("http://141.218.60.56/~jnz1568/getInfo.php?workbook=18_08.xlsx&amp;sheet=U0&amp;row=1884&amp;col=7&amp;number=0.0032&amp;sourceID=14","0.0032")</f>
        <v>0.0032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HYPERLINK("http://141.218.60.56/~jnz1568/getInfo.php?workbook=18_08.xlsx&amp;sheet=U0&amp;row=1885&amp;col=6&amp;number=3.1&amp;sourceID=14","3.1")</f>
        <v>3.1</v>
      </c>
      <c r="G1885" s="4" t="str">
        <f>HYPERLINK("http://141.218.60.56/~jnz1568/getInfo.php?workbook=18_08.xlsx&amp;sheet=U0&amp;row=1885&amp;col=7&amp;number=0.0032&amp;sourceID=14","0.0032")</f>
        <v>0.0032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HYPERLINK("http://141.218.60.56/~jnz1568/getInfo.php?workbook=18_08.xlsx&amp;sheet=U0&amp;row=1886&amp;col=6&amp;number=3.2&amp;sourceID=14","3.2")</f>
        <v>3.2</v>
      </c>
      <c r="G1886" s="4" t="str">
        <f>HYPERLINK("http://141.218.60.56/~jnz1568/getInfo.php?workbook=18_08.xlsx&amp;sheet=U0&amp;row=1886&amp;col=7&amp;number=0.0032&amp;sourceID=14","0.0032")</f>
        <v>0.0032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HYPERLINK("http://141.218.60.56/~jnz1568/getInfo.php?workbook=18_08.xlsx&amp;sheet=U0&amp;row=1887&amp;col=6&amp;number=3.3&amp;sourceID=14","3.3")</f>
        <v>3.3</v>
      </c>
      <c r="G1887" s="4" t="str">
        <f>HYPERLINK("http://141.218.60.56/~jnz1568/getInfo.php?workbook=18_08.xlsx&amp;sheet=U0&amp;row=1887&amp;col=7&amp;number=0.00321&amp;sourceID=14","0.00321")</f>
        <v>0.00321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HYPERLINK("http://141.218.60.56/~jnz1568/getInfo.php?workbook=18_08.xlsx&amp;sheet=U0&amp;row=1888&amp;col=6&amp;number=3.4&amp;sourceID=14","3.4")</f>
        <v>3.4</v>
      </c>
      <c r="G1888" s="4" t="str">
        <f>HYPERLINK("http://141.218.60.56/~jnz1568/getInfo.php?workbook=18_08.xlsx&amp;sheet=U0&amp;row=1888&amp;col=7&amp;number=0.00321&amp;sourceID=14","0.00321")</f>
        <v>0.00321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HYPERLINK("http://141.218.60.56/~jnz1568/getInfo.php?workbook=18_08.xlsx&amp;sheet=U0&amp;row=1889&amp;col=6&amp;number=3.5&amp;sourceID=14","3.5")</f>
        <v>3.5</v>
      </c>
      <c r="G1889" s="4" t="str">
        <f>HYPERLINK("http://141.218.60.56/~jnz1568/getInfo.php?workbook=18_08.xlsx&amp;sheet=U0&amp;row=1889&amp;col=7&amp;number=0.00321&amp;sourceID=14","0.00321")</f>
        <v>0.00321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HYPERLINK("http://141.218.60.56/~jnz1568/getInfo.php?workbook=18_08.xlsx&amp;sheet=U0&amp;row=1890&amp;col=6&amp;number=3.6&amp;sourceID=14","3.6")</f>
        <v>3.6</v>
      </c>
      <c r="G1890" s="4" t="str">
        <f>HYPERLINK("http://141.218.60.56/~jnz1568/getInfo.php?workbook=18_08.xlsx&amp;sheet=U0&amp;row=1890&amp;col=7&amp;number=0.00321&amp;sourceID=14","0.00321")</f>
        <v>0.00321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HYPERLINK("http://141.218.60.56/~jnz1568/getInfo.php?workbook=18_08.xlsx&amp;sheet=U0&amp;row=1891&amp;col=6&amp;number=3.7&amp;sourceID=14","3.7")</f>
        <v>3.7</v>
      </c>
      <c r="G1891" s="4" t="str">
        <f>HYPERLINK("http://141.218.60.56/~jnz1568/getInfo.php?workbook=18_08.xlsx&amp;sheet=U0&amp;row=1891&amp;col=7&amp;number=0.00321&amp;sourceID=14","0.00321")</f>
        <v>0.00321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HYPERLINK("http://141.218.60.56/~jnz1568/getInfo.php?workbook=18_08.xlsx&amp;sheet=U0&amp;row=1892&amp;col=6&amp;number=3.8&amp;sourceID=14","3.8")</f>
        <v>3.8</v>
      </c>
      <c r="G1892" s="4" t="str">
        <f>HYPERLINK("http://141.218.60.56/~jnz1568/getInfo.php?workbook=18_08.xlsx&amp;sheet=U0&amp;row=1892&amp;col=7&amp;number=0.00321&amp;sourceID=14","0.00321")</f>
        <v>0.00321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HYPERLINK("http://141.218.60.56/~jnz1568/getInfo.php?workbook=18_08.xlsx&amp;sheet=U0&amp;row=1893&amp;col=6&amp;number=3.9&amp;sourceID=14","3.9")</f>
        <v>3.9</v>
      </c>
      <c r="G1893" s="4" t="str">
        <f>HYPERLINK("http://141.218.60.56/~jnz1568/getInfo.php?workbook=18_08.xlsx&amp;sheet=U0&amp;row=1893&amp;col=7&amp;number=0.00322&amp;sourceID=14","0.00322")</f>
        <v>0.00322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HYPERLINK("http://141.218.60.56/~jnz1568/getInfo.php?workbook=18_08.xlsx&amp;sheet=U0&amp;row=1894&amp;col=6&amp;number=4&amp;sourceID=14","4")</f>
        <v>4</v>
      </c>
      <c r="G1894" s="4" t="str">
        <f>HYPERLINK("http://141.218.60.56/~jnz1568/getInfo.php?workbook=18_08.xlsx&amp;sheet=U0&amp;row=1894&amp;col=7&amp;number=0.00322&amp;sourceID=14","0.00322")</f>
        <v>0.00322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HYPERLINK("http://141.218.60.56/~jnz1568/getInfo.php?workbook=18_08.xlsx&amp;sheet=U0&amp;row=1895&amp;col=6&amp;number=4.1&amp;sourceID=14","4.1")</f>
        <v>4.1</v>
      </c>
      <c r="G1895" s="4" t="str">
        <f>HYPERLINK("http://141.218.60.56/~jnz1568/getInfo.php?workbook=18_08.xlsx&amp;sheet=U0&amp;row=1895&amp;col=7&amp;number=0.00323&amp;sourceID=14","0.00323")</f>
        <v>0.00323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HYPERLINK("http://141.218.60.56/~jnz1568/getInfo.php?workbook=18_08.xlsx&amp;sheet=U0&amp;row=1896&amp;col=6&amp;number=4.2&amp;sourceID=14","4.2")</f>
        <v>4.2</v>
      </c>
      <c r="G1896" s="4" t="str">
        <f>HYPERLINK("http://141.218.60.56/~jnz1568/getInfo.php?workbook=18_08.xlsx&amp;sheet=U0&amp;row=1896&amp;col=7&amp;number=0.00324&amp;sourceID=14","0.00324")</f>
        <v>0.00324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HYPERLINK("http://141.218.60.56/~jnz1568/getInfo.php?workbook=18_08.xlsx&amp;sheet=U0&amp;row=1897&amp;col=6&amp;number=4.3&amp;sourceID=14","4.3")</f>
        <v>4.3</v>
      </c>
      <c r="G1897" s="4" t="str">
        <f>HYPERLINK("http://141.218.60.56/~jnz1568/getInfo.php?workbook=18_08.xlsx&amp;sheet=U0&amp;row=1897&amp;col=7&amp;number=0.00324&amp;sourceID=14","0.00324")</f>
        <v>0.00324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HYPERLINK("http://141.218.60.56/~jnz1568/getInfo.php?workbook=18_08.xlsx&amp;sheet=U0&amp;row=1898&amp;col=6&amp;number=4.4&amp;sourceID=14","4.4")</f>
        <v>4.4</v>
      </c>
      <c r="G1898" s="4" t="str">
        <f>HYPERLINK("http://141.218.60.56/~jnz1568/getInfo.php?workbook=18_08.xlsx&amp;sheet=U0&amp;row=1898&amp;col=7&amp;number=0.00326&amp;sourceID=14","0.00326")</f>
        <v>0.00326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HYPERLINK("http://141.218.60.56/~jnz1568/getInfo.php?workbook=18_08.xlsx&amp;sheet=U0&amp;row=1899&amp;col=6&amp;number=4.5&amp;sourceID=14","4.5")</f>
        <v>4.5</v>
      </c>
      <c r="G1899" s="4" t="str">
        <f>HYPERLINK("http://141.218.60.56/~jnz1568/getInfo.php?workbook=18_08.xlsx&amp;sheet=U0&amp;row=1899&amp;col=7&amp;number=0.00327&amp;sourceID=14","0.00327")</f>
        <v>0.00327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HYPERLINK("http://141.218.60.56/~jnz1568/getInfo.php?workbook=18_08.xlsx&amp;sheet=U0&amp;row=1900&amp;col=6&amp;number=4.6&amp;sourceID=14","4.6")</f>
        <v>4.6</v>
      </c>
      <c r="G1900" s="4" t="str">
        <f>HYPERLINK("http://141.218.60.56/~jnz1568/getInfo.php?workbook=18_08.xlsx&amp;sheet=U0&amp;row=1900&amp;col=7&amp;number=0.00329&amp;sourceID=14","0.00329")</f>
        <v>0.00329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HYPERLINK("http://141.218.60.56/~jnz1568/getInfo.php?workbook=18_08.xlsx&amp;sheet=U0&amp;row=1901&amp;col=6&amp;number=4.7&amp;sourceID=14","4.7")</f>
        <v>4.7</v>
      </c>
      <c r="G1901" s="4" t="str">
        <f>HYPERLINK("http://141.218.60.56/~jnz1568/getInfo.php?workbook=18_08.xlsx&amp;sheet=U0&amp;row=1901&amp;col=7&amp;number=0.00331&amp;sourceID=14","0.00331")</f>
        <v>0.00331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HYPERLINK("http://141.218.60.56/~jnz1568/getInfo.php?workbook=18_08.xlsx&amp;sheet=U0&amp;row=1902&amp;col=6&amp;number=4.8&amp;sourceID=14","4.8")</f>
        <v>4.8</v>
      </c>
      <c r="G1902" s="4" t="str">
        <f>HYPERLINK("http://141.218.60.56/~jnz1568/getInfo.php?workbook=18_08.xlsx&amp;sheet=U0&amp;row=1902&amp;col=7&amp;number=0.00334&amp;sourceID=14","0.00334")</f>
        <v>0.00334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HYPERLINK("http://141.218.60.56/~jnz1568/getInfo.php?workbook=18_08.xlsx&amp;sheet=U0&amp;row=1903&amp;col=6&amp;number=4.9&amp;sourceID=14","4.9")</f>
        <v>4.9</v>
      </c>
      <c r="G1903" s="4" t="str">
        <f>HYPERLINK("http://141.218.60.56/~jnz1568/getInfo.php?workbook=18_08.xlsx&amp;sheet=U0&amp;row=1903&amp;col=7&amp;number=0.00337&amp;sourceID=14","0.00337")</f>
        <v>0.00337</v>
      </c>
    </row>
    <row r="1904" spans="1:7">
      <c r="A1904" s="3">
        <v>18</v>
      </c>
      <c r="B1904" s="3">
        <v>8</v>
      </c>
      <c r="C1904" s="3" t="s">
        <v>54</v>
      </c>
      <c r="D1904" s="3">
        <v>3</v>
      </c>
      <c r="E1904" s="3">
        <v>1</v>
      </c>
      <c r="F1904" s="4" t="str">
        <f>HYPERLINK("http://141.218.60.56/~jnz1568/getInfo.php?workbook=18_08.xlsx&amp;sheet=U0&amp;row=1904&amp;col=6&amp;number=3&amp;sourceID=14","3")</f>
        <v>3</v>
      </c>
      <c r="G1904" s="4" t="str">
        <f>HYPERLINK("http://141.218.60.56/~jnz1568/getInfo.php?workbook=18_08.xlsx&amp;sheet=U0&amp;row=1904&amp;col=7&amp;number=0.00246&amp;sourceID=14","0.00246")</f>
        <v>0.00246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HYPERLINK("http://141.218.60.56/~jnz1568/getInfo.php?workbook=18_08.xlsx&amp;sheet=U0&amp;row=1905&amp;col=6&amp;number=3.1&amp;sourceID=14","3.1")</f>
        <v>3.1</v>
      </c>
      <c r="G1905" s="4" t="str">
        <f>HYPERLINK("http://141.218.60.56/~jnz1568/getInfo.php?workbook=18_08.xlsx&amp;sheet=U0&amp;row=1905&amp;col=7&amp;number=0.00246&amp;sourceID=14","0.00246")</f>
        <v>0.00246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HYPERLINK("http://141.218.60.56/~jnz1568/getInfo.php?workbook=18_08.xlsx&amp;sheet=U0&amp;row=1906&amp;col=6&amp;number=3.2&amp;sourceID=14","3.2")</f>
        <v>3.2</v>
      </c>
      <c r="G1906" s="4" t="str">
        <f>HYPERLINK("http://141.218.60.56/~jnz1568/getInfo.php?workbook=18_08.xlsx&amp;sheet=U0&amp;row=1906&amp;col=7&amp;number=0.00246&amp;sourceID=14","0.00246")</f>
        <v>0.00246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HYPERLINK("http://141.218.60.56/~jnz1568/getInfo.php?workbook=18_08.xlsx&amp;sheet=U0&amp;row=1907&amp;col=6&amp;number=3.3&amp;sourceID=14","3.3")</f>
        <v>3.3</v>
      </c>
      <c r="G1907" s="4" t="str">
        <f>HYPERLINK("http://141.218.60.56/~jnz1568/getInfo.php?workbook=18_08.xlsx&amp;sheet=U0&amp;row=1907&amp;col=7&amp;number=0.00246&amp;sourceID=14","0.00246")</f>
        <v>0.00246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HYPERLINK("http://141.218.60.56/~jnz1568/getInfo.php?workbook=18_08.xlsx&amp;sheet=U0&amp;row=1908&amp;col=6&amp;number=3.4&amp;sourceID=14","3.4")</f>
        <v>3.4</v>
      </c>
      <c r="G1908" s="4" t="str">
        <f>HYPERLINK("http://141.218.60.56/~jnz1568/getInfo.php?workbook=18_08.xlsx&amp;sheet=U0&amp;row=1908&amp;col=7&amp;number=0.00246&amp;sourceID=14","0.00246")</f>
        <v>0.00246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HYPERLINK("http://141.218.60.56/~jnz1568/getInfo.php?workbook=18_08.xlsx&amp;sheet=U0&amp;row=1909&amp;col=6&amp;number=3.5&amp;sourceID=14","3.5")</f>
        <v>3.5</v>
      </c>
      <c r="G1909" s="4" t="str">
        <f>HYPERLINK("http://141.218.60.56/~jnz1568/getInfo.php?workbook=18_08.xlsx&amp;sheet=U0&amp;row=1909&amp;col=7&amp;number=0.00246&amp;sourceID=14","0.00246")</f>
        <v>0.00246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HYPERLINK("http://141.218.60.56/~jnz1568/getInfo.php?workbook=18_08.xlsx&amp;sheet=U0&amp;row=1910&amp;col=6&amp;number=3.6&amp;sourceID=14","3.6")</f>
        <v>3.6</v>
      </c>
      <c r="G1910" s="4" t="str">
        <f>HYPERLINK("http://141.218.60.56/~jnz1568/getInfo.php?workbook=18_08.xlsx&amp;sheet=U0&amp;row=1910&amp;col=7&amp;number=0.00246&amp;sourceID=14","0.00246")</f>
        <v>0.00246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HYPERLINK("http://141.218.60.56/~jnz1568/getInfo.php?workbook=18_08.xlsx&amp;sheet=U0&amp;row=1911&amp;col=6&amp;number=3.7&amp;sourceID=14","3.7")</f>
        <v>3.7</v>
      </c>
      <c r="G1911" s="4" t="str">
        <f>HYPERLINK("http://141.218.60.56/~jnz1568/getInfo.php?workbook=18_08.xlsx&amp;sheet=U0&amp;row=1911&amp;col=7&amp;number=0.00246&amp;sourceID=14","0.00246")</f>
        <v>0.00246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HYPERLINK("http://141.218.60.56/~jnz1568/getInfo.php?workbook=18_08.xlsx&amp;sheet=U0&amp;row=1912&amp;col=6&amp;number=3.8&amp;sourceID=14","3.8")</f>
        <v>3.8</v>
      </c>
      <c r="G1912" s="4" t="str">
        <f>HYPERLINK("http://141.218.60.56/~jnz1568/getInfo.php?workbook=18_08.xlsx&amp;sheet=U0&amp;row=1912&amp;col=7&amp;number=0.00246&amp;sourceID=14","0.00246")</f>
        <v>0.00246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HYPERLINK("http://141.218.60.56/~jnz1568/getInfo.php?workbook=18_08.xlsx&amp;sheet=U0&amp;row=1913&amp;col=6&amp;number=3.9&amp;sourceID=14","3.9")</f>
        <v>3.9</v>
      </c>
      <c r="G1913" s="4" t="str">
        <f>HYPERLINK("http://141.218.60.56/~jnz1568/getInfo.php?workbook=18_08.xlsx&amp;sheet=U0&amp;row=1913&amp;col=7&amp;number=0.00246&amp;sourceID=14","0.00246")</f>
        <v>0.00246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HYPERLINK("http://141.218.60.56/~jnz1568/getInfo.php?workbook=18_08.xlsx&amp;sheet=U0&amp;row=1914&amp;col=6&amp;number=4&amp;sourceID=14","4")</f>
        <v>4</v>
      </c>
      <c r="G1914" s="4" t="str">
        <f>HYPERLINK("http://141.218.60.56/~jnz1568/getInfo.php?workbook=18_08.xlsx&amp;sheet=U0&amp;row=1914&amp;col=7&amp;number=0.00247&amp;sourceID=14","0.00247")</f>
        <v>0.00247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HYPERLINK("http://141.218.60.56/~jnz1568/getInfo.php?workbook=18_08.xlsx&amp;sheet=U0&amp;row=1915&amp;col=6&amp;number=4.1&amp;sourceID=14","4.1")</f>
        <v>4.1</v>
      </c>
      <c r="G1915" s="4" t="str">
        <f>HYPERLINK("http://141.218.60.56/~jnz1568/getInfo.php?workbook=18_08.xlsx&amp;sheet=U0&amp;row=1915&amp;col=7&amp;number=0.00247&amp;sourceID=14","0.00247")</f>
        <v>0.00247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HYPERLINK("http://141.218.60.56/~jnz1568/getInfo.php?workbook=18_08.xlsx&amp;sheet=U0&amp;row=1916&amp;col=6&amp;number=4.2&amp;sourceID=14","4.2")</f>
        <v>4.2</v>
      </c>
      <c r="G1916" s="4" t="str">
        <f>HYPERLINK("http://141.218.60.56/~jnz1568/getInfo.php?workbook=18_08.xlsx&amp;sheet=U0&amp;row=1916&amp;col=7&amp;number=0.00247&amp;sourceID=14","0.00247")</f>
        <v>0.00247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HYPERLINK("http://141.218.60.56/~jnz1568/getInfo.php?workbook=18_08.xlsx&amp;sheet=U0&amp;row=1917&amp;col=6&amp;number=4.3&amp;sourceID=14","4.3")</f>
        <v>4.3</v>
      </c>
      <c r="G1917" s="4" t="str">
        <f>HYPERLINK("http://141.218.60.56/~jnz1568/getInfo.php?workbook=18_08.xlsx&amp;sheet=U0&amp;row=1917&amp;col=7&amp;number=0.00247&amp;sourceID=14","0.00247")</f>
        <v>0.00247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HYPERLINK("http://141.218.60.56/~jnz1568/getInfo.php?workbook=18_08.xlsx&amp;sheet=U0&amp;row=1918&amp;col=6&amp;number=4.4&amp;sourceID=14","4.4")</f>
        <v>4.4</v>
      </c>
      <c r="G1918" s="4" t="str">
        <f>HYPERLINK("http://141.218.60.56/~jnz1568/getInfo.php?workbook=18_08.xlsx&amp;sheet=U0&amp;row=1918&amp;col=7&amp;number=0.00248&amp;sourceID=14","0.00248")</f>
        <v>0.00248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HYPERLINK("http://141.218.60.56/~jnz1568/getInfo.php?workbook=18_08.xlsx&amp;sheet=U0&amp;row=1919&amp;col=6&amp;number=4.5&amp;sourceID=14","4.5")</f>
        <v>4.5</v>
      </c>
      <c r="G1919" s="4" t="str">
        <f>HYPERLINK("http://141.218.60.56/~jnz1568/getInfo.php?workbook=18_08.xlsx&amp;sheet=U0&amp;row=1919&amp;col=7&amp;number=0.00248&amp;sourceID=14","0.00248")</f>
        <v>0.00248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HYPERLINK("http://141.218.60.56/~jnz1568/getInfo.php?workbook=18_08.xlsx&amp;sheet=U0&amp;row=1920&amp;col=6&amp;number=4.6&amp;sourceID=14","4.6")</f>
        <v>4.6</v>
      </c>
      <c r="G1920" s="4" t="str">
        <f>HYPERLINK("http://141.218.60.56/~jnz1568/getInfo.php?workbook=18_08.xlsx&amp;sheet=U0&amp;row=1920&amp;col=7&amp;number=0.00249&amp;sourceID=14","0.00249")</f>
        <v>0.00249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HYPERLINK("http://141.218.60.56/~jnz1568/getInfo.php?workbook=18_08.xlsx&amp;sheet=U0&amp;row=1921&amp;col=6&amp;number=4.7&amp;sourceID=14","4.7")</f>
        <v>4.7</v>
      </c>
      <c r="G1921" s="4" t="str">
        <f>HYPERLINK("http://141.218.60.56/~jnz1568/getInfo.php?workbook=18_08.xlsx&amp;sheet=U0&amp;row=1921&amp;col=7&amp;number=0.0025&amp;sourceID=14","0.0025")</f>
        <v>0.0025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HYPERLINK("http://141.218.60.56/~jnz1568/getInfo.php?workbook=18_08.xlsx&amp;sheet=U0&amp;row=1922&amp;col=6&amp;number=4.8&amp;sourceID=14","4.8")</f>
        <v>4.8</v>
      </c>
      <c r="G1922" s="4" t="str">
        <f>HYPERLINK("http://141.218.60.56/~jnz1568/getInfo.php?workbook=18_08.xlsx&amp;sheet=U0&amp;row=1922&amp;col=7&amp;number=0.00251&amp;sourceID=14","0.00251")</f>
        <v>0.00251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HYPERLINK("http://141.218.60.56/~jnz1568/getInfo.php?workbook=18_08.xlsx&amp;sheet=U0&amp;row=1923&amp;col=6&amp;number=4.9&amp;sourceID=14","4.9")</f>
        <v>4.9</v>
      </c>
      <c r="G1923" s="4" t="str">
        <f>HYPERLINK("http://141.218.60.56/~jnz1568/getInfo.php?workbook=18_08.xlsx&amp;sheet=U0&amp;row=1923&amp;col=7&amp;number=0.00252&amp;sourceID=14","0.00252")</f>
        <v>0.00252</v>
      </c>
    </row>
    <row r="1924" spans="1:7">
      <c r="A1924" s="3">
        <v>18</v>
      </c>
      <c r="B1924" s="3">
        <v>8</v>
      </c>
      <c r="C1924" s="3" t="s">
        <v>54</v>
      </c>
      <c r="D1924" s="3">
        <v>4</v>
      </c>
      <c r="E1924" s="3">
        <v>1</v>
      </c>
      <c r="F1924" s="4" t="str">
        <f>HYPERLINK("http://141.218.60.56/~jnz1568/getInfo.php?workbook=18_08.xlsx&amp;sheet=U0&amp;row=1924&amp;col=6&amp;number=3&amp;sourceID=14","3")</f>
        <v>3</v>
      </c>
      <c r="G1924" s="4" t="str">
        <f>HYPERLINK("http://141.218.60.56/~jnz1568/getInfo.php?workbook=18_08.xlsx&amp;sheet=U0&amp;row=1924&amp;col=7&amp;number=0.00349&amp;sourceID=14","0.00349")</f>
        <v>0.00349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HYPERLINK("http://141.218.60.56/~jnz1568/getInfo.php?workbook=18_08.xlsx&amp;sheet=U0&amp;row=1925&amp;col=6&amp;number=3.1&amp;sourceID=14","3.1")</f>
        <v>3.1</v>
      </c>
      <c r="G1925" s="4" t="str">
        <f>HYPERLINK("http://141.218.60.56/~jnz1568/getInfo.php?workbook=18_08.xlsx&amp;sheet=U0&amp;row=1925&amp;col=7&amp;number=0.0035&amp;sourceID=14","0.0035")</f>
        <v>0.0035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HYPERLINK("http://141.218.60.56/~jnz1568/getInfo.php?workbook=18_08.xlsx&amp;sheet=U0&amp;row=1926&amp;col=6&amp;number=3.2&amp;sourceID=14","3.2")</f>
        <v>3.2</v>
      </c>
      <c r="G1926" s="4" t="str">
        <f>HYPERLINK("http://141.218.60.56/~jnz1568/getInfo.php?workbook=18_08.xlsx&amp;sheet=U0&amp;row=1926&amp;col=7&amp;number=0.0035&amp;sourceID=14","0.0035")</f>
        <v>0.0035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HYPERLINK("http://141.218.60.56/~jnz1568/getInfo.php?workbook=18_08.xlsx&amp;sheet=U0&amp;row=1927&amp;col=6&amp;number=3.3&amp;sourceID=14","3.3")</f>
        <v>3.3</v>
      </c>
      <c r="G1927" s="4" t="str">
        <f>HYPERLINK("http://141.218.60.56/~jnz1568/getInfo.php?workbook=18_08.xlsx&amp;sheet=U0&amp;row=1927&amp;col=7&amp;number=0.0035&amp;sourceID=14","0.0035")</f>
        <v>0.0035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HYPERLINK("http://141.218.60.56/~jnz1568/getInfo.php?workbook=18_08.xlsx&amp;sheet=U0&amp;row=1928&amp;col=6&amp;number=3.4&amp;sourceID=14","3.4")</f>
        <v>3.4</v>
      </c>
      <c r="G1928" s="4" t="str">
        <f>HYPERLINK("http://141.218.60.56/~jnz1568/getInfo.php?workbook=18_08.xlsx&amp;sheet=U0&amp;row=1928&amp;col=7&amp;number=0.0035&amp;sourceID=14","0.0035")</f>
        <v>0.0035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HYPERLINK("http://141.218.60.56/~jnz1568/getInfo.php?workbook=18_08.xlsx&amp;sheet=U0&amp;row=1929&amp;col=6&amp;number=3.5&amp;sourceID=14","3.5")</f>
        <v>3.5</v>
      </c>
      <c r="G1929" s="4" t="str">
        <f>HYPERLINK("http://141.218.60.56/~jnz1568/getInfo.php?workbook=18_08.xlsx&amp;sheet=U0&amp;row=1929&amp;col=7&amp;number=0.0035&amp;sourceID=14","0.0035")</f>
        <v>0.0035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HYPERLINK("http://141.218.60.56/~jnz1568/getInfo.php?workbook=18_08.xlsx&amp;sheet=U0&amp;row=1930&amp;col=6&amp;number=3.6&amp;sourceID=14","3.6")</f>
        <v>3.6</v>
      </c>
      <c r="G1930" s="4" t="str">
        <f>HYPERLINK("http://141.218.60.56/~jnz1568/getInfo.php?workbook=18_08.xlsx&amp;sheet=U0&amp;row=1930&amp;col=7&amp;number=0.0035&amp;sourceID=14","0.0035")</f>
        <v>0.0035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HYPERLINK("http://141.218.60.56/~jnz1568/getInfo.php?workbook=18_08.xlsx&amp;sheet=U0&amp;row=1931&amp;col=6&amp;number=3.7&amp;sourceID=14","3.7")</f>
        <v>3.7</v>
      </c>
      <c r="G1931" s="4" t="str">
        <f>HYPERLINK("http://141.218.60.56/~jnz1568/getInfo.php?workbook=18_08.xlsx&amp;sheet=U0&amp;row=1931&amp;col=7&amp;number=0.0035&amp;sourceID=14","0.0035")</f>
        <v>0.0035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HYPERLINK("http://141.218.60.56/~jnz1568/getInfo.php?workbook=18_08.xlsx&amp;sheet=U0&amp;row=1932&amp;col=6&amp;number=3.8&amp;sourceID=14","3.8")</f>
        <v>3.8</v>
      </c>
      <c r="G1932" s="4" t="str">
        <f>HYPERLINK("http://141.218.60.56/~jnz1568/getInfo.php?workbook=18_08.xlsx&amp;sheet=U0&amp;row=1932&amp;col=7&amp;number=0.0035&amp;sourceID=14","0.0035")</f>
        <v>0.0035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HYPERLINK("http://141.218.60.56/~jnz1568/getInfo.php?workbook=18_08.xlsx&amp;sheet=U0&amp;row=1933&amp;col=6&amp;number=3.9&amp;sourceID=14","3.9")</f>
        <v>3.9</v>
      </c>
      <c r="G1933" s="4" t="str">
        <f>HYPERLINK("http://141.218.60.56/~jnz1568/getInfo.php?workbook=18_08.xlsx&amp;sheet=U0&amp;row=1933&amp;col=7&amp;number=0.00351&amp;sourceID=14","0.00351")</f>
        <v>0.00351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HYPERLINK("http://141.218.60.56/~jnz1568/getInfo.php?workbook=18_08.xlsx&amp;sheet=U0&amp;row=1934&amp;col=6&amp;number=4&amp;sourceID=14","4")</f>
        <v>4</v>
      </c>
      <c r="G1934" s="4" t="str">
        <f>HYPERLINK("http://141.218.60.56/~jnz1568/getInfo.php?workbook=18_08.xlsx&amp;sheet=U0&amp;row=1934&amp;col=7&amp;number=0.00351&amp;sourceID=14","0.00351")</f>
        <v>0.00351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HYPERLINK("http://141.218.60.56/~jnz1568/getInfo.php?workbook=18_08.xlsx&amp;sheet=U0&amp;row=1935&amp;col=6&amp;number=4.1&amp;sourceID=14","4.1")</f>
        <v>4.1</v>
      </c>
      <c r="G1935" s="4" t="str">
        <f>HYPERLINK("http://141.218.60.56/~jnz1568/getInfo.php?workbook=18_08.xlsx&amp;sheet=U0&amp;row=1935&amp;col=7&amp;number=0.00351&amp;sourceID=14","0.00351")</f>
        <v>0.00351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HYPERLINK("http://141.218.60.56/~jnz1568/getInfo.php?workbook=18_08.xlsx&amp;sheet=U0&amp;row=1936&amp;col=6&amp;number=4.2&amp;sourceID=14","4.2")</f>
        <v>4.2</v>
      </c>
      <c r="G1936" s="4" t="str">
        <f>HYPERLINK("http://141.218.60.56/~jnz1568/getInfo.php?workbook=18_08.xlsx&amp;sheet=U0&amp;row=1936&amp;col=7&amp;number=0.00352&amp;sourceID=14","0.00352")</f>
        <v>0.00352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HYPERLINK("http://141.218.60.56/~jnz1568/getInfo.php?workbook=18_08.xlsx&amp;sheet=U0&amp;row=1937&amp;col=6&amp;number=4.3&amp;sourceID=14","4.3")</f>
        <v>4.3</v>
      </c>
      <c r="G1937" s="4" t="str">
        <f>HYPERLINK("http://141.218.60.56/~jnz1568/getInfo.php?workbook=18_08.xlsx&amp;sheet=U0&amp;row=1937&amp;col=7&amp;number=0.00353&amp;sourceID=14","0.00353")</f>
        <v>0.00353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HYPERLINK("http://141.218.60.56/~jnz1568/getInfo.php?workbook=18_08.xlsx&amp;sheet=U0&amp;row=1938&amp;col=6&amp;number=4.4&amp;sourceID=14","4.4")</f>
        <v>4.4</v>
      </c>
      <c r="G1938" s="4" t="str">
        <f>HYPERLINK("http://141.218.60.56/~jnz1568/getInfo.php?workbook=18_08.xlsx&amp;sheet=U0&amp;row=1938&amp;col=7&amp;number=0.00354&amp;sourceID=14","0.00354")</f>
        <v>0.00354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HYPERLINK("http://141.218.60.56/~jnz1568/getInfo.php?workbook=18_08.xlsx&amp;sheet=U0&amp;row=1939&amp;col=6&amp;number=4.5&amp;sourceID=14","4.5")</f>
        <v>4.5</v>
      </c>
      <c r="G1939" s="4" t="str">
        <f>HYPERLINK("http://141.218.60.56/~jnz1568/getInfo.php?workbook=18_08.xlsx&amp;sheet=U0&amp;row=1939&amp;col=7&amp;number=0.00355&amp;sourceID=14","0.00355")</f>
        <v>0.00355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HYPERLINK("http://141.218.60.56/~jnz1568/getInfo.php?workbook=18_08.xlsx&amp;sheet=U0&amp;row=1940&amp;col=6&amp;number=4.6&amp;sourceID=14","4.6")</f>
        <v>4.6</v>
      </c>
      <c r="G1940" s="4" t="str">
        <f>HYPERLINK("http://141.218.60.56/~jnz1568/getInfo.php?workbook=18_08.xlsx&amp;sheet=U0&amp;row=1940&amp;col=7&amp;number=0.00356&amp;sourceID=14","0.00356")</f>
        <v>0.00356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HYPERLINK("http://141.218.60.56/~jnz1568/getInfo.php?workbook=18_08.xlsx&amp;sheet=U0&amp;row=1941&amp;col=6&amp;number=4.7&amp;sourceID=14","4.7")</f>
        <v>4.7</v>
      </c>
      <c r="G1941" s="4" t="str">
        <f>HYPERLINK("http://141.218.60.56/~jnz1568/getInfo.php?workbook=18_08.xlsx&amp;sheet=U0&amp;row=1941&amp;col=7&amp;number=0.00358&amp;sourceID=14","0.00358")</f>
        <v>0.00358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HYPERLINK("http://141.218.60.56/~jnz1568/getInfo.php?workbook=18_08.xlsx&amp;sheet=U0&amp;row=1942&amp;col=6&amp;number=4.8&amp;sourceID=14","4.8")</f>
        <v>4.8</v>
      </c>
      <c r="G1942" s="4" t="str">
        <f>HYPERLINK("http://141.218.60.56/~jnz1568/getInfo.php?workbook=18_08.xlsx&amp;sheet=U0&amp;row=1942&amp;col=7&amp;number=0.0036&amp;sourceID=14","0.0036")</f>
        <v>0.0036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HYPERLINK("http://141.218.60.56/~jnz1568/getInfo.php?workbook=18_08.xlsx&amp;sheet=U0&amp;row=1943&amp;col=6&amp;number=4.9&amp;sourceID=14","4.9")</f>
        <v>4.9</v>
      </c>
      <c r="G1943" s="4" t="str">
        <f>HYPERLINK("http://141.218.60.56/~jnz1568/getInfo.php?workbook=18_08.xlsx&amp;sheet=U0&amp;row=1943&amp;col=7&amp;number=0.00363&amp;sourceID=14","0.00363")</f>
        <v>0.00363</v>
      </c>
    </row>
    <row r="1944" spans="1:7">
      <c r="A1944" s="3">
        <v>18</v>
      </c>
      <c r="B1944" s="3">
        <v>8</v>
      </c>
      <c r="C1944" s="3" t="s">
        <v>54</v>
      </c>
      <c r="D1944" s="3">
        <v>5</v>
      </c>
      <c r="E1944" s="3">
        <v>1</v>
      </c>
      <c r="F1944" s="4" t="str">
        <f>HYPERLINK("http://141.218.60.56/~jnz1568/getInfo.php?workbook=18_08.xlsx&amp;sheet=U0&amp;row=1944&amp;col=6&amp;number=3&amp;sourceID=14","3")</f>
        <v>3</v>
      </c>
      <c r="G1944" s="4" t="str">
        <f>HYPERLINK("http://141.218.60.56/~jnz1568/getInfo.php?workbook=18_08.xlsx&amp;sheet=U0&amp;row=1944&amp;col=7&amp;number=0.00146&amp;sourceID=14","0.00146")</f>
        <v>0.00146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HYPERLINK("http://141.218.60.56/~jnz1568/getInfo.php?workbook=18_08.xlsx&amp;sheet=U0&amp;row=1945&amp;col=6&amp;number=3.1&amp;sourceID=14","3.1")</f>
        <v>3.1</v>
      </c>
      <c r="G1945" s="4" t="str">
        <f>HYPERLINK("http://141.218.60.56/~jnz1568/getInfo.php?workbook=18_08.xlsx&amp;sheet=U0&amp;row=1945&amp;col=7&amp;number=0.00146&amp;sourceID=14","0.00146")</f>
        <v>0.00146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HYPERLINK("http://141.218.60.56/~jnz1568/getInfo.php?workbook=18_08.xlsx&amp;sheet=U0&amp;row=1946&amp;col=6&amp;number=3.2&amp;sourceID=14","3.2")</f>
        <v>3.2</v>
      </c>
      <c r="G1946" s="4" t="str">
        <f>HYPERLINK("http://141.218.60.56/~jnz1568/getInfo.php?workbook=18_08.xlsx&amp;sheet=U0&amp;row=1946&amp;col=7&amp;number=0.00146&amp;sourceID=14","0.00146")</f>
        <v>0.00146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HYPERLINK("http://141.218.60.56/~jnz1568/getInfo.php?workbook=18_08.xlsx&amp;sheet=U0&amp;row=1947&amp;col=6&amp;number=3.3&amp;sourceID=14","3.3")</f>
        <v>3.3</v>
      </c>
      <c r="G1947" s="4" t="str">
        <f>HYPERLINK("http://141.218.60.56/~jnz1568/getInfo.php?workbook=18_08.xlsx&amp;sheet=U0&amp;row=1947&amp;col=7&amp;number=0.00146&amp;sourceID=14","0.00146")</f>
        <v>0.00146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HYPERLINK("http://141.218.60.56/~jnz1568/getInfo.php?workbook=18_08.xlsx&amp;sheet=U0&amp;row=1948&amp;col=6&amp;number=3.4&amp;sourceID=14","3.4")</f>
        <v>3.4</v>
      </c>
      <c r="G1948" s="4" t="str">
        <f>HYPERLINK("http://141.218.60.56/~jnz1568/getInfo.php?workbook=18_08.xlsx&amp;sheet=U0&amp;row=1948&amp;col=7&amp;number=0.00146&amp;sourceID=14","0.00146")</f>
        <v>0.00146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HYPERLINK("http://141.218.60.56/~jnz1568/getInfo.php?workbook=18_08.xlsx&amp;sheet=U0&amp;row=1949&amp;col=6&amp;number=3.5&amp;sourceID=14","3.5")</f>
        <v>3.5</v>
      </c>
      <c r="G1949" s="4" t="str">
        <f>HYPERLINK("http://141.218.60.56/~jnz1568/getInfo.php?workbook=18_08.xlsx&amp;sheet=U0&amp;row=1949&amp;col=7&amp;number=0.00146&amp;sourceID=14","0.00146")</f>
        <v>0.00146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HYPERLINK("http://141.218.60.56/~jnz1568/getInfo.php?workbook=18_08.xlsx&amp;sheet=U0&amp;row=1950&amp;col=6&amp;number=3.6&amp;sourceID=14","3.6")</f>
        <v>3.6</v>
      </c>
      <c r="G1950" s="4" t="str">
        <f>HYPERLINK("http://141.218.60.56/~jnz1568/getInfo.php?workbook=18_08.xlsx&amp;sheet=U0&amp;row=1950&amp;col=7&amp;number=0.00146&amp;sourceID=14","0.00146")</f>
        <v>0.00146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HYPERLINK("http://141.218.60.56/~jnz1568/getInfo.php?workbook=18_08.xlsx&amp;sheet=U0&amp;row=1951&amp;col=6&amp;number=3.7&amp;sourceID=14","3.7")</f>
        <v>3.7</v>
      </c>
      <c r="G1951" s="4" t="str">
        <f>HYPERLINK("http://141.218.60.56/~jnz1568/getInfo.php?workbook=18_08.xlsx&amp;sheet=U0&amp;row=1951&amp;col=7&amp;number=0.00146&amp;sourceID=14","0.00146")</f>
        <v>0.00146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HYPERLINK("http://141.218.60.56/~jnz1568/getInfo.php?workbook=18_08.xlsx&amp;sheet=U0&amp;row=1952&amp;col=6&amp;number=3.8&amp;sourceID=14","3.8")</f>
        <v>3.8</v>
      </c>
      <c r="G1952" s="4" t="str">
        <f>HYPERLINK("http://141.218.60.56/~jnz1568/getInfo.php?workbook=18_08.xlsx&amp;sheet=U0&amp;row=1952&amp;col=7&amp;number=0.00146&amp;sourceID=14","0.00146")</f>
        <v>0.00146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HYPERLINK("http://141.218.60.56/~jnz1568/getInfo.php?workbook=18_08.xlsx&amp;sheet=U0&amp;row=1953&amp;col=6&amp;number=3.9&amp;sourceID=14","3.9")</f>
        <v>3.9</v>
      </c>
      <c r="G1953" s="4" t="str">
        <f>HYPERLINK("http://141.218.60.56/~jnz1568/getInfo.php?workbook=18_08.xlsx&amp;sheet=U0&amp;row=1953&amp;col=7&amp;number=0.00146&amp;sourceID=14","0.00146")</f>
        <v>0.00146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HYPERLINK("http://141.218.60.56/~jnz1568/getInfo.php?workbook=18_08.xlsx&amp;sheet=U0&amp;row=1954&amp;col=6&amp;number=4&amp;sourceID=14","4")</f>
        <v>4</v>
      </c>
      <c r="G1954" s="4" t="str">
        <f>HYPERLINK("http://141.218.60.56/~jnz1568/getInfo.php?workbook=18_08.xlsx&amp;sheet=U0&amp;row=1954&amp;col=7&amp;number=0.00146&amp;sourceID=14","0.00146")</f>
        <v>0.00146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HYPERLINK("http://141.218.60.56/~jnz1568/getInfo.php?workbook=18_08.xlsx&amp;sheet=U0&amp;row=1955&amp;col=6&amp;number=4.1&amp;sourceID=14","4.1")</f>
        <v>4.1</v>
      </c>
      <c r="G1955" s="4" t="str">
        <f>HYPERLINK("http://141.218.60.56/~jnz1568/getInfo.php?workbook=18_08.xlsx&amp;sheet=U0&amp;row=1955&amp;col=7&amp;number=0.00146&amp;sourceID=14","0.00146")</f>
        <v>0.00146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HYPERLINK("http://141.218.60.56/~jnz1568/getInfo.php?workbook=18_08.xlsx&amp;sheet=U0&amp;row=1956&amp;col=6&amp;number=4.2&amp;sourceID=14","4.2")</f>
        <v>4.2</v>
      </c>
      <c r="G1956" s="4" t="str">
        <f>HYPERLINK("http://141.218.60.56/~jnz1568/getInfo.php?workbook=18_08.xlsx&amp;sheet=U0&amp;row=1956&amp;col=7&amp;number=0.00146&amp;sourceID=14","0.00146")</f>
        <v>0.00146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HYPERLINK("http://141.218.60.56/~jnz1568/getInfo.php?workbook=18_08.xlsx&amp;sheet=U0&amp;row=1957&amp;col=6&amp;number=4.3&amp;sourceID=14","4.3")</f>
        <v>4.3</v>
      </c>
      <c r="G1957" s="4" t="str">
        <f>HYPERLINK("http://141.218.60.56/~jnz1568/getInfo.php?workbook=18_08.xlsx&amp;sheet=U0&amp;row=1957&amp;col=7&amp;number=0.00146&amp;sourceID=14","0.00146")</f>
        <v>0.00146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HYPERLINK("http://141.218.60.56/~jnz1568/getInfo.php?workbook=18_08.xlsx&amp;sheet=U0&amp;row=1958&amp;col=6&amp;number=4.4&amp;sourceID=14","4.4")</f>
        <v>4.4</v>
      </c>
      <c r="G1958" s="4" t="str">
        <f>HYPERLINK("http://141.218.60.56/~jnz1568/getInfo.php?workbook=18_08.xlsx&amp;sheet=U0&amp;row=1958&amp;col=7&amp;number=0.00145&amp;sourceID=14","0.00145")</f>
        <v>0.00145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HYPERLINK("http://141.218.60.56/~jnz1568/getInfo.php?workbook=18_08.xlsx&amp;sheet=U0&amp;row=1959&amp;col=6&amp;number=4.5&amp;sourceID=14","4.5")</f>
        <v>4.5</v>
      </c>
      <c r="G1959" s="4" t="str">
        <f>HYPERLINK("http://141.218.60.56/~jnz1568/getInfo.php?workbook=18_08.xlsx&amp;sheet=U0&amp;row=1959&amp;col=7&amp;number=0.00145&amp;sourceID=14","0.00145")</f>
        <v>0.00145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HYPERLINK("http://141.218.60.56/~jnz1568/getInfo.php?workbook=18_08.xlsx&amp;sheet=U0&amp;row=1960&amp;col=6&amp;number=4.6&amp;sourceID=14","4.6")</f>
        <v>4.6</v>
      </c>
      <c r="G1960" s="4" t="str">
        <f>HYPERLINK("http://141.218.60.56/~jnz1568/getInfo.php?workbook=18_08.xlsx&amp;sheet=U0&amp;row=1960&amp;col=7&amp;number=0.00145&amp;sourceID=14","0.00145")</f>
        <v>0.00145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HYPERLINK("http://141.218.60.56/~jnz1568/getInfo.php?workbook=18_08.xlsx&amp;sheet=U0&amp;row=1961&amp;col=6&amp;number=4.7&amp;sourceID=14","4.7")</f>
        <v>4.7</v>
      </c>
      <c r="G1961" s="4" t="str">
        <f>HYPERLINK("http://141.218.60.56/~jnz1568/getInfo.php?workbook=18_08.xlsx&amp;sheet=U0&amp;row=1961&amp;col=7&amp;number=0.00145&amp;sourceID=14","0.00145")</f>
        <v>0.00145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HYPERLINK("http://141.218.60.56/~jnz1568/getInfo.php?workbook=18_08.xlsx&amp;sheet=U0&amp;row=1962&amp;col=6&amp;number=4.8&amp;sourceID=14","4.8")</f>
        <v>4.8</v>
      </c>
      <c r="G1962" s="4" t="str">
        <f>HYPERLINK("http://141.218.60.56/~jnz1568/getInfo.php?workbook=18_08.xlsx&amp;sheet=U0&amp;row=1962&amp;col=7&amp;number=0.00144&amp;sourceID=14","0.00144")</f>
        <v>0.00144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HYPERLINK("http://141.218.60.56/~jnz1568/getInfo.php?workbook=18_08.xlsx&amp;sheet=U0&amp;row=1963&amp;col=6&amp;number=4.9&amp;sourceID=14","4.9")</f>
        <v>4.9</v>
      </c>
      <c r="G1963" s="4" t="str">
        <f>HYPERLINK("http://141.218.60.56/~jnz1568/getInfo.php?workbook=18_08.xlsx&amp;sheet=U0&amp;row=1963&amp;col=7&amp;number=0.00144&amp;sourceID=14","0.00144")</f>
        <v>0.00144</v>
      </c>
    </row>
    <row r="1964" spans="1:7">
      <c r="A1964" s="3">
        <v>18</v>
      </c>
      <c r="B1964" s="3">
        <v>8</v>
      </c>
      <c r="C1964" s="3" t="s">
        <v>54</v>
      </c>
      <c r="D1964" s="3">
        <v>6</v>
      </c>
      <c r="E1964" s="3">
        <v>1</v>
      </c>
      <c r="F1964" s="4" t="str">
        <f>HYPERLINK("http://141.218.60.56/~jnz1568/getInfo.php?workbook=18_08.xlsx&amp;sheet=U0&amp;row=1964&amp;col=6&amp;number=3&amp;sourceID=14","3")</f>
        <v>3</v>
      </c>
      <c r="G1964" s="4" t="str">
        <f>HYPERLINK("http://141.218.60.56/~jnz1568/getInfo.php?workbook=18_08.xlsx&amp;sheet=U0&amp;row=1964&amp;col=7&amp;number=0.00173&amp;sourceID=14","0.00173")</f>
        <v>0.00173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HYPERLINK("http://141.218.60.56/~jnz1568/getInfo.php?workbook=18_08.xlsx&amp;sheet=U0&amp;row=1965&amp;col=6&amp;number=3.1&amp;sourceID=14","3.1")</f>
        <v>3.1</v>
      </c>
      <c r="G1965" s="4" t="str">
        <f>HYPERLINK("http://141.218.60.56/~jnz1568/getInfo.php?workbook=18_08.xlsx&amp;sheet=U0&amp;row=1965&amp;col=7&amp;number=0.00173&amp;sourceID=14","0.00173")</f>
        <v>0.00173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HYPERLINK("http://141.218.60.56/~jnz1568/getInfo.php?workbook=18_08.xlsx&amp;sheet=U0&amp;row=1966&amp;col=6&amp;number=3.2&amp;sourceID=14","3.2")</f>
        <v>3.2</v>
      </c>
      <c r="G1966" s="4" t="str">
        <f>HYPERLINK("http://141.218.60.56/~jnz1568/getInfo.php?workbook=18_08.xlsx&amp;sheet=U0&amp;row=1966&amp;col=7&amp;number=0.00173&amp;sourceID=14","0.00173")</f>
        <v>0.00173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HYPERLINK("http://141.218.60.56/~jnz1568/getInfo.php?workbook=18_08.xlsx&amp;sheet=U0&amp;row=1967&amp;col=6&amp;number=3.3&amp;sourceID=14","3.3")</f>
        <v>3.3</v>
      </c>
      <c r="G1967" s="4" t="str">
        <f>HYPERLINK("http://141.218.60.56/~jnz1568/getInfo.php?workbook=18_08.xlsx&amp;sheet=U0&amp;row=1967&amp;col=7&amp;number=0.00173&amp;sourceID=14","0.00173")</f>
        <v>0.00173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HYPERLINK("http://141.218.60.56/~jnz1568/getInfo.php?workbook=18_08.xlsx&amp;sheet=U0&amp;row=1968&amp;col=6&amp;number=3.4&amp;sourceID=14","3.4")</f>
        <v>3.4</v>
      </c>
      <c r="G1968" s="4" t="str">
        <f>HYPERLINK("http://141.218.60.56/~jnz1568/getInfo.php?workbook=18_08.xlsx&amp;sheet=U0&amp;row=1968&amp;col=7&amp;number=0.00173&amp;sourceID=14","0.00173")</f>
        <v>0.00173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HYPERLINK("http://141.218.60.56/~jnz1568/getInfo.php?workbook=18_08.xlsx&amp;sheet=U0&amp;row=1969&amp;col=6&amp;number=3.5&amp;sourceID=14","3.5")</f>
        <v>3.5</v>
      </c>
      <c r="G1969" s="4" t="str">
        <f>HYPERLINK("http://141.218.60.56/~jnz1568/getInfo.php?workbook=18_08.xlsx&amp;sheet=U0&amp;row=1969&amp;col=7&amp;number=0.00173&amp;sourceID=14","0.00173")</f>
        <v>0.00173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HYPERLINK("http://141.218.60.56/~jnz1568/getInfo.php?workbook=18_08.xlsx&amp;sheet=U0&amp;row=1970&amp;col=6&amp;number=3.6&amp;sourceID=14","3.6")</f>
        <v>3.6</v>
      </c>
      <c r="G1970" s="4" t="str">
        <f>HYPERLINK("http://141.218.60.56/~jnz1568/getInfo.php?workbook=18_08.xlsx&amp;sheet=U0&amp;row=1970&amp;col=7&amp;number=0.00173&amp;sourceID=14","0.00173")</f>
        <v>0.00173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HYPERLINK("http://141.218.60.56/~jnz1568/getInfo.php?workbook=18_08.xlsx&amp;sheet=U0&amp;row=1971&amp;col=6&amp;number=3.7&amp;sourceID=14","3.7")</f>
        <v>3.7</v>
      </c>
      <c r="G1971" s="4" t="str">
        <f>HYPERLINK("http://141.218.60.56/~jnz1568/getInfo.php?workbook=18_08.xlsx&amp;sheet=U0&amp;row=1971&amp;col=7&amp;number=0.00173&amp;sourceID=14","0.00173")</f>
        <v>0.00173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HYPERLINK("http://141.218.60.56/~jnz1568/getInfo.php?workbook=18_08.xlsx&amp;sheet=U0&amp;row=1972&amp;col=6&amp;number=3.8&amp;sourceID=14","3.8")</f>
        <v>3.8</v>
      </c>
      <c r="G1972" s="4" t="str">
        <f>HYPERLINK("http://141.218.60.56/~jnz1568/getInfo.php?workbook=18_08.xlsx&amp;sheet=U0&amp;row=1972&amp;col=7&amp;number=0.00173&amp;sourceID=14","0.00173")</f>
        <v>0.00173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HYPERLINK("http://141.218.60.56/~jnz1568/getInfo.php?workbook=18_08.xlsx&amp;sheet=U0&amp;row=1973&amp;col=6&amp;number=3.9&amp;sourceID=14","3.9")</f>
        <v>3.9</v>
      </c>
      <c r="G1973" s="4" t="str">
        <f>HYPERLINK("http://141.218.60.56/~jnz1568/getInfo.php?workbook=18_08.xlsx&amp;sheet=U0&amp;row=1973&amp;col=7&amp;number=0.00173&amp;sourceID=14","0.00173")</f>
        <v>0.00173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HYPERLINK("http://141.218.60.56/~jnz1568/getInfo.php?workbook=18_08.xlsx&amp;sheet=U0&amp;row=1974&amp;col=6&amp;number=4&amp;sourceID=14","4")</f>
        <v>4</v>
      </c>
      <c r="G1974" s="4" t="str">
        <f>HYPERLINK("http://141.218.60.56/~jnz1568/getInfo.php?workbook=18_08.xlsx&amp;sheet=U0&amp;row=1974&amp;col=7&amp;number=0.00173&amp;sourceID=14","0.00173")</f>
        <v>0.00173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HYPERLINK("http://141.218.60.56/~jnz1568/getInfo.php?workbook=18_08.xlsx&amp;sheet=U0&amp;row=1975&amp;col=6&amp;number=4.1&amp;sourceID=14","4.1")</f>
        <v>4.1</v>
      </c>
      <c r="G1975" s="4" t="str">
        <f>HYPERLINK("http://141.218.60.56/~jnz1568/getInfo.php?workbook=18_08.xlsx&amp;sheet=U0&amp;row=1975&amp;col=7&amp;number=0.00173&amp;sourceID=14","0.00173")</f>
        <v>0.00173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HYPERLINK("http://141.218.60.56/~jnz1568/getInfo.php?workbook=18_08.xlsx&amp;sheet=U0&amp;row=1976&amp;col=6&amp;number=4.2&amp;sourceID=14","4.2")</f>
        <v>4.2</v>
      </c>
      <c r="G1976" s="4" t="str">
        <f>HYPERLINK("http://141.218.60.56/~jnz1568/getInfo.php?workbook=18_08.xlsx&amp;sheet=U0&amp;row=1976&amp;col=7&amp;number=0.00173&amp;sourceID=14","0.00173")</f>
        <v>0.00173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HYPERLINK("http://141.218.60.56/~jnz1568/getInfo.php?workbook=18_08.xlsx&amp;sheet=U0&amp;row=1977&amp;col=6&amp;number=4.3&amp;sourceID=14","4.3")</f>
        <v>4.3</v>
      </c>
      <c r="G1977" s="4" t="str">
        <f>HYPERLINK("http://141.218.60.56/~jnz1568/getInfo.php?workbook=18_08.xlsx&amp;sheet=U0&amp;row=1977&amp;col=7&amp;number=0.00173&amp;sourceID=14","0.00173")</f>
        <v>0.00173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HYPERLINK("http://141.218.60.56/~jnz1568/getInfo.php?workbook=18_08.xlsx&amp;sheet=U0&amp;row=1978&amp;col=6&amp;number=4.4&amp;sourceID=14","4.4")</f>
        <v>4.4</v>
      </c>
      <c r="G1978" s="4" t="str">
        <f>HYPERLINK("http://141.218.60.56/~jnz1568/getInfo.php?workbook=18_08.xlsx&amp;sheet=U0&amp;row=1978&amp;col=7&amp;number=0.00173&amp;sourceID=14","0.00173")</f>
        <v>0.00173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HYPERLINK("http://141.218.60.56/~jnz1568/getInfo.php?workbook=18_08.xlsx&amp;sheet=U0&amp;row=1979&amp;col=6&amp;number=4.5&amp;sourceID=14","4.5")</f>
        <v>4.5</v>
      </c>
      <c r="G1979" s="4" t="str">
        <f>HYPERLINK("http://141.218.60.56/~jnz1568/getInfo.php?workbook=18_08.xlsx&amp;sheet=U0&amp;row=1979&amp;col=7&amp;number=0.00173&amp;sourceID=14","0.00173")</f>
        <v>0.00173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HYPERLINK("http://141.218.60.56/~jnz1568/getInfo.php?workbook=18_08.xlsx&amp;sheet=U0&amp;row=1980&amp;col=6&amp;number=4.6&amp;sourceID=14","4.6")</f>
        <v>4.6</v>
      </c>
      <c r="G1980" s="4" t="str">
        <f>HYPERLINK("http://141.218.60.56/~jnz1568/getInfo.php?workbook=18_08.xlsx&amp;sheet=U0&amp;row=1980&amp;col=7&amp;number=0.00172&amp;sourceID=14","0.00172")</f>
        <v>0.00172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HYPERLINK("http://141.218.60.56/~jnz1568/getInfo.php?workbook=18_08.xlsx&amp;sheet=U0&amp;row=1981&amp;col=6&amp;number=4.7&amp;sourceID=14","4.7")</f>
        <v>4.7</v>
      </c>
      <c r="G1981" s="4" t="str">
        <f>HYPERLINK("http://141.218.60.56/~jnz1568/getInfo.php?workbook=18_08.xlsx&amp;sheet=U0&amp;row=1981&amp;col=7&amp;number=0.00172&amp;sourceID=14","0.00172")</f>
        <v>0.00172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HYPERLINK("http://141.218.60.56/~jnz1568/getInfo.php?workbook=18_08.xlsx&amp;sheet=U0&amp;row=1982&amp;col=6&amp;number=4.8&amp;sourceID=14","4.8")</f>
        <v>4.8</v>
      </c>
      <c r="G1982" s="4" t="str">
        <f>HYPERLINK("http://141.218.60.56/~jnz1568/getInfo.php?workbook=18_08.xlsx&amp;sheet=U0&amp;row=1982&amp;col=7&amp;number=0.00172&amp;sourceID=14","0.00172")</f>
        <v>0.00172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HYPERLINK("http://141.218.60.56/~jnz1568/getInfo.php?workbook=18_08.xlsx&amp;sheet=U0&amp;row=1983&amp;col=6&amp;number=4.9&amp;sourceID=14","4.9")</f>
        <v>4.9</v>
      </c>
      <c r="G1983" s="4" t="str">
        <f>HYPERLINK("http://141.218.60.56/~jnz1568/getInfo.php?workbook=18_08.xlsx&amp;sheet=U0&amp;row=1983&amp;col=7&amp;number=0.00172&amp;sourceID=14","0.00172")</f>
        <v>0.00172</v>
      </c>
    </row>
    <row r="1984" spans="1:7">
      <c r="A1984" s="3">
        <v>18</v>
      </c>
      <c r="B1984" s="3">
        <v>8</v>
      </c>
      <c r="C1984" s="3" t="s">
        <v>54</v>
      </c>
      <c r="D1984" s="3">
        <v>7</v>
      </c>
      <c r="E1984" s="3">
        <v>1</v>
      </c>
      <c r="F1984" s="4" t="str">
        <f>HYPERLINK("http://141.218.60.56/~jnz1568/getInfo.php?workbook=18_08.xlsx&amp;sheet=U0&amp;row=1984&amp;col=6&amp;number=3&amp;sourceID=14","3")</f>
        <v>3</v>
      </c>
      <c r="G1984" s="4" t="str">
        <f>HYPERLINK("http://141.218.60.56/~jnz1568/getInfo.php?workbook=18_08.xlsx&amp;sheet=U0&amp;row=1984&amp;col=7&amp;number=0.00488&amp;sourceID=14","0.00488")</f>
        <v>0.00488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HYPERLINK("http://141.218.60.56/~jnz1568/getInfo.php?workbook=18_08.xlsx&amp;sheet=U0&amp;row=1985&amp;col=6&amp;number=3.1&amp;sourceID=14","3.1")</f>
        <v>3.1</v>
      </c>
      <c r="G1985" s="4" t="str">
        <f>HYPERLINK("http://141.218.60.56/~jnz1568/getInfo.php?workbook=18_08.xlsx&amp;sheet=U0&amp;row=1985&amp;col=7&amp;number=0.00487&amp;sourceID=14","0.00487")</f>
        <v>0.00487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HYPERLINK("http://141.218.60.56/~jnz1568/getInfo.php?workbook=18_08.xlsx&amp;sheet=U0&amp;row=1986&amp;col=6&amp;number=3.2&amp;sourceID=14","3.2")</f>
        <v>3.2</v>
      </c>
      <c r="G1986" s="4" t="str">
        <f>HYPERLINK("http://141.218.60.56/~jnz1568/getInfo.php?workbook=18_08.xlsx&amp;sheet=U0&amp;row=1986&amp;col=7&amp;number=0.00487&amp;sourceID=14","0.00487")</f>
        <v>0.00487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HYPERLINK("http://141.218.60.56/~jnz1568/getInfo.php?workbook=18_08.xlsx&amp;sheet=U0&amp;row=1987&amp;col=6&amp;number=3.3&amp;sourceID=14","3.3")</f>
        <v>3.3</v>
      </c>
      <c r="G1987" s="4" t="str">
        <f>HYPERLINK("http://141.218.60.56/~jnz1568/getInfo.php?workbook=18_08.xlsx&amp;sheet=U0&amp;row=1987&amp;col=7&amp;number=0.00487&amp;sourceID=14","0.00487")</f>
        <v>0.00487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HYPERLINK("http://141.218.60.56/~jnz1568/getInfo.php?workbook=18_08.xlsx&amp;sheet=U0&amp;row=1988&amp;col=6&amp;number=3.4&amp;sourceID=14","3.4")</f>
        <v>3.4</v>
      </c>
      <c r="G1988" s="4" t="str">
        <f>HYPERLINK("http://141.218.60.56/~jnz1568/getInfo.php?workbook=18_08.xlsx&amp;sheet=U0&amp;row=1988&amp;col=7&amp;number=0.00487&amp;sourceID=14","0.00487")</f>
        <v>0.00487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HYPERLINK("http://141.218.60.56/~jnz1568/getInfo.php?workbook=18_08.xlsx&amp;sheet=U0&amp;row=1989&amp;col=6&amp;number=3.5&amp;sourceID=14","3.5")</f>
        <v>3.5</v>
      </c>
      <c r="G1989" s="4" t="str">
        <f>HYPERLINK("http://141.218.60.56/~jnz1568/getInfo.php?workbook=18_08.xlsx&amp;sheet=U0&amp;row=1989&amp;col=7&amp;number=0.00487&amp;sourceID=14","0.00487")</f>
        <v>0.00487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HYPERLINK("http://141.218.60.56/~jnz1568/getInfo.php?workbook=18_08.xlsx&amp;sheet=U0&amp;row=1990&amp;col=6&amp;number=3.6&amp;sourceID=14","3.6")</f>
        <v>3.6</v>
      </c>
      <c r="G1990" s="4" t="str">
        <f>HYPERLINK("http://141.218.60.56/~jnz1568/getInfo.php?workbook=18_08.xlsx&amp;sheet=U0&amp;row=1990&amp;col=7&amp;number=0.00487&amp;sourceID=14","0.00487")</f>
        <v>0.00487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HYPERLINK("http://141.218.60.56/~jnz1568/getInfo.php?workbook=18_08.xlsx&amp;sheet=U0&amp;row=1991&amp;col=6&amp;number=3.7&amp;sourceID=14","3.7")</f>
        <v>3.7</v>
      </c>
      <c r="G1991" s="4" t="str">
        <f>HYPERLINK("http://141.218.60.56/~jnz1568/getInfo.php?workbook=18_08.xlsx&amp;sheet=U0&amp;row=1991&amp;col=7&amp;number=0.00487&amp;sourceID=14","0.00487")</f>
        <v>0.00487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HYPERLINK("http://141.218.60.56/~jnz1568/getInfo.php?workbook=18_08.xlsx&amp;sheet=U0&amp;row=1992&amp;col=6&amp;number=3.8&amp;sourceID=14","3.8")</f>
        <v>3.8</v>
      </c>
      <c r="G1992" s="4" t="str">
        <f>HYPERLINK("http://141.218.60.56/~jnz1568/getInfo.php?workbook=18_08.xlsx&amp;sheet=U0&amp;row=1992&amp;col=7&amp;number=0.00487&amp;sourceID=14","0.00487")</f>
        <v>0.00487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HYPERLINK("http://141.218.60.56/~jnz1568/getInfo.php?workbook=18_08.xlsx&amp;sheet=U0&amp;row=1993&amp;col=6&amp;number=3.9&amp;sourceID=14","3.9")</f>
        <v>3.9</v>
      </c>
      <c r="G1993" s="4" t="str">
        <f>HYPERLINK("http://141.218.60.56/~jnz1568/getInfo.php?workbook=18_08.xlsx&amp;sheet=U0&amp;row=1993&amp;col=7&amp;number=0.00487&amp;sourceID=14","0.00487")</f>
        <v>0.00487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HYPERLINK("http://141.218.60.56/~jnz1568/getInfo.php?workbook=18_08.xlsx&amp;sheet=U0&amp;row=1994&amp;col=6&amp;number=4&amp;sourceID=14","4")</f>
        <v>4</v>
      </c>
      <c r="G1994" s="4" t="str">
        <f>HYPERLINK("http://141.218.60.56/~jnz1568/getInfo.php?workbook=18_08.xlsx&amp;sheet=U0&amp;row=1994&amp;col=7&amp;number=0.00487&amp;sourceID=14","0.00487")</f>
        <v>0.00487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HYPERLINK("http://141.218.60.56/~jnz1568/getInfo.php?workbook=18_08.xlsx&amp;sheet=U0&amp;row=1995&amp;col=6&amp;number=4.1&amp;sourceID=14","4.1")</f>
        <v>4.1</v>
      </c>
      <c r="G1995" s="4" t="str">
        <f>HYPERLINK("http://141.218.60.56/~jnz1568/getInfo.php?workbook=18_08.xlsx&amp;sheet=U0&amp;row=1995&amp;col=7&amp;number=0.00487&amp;sourceID=14","0.00487")</f>
        <v>0.00487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HYPERLINK("http://141.218.60.56/~jnz1568/getInfo.php?workbook=18_08.xlsx&amp;sheet=U0&amp;row=1996&amp;col=6&amp;number=4.2&amp;sourceID=14","4.2")</f>
        <v>4.2</v>
      </c>
      <c r="G1996" s="4" t="str">
        <f>HYPERLINK("http://141.218.60.56/~jnz1568/getInfo.php?workbook=18_08.xlsx&amp;sheet=U0&amp;row=1996&amp;col=7&amp;number=0.00486&amp;sourceID=14","0.00486")</f>
        <v>0.00486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HYPERLINK("http://141.218.60.56/~jnz1568/getInfo.php?workbook=18_08.xlsx&amp;sheet=U0&amp;row=1997&amp;col=6&amp;number=4.3&amp;sourceID=14","4.3")</f>
        <v>4.3</v>
      </c>
      <c r="G1997" s="4" t="str">
        <f>HYPERLINK("http://141.218.60.56/~jnz1568/getInfo.php?workbook=18_08.xlsx&amp;sheet=U0&amp;row=1997&amp;col=7&amp;number=0.00486&amp;sourceID=14","0.00486")</f>
        <v>0.00486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HYPERLINK("http://141.218.60.56/~jnz1568/getInfo.php?workbook=18_08.xlsx&amp;sheet=U0&amp;row=1998&amp;col=6&amp;number=4.4&amp;sourceID=14","4.4")</f>
        <v>4.4</v>
      </c>
      <c r="G1998" s="4" t="str">
        <f>HYPERLINK("http://141.218.60.56/~jnz1568/getInfo.php?workbook=18_08.xlsx&amp;sheet=U0&amp;row=1998&amp;col=7&amp;number=0.00485&amp;sourceID=14","0.00485")</f>
        <v>0.00485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HYPERLINK("http://141.218.60.56/~jnz1568/getInfo.php?workbook=18_08.xlsx&amp;sheet=U0&amp;row=1999&amp;col=6&amp;number=4.5&amp;sourceID=14","4.5")</f>
        <v>4.5</v>
      </c>
      <c r="G1999" s="4" t="str">
        <f>HYPERLINK("http://141.218.60.56/~jnz1568/getInfo.php?workbook=18_08.xlsx&amp;sheet=U0&amp;row=1999&amp;col=7&amp;number=0.00485&amp;sourceID=14","0.00485")</f>
        <v>0.00485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HYPERLINK("http://141.218.60.56/~jnz1568/getInfo.php?workbook=18_08.xlsx&amp;sheet=U0&amp;row=2000&amp;col=6&amp;number=4.6&amp;sourceID=14","4.6")</f>
        <v>4.6</v>
      </c>
      <c r="G2000" s="4" t="str">
        <f>HYPERLINK("http://141.218.60.56/~jnz1568/getInfo.php?workbook=18_08.xlsx&amp;sheet=U0&amp;row=2000&amp;col=7&amp;number=0.00484&amp;sourceID=14","0.00484")</f>
        <v>0.00484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HYPERLINK("http://141.218.60.56/~jnz1568/getInfo.php?workbook=18_08.xlsx&amp;sheet=U0&amp;row=2001&amp;col=6&amp;number=4.7&amp;sourceID=14","4.7")</f>
        <v>4.7</v>
      </c>
      <c r="G2001" s="4" t="str">
        <f>HYPERLINK("http://141.218.60.56/~jnz1568/getInfo.php?workbook=18_08.xlsx&amp;sheet=U0&amp;row=2001&amp;col=7&amp;number=0.00483&amp;sourceID=14","0.00483")</f>
        <v>0.00483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HYPERLINK("http://141.218.60.56/~jnz1568/getInfo.php?workbook=18_08.xlsx&amp;sheet=U0&amp;row=2002&amp;col=6&amp;number=4.8&amp;sourceID=14","4.8")</f>
        <v>4.8</v>
      </c>
      <c r="G2002" s="4" t="str">
        <f>HYPERLINK("http://141.218.60.56/~jnz1568/getInfo.php?workbook=18_08.xlsx&amp;sheet=U0&amp;row=2002&amp;col=7&amp;number=0.00482&amp;sourceID=14","0.00482")</f>
        <v>0.00482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HYPERLINK("http://141.218.60.56/~jnz1568/getInfo.php?workbook=18_08.xlsx&amp;sheet=U0&amp;row=2003&amp;col=6&amp;number=4.9&amp;sourceID=14","4.9")</f>
        <v>4.9</v>
      </c>
      <c r="G2003" s="4" t="str">
        <f>HYPERLINK("http://141.218.60.56/~jnz1568/getInfo.php?workbook=18_08.xlsx&amp;sheet=U0&amp;row=2003&amp;col=7&amp;number=0.00481&amp;sourceID=14","0.00481")</f>
        <v>0.00481</v>
      </c>
    </row>
    <row r="2004" spans="1:7">
      <c r="A2004" s="3">
        <v>18</v>
      </c>
      <c r="B2004" s="3">
        <v>8</v>
      </c>
      <c r="C2004" s="3" t="s">
        <v>54</v>
      </c>
      <c r="D2004" s="3">
        <v>8</v>
      </c>
      <c r="E2004" s="3">
        <v>1</v>
      </c>
      <c r="F2004" s="4" t="str">
        <f>HYPERLINK("http://141.218.60.56/~jnz1568/getInfo.php?workbook=18_08.xlsx&amp;sheet=U0&amp;row=2004&amp;col=6&amp;number=3&amp;sourceID=14","3")</f>
        <v>3</v>
      </c>
      <c r="G2004" s="4" t="str">
        <f>HYPERLINK("http://141.218.60.56/~jnz1568/getInfo.php?workbook=18_08.xlsx&amp;sheet=U0&amp;row=2004&amp;col=7&amp;number=0.0102&amp;sourceID=14","0.0102")</f>
        <v>0.0102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HYPERLINK("http://141.218.60.56/~jnz1568/getInfo.php?workbook=18_08.xlsx&amp;sheet=U0&amp;row=2005&amp;col=6&amp;number=3.1&amp;sourceID=14","3.1")</f>
        <v>3.1</v>
      </c>
      <c r="G2005" s="4" t="str">
        <f>HYPERLINK("http://141.218.60.56/~jnz1568/getInfo.php?workbook=18_08.xlsx&amp;sheet=U0&amp;row=2005&amp;col=7&amp;number=0.0102&amp;sourceID=14","0.0102")</f>
        <v>0.0102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HYPERLINK("http://141.218.60.56/~jnz1568/getInfo.php?workbook=18_08.xlsx&amp;sheet=U0&amp;row=2006&amp;col=6&amp;number=3.2&amp;sourceID=14","3.2")</f>
        <v>3.2</v>
      </c>
      <c r="G2006" s="4" t="str">
        <f>HYPERLINK("http://141.218.60.56/~jnz1568/getInfo.php?workbook=18_08.xlsx&amp;sheet=U0&amp;row=2006&amp;col=7&amp;number=0.0102&amp;sourceID=14","0.0102")</f>
        <v>0.0102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HYPERLINK("http://141.218.60.56/~jnz1568/getInfo.php?workbook=18_08.xlsx&amp;sheet=U0&amp;row=2007&amp;col=6&amp;number=3.3&amp;sourceID=14","3.3")</f>
        <v>3.3</v>
      </c>
      <c r="G2007" s="4" t="str">
        <f>HYPERLINK("http://141.218.60.56/~jnz1568/getInfo.php?workbook=18_08.xlsx&amp;sheet=U0&amp;row=2007&amp;col=7&amp;number=0.0102&amp;sourceID=14","0.0102")</f>
        <v>0.0102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HYPERLINK("http://141.218.60.56/~jnz1568/getInfo.php?workbook=18_08.xlsx&amp;sheet=U0&amp;row=2008&amp;col=6&amp;number=3.4&amp;sourceID=14","3.4")</f>
        <v>3.4</v>
      </c>
      <c r="G2008" s="4" t="str">
        <f>HYPERLINK("http://141.218.60.56/~jnz1568/getInfo.php?workbook=18_08.xlsx&amp;sheet=U0&amp;row=2008&amp;col=7&amp;number=0.0102&amp;sourceID=14","0.0102")</f>
        <v>0.0102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HYPERLINK("http://141.218.60.56/~jnz1568/getInfo.php?workbook=18_08.xlsx&amp;sheet=U0&amp;row=2009&amp;col=6&amp;number=3.5&amp;sourceID=14","3.5")</f>
        <v>3.5</v>
      </c>
      <c r="G2009" s="4" t="str">
        <f>HYPERLINK("http://141.218.60.56/~jnz1568/getInfo.php?workbook=18_08.xlsx&amp;sheet=U0&amp;row=2009&amp;col=7&amp;number=0.0102&amp;sourceID=14","0.0102")</f>
        <v>0.0102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HYPERLINK("http://141.218.60.56/~jnz1568/getInfo.php?workbook=18_08.xlsx&amp;sheet=U0&amp;row=2010&amp;col=6&amp;number=3.6&amp;sourceID=14","3.6")</f>
        <v>3.6</v>
      </c>
      <c r="G2010" s="4" t="str">
        <f>HYPERLINK("http://141.218.60.56/~jnz1568/getInfo.php?workbook=18_08.xlsx&amp;sheet=U0&amp;row=2010&amp;col=7&amp;number=0.0102&amp;sourceID=14","0.0102")</f>
        <v>0.0102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HYPERLINK("http://141.218.60.56/~jnz1568/getInfo.php?workbook=18_08.xlsx&amp;sheet=U0&amp;row=2011&amp;col=6&amp;number=3.7&amp;sourceID=14","3.7")</f>
        <v>3.7</v>
      </c>
      <c r="G2011" s="4" t="str">
        <f>HYPERLINK("http://141.218.60.56/~jnz1568/getInfo.php?workbook=18_08.xlsx&amp;sheet=U0&amp;row=2011&amp;col=7&amp;number=0.0102&amp;sourceID=14","0.0102")</f>
        <v>0.0102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HYPERLINK("http://141.218.60.56/~jnz1568/getInfo.php?workbook=18_08.xlsx&amp;sheet=U0&amp;row=2012&amp;col=6&amp;number=3.8&amp;sourceID=14","3.8")</f>
        <v>3.8</v>
      </c>
      <c r="G2012" s="4" t="str">
        <f>HYPERLINK("http://141.218.60.56/~jnz1568/getInfo.php?workbook=18_08.xlsx&amp;sheet=U0&amp;row=2012&amp;col=7&amp;number=0.0102&amp;sourceID=14","0.0102")</f>
        <v>0.0102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HYPERLINK("http://141.218.60.56/~jnz1568/getInfo.php?workbook=18_08.xlsx&amp;sheet=U0&amp;row=2013&amp;col=6&amp;number=3.9&amp;sourceID=14","3.9")</f>
        <v>3.9</v>
      </c>
      <c r="G2013" s="4" t="str">
        <f>HYPERLINK("http://141.218.60.56/~jnz1568/getInfo.php?workbook=18_08.xlsx&amp;sheet=U0&amp;row=2013&amp;col=7&amp;number=0.0102&amp;sourceID=14","0.0102")</f>
        <v>0.0102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HYPERLINK("http://141.218.60.56/~jnz1568/getInfo.php?workbook=18_08.xlsx&amp;sheet=U0&amp;row=2014&amp;col=6&amp;number=4&amp;sourceID=14","4")</f>
        <v>4</v>
      </c>
      <c r="G2014" s="4" t="str">
        <f>HYPERLINK("http://141.218.60.56/~jnz1568/getInfo.php?workbook=18_08.xlsx&amp;sheet=U0&amp;row=2014&amp;col=7&amp;number=0.0102&amp;sourceID=14","0.0102")</f>
        <v>0.0102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HYPERLINK("http://141.218.60.56/~jnz1568/getInfo.php?workbook=18_08.xlsx&amp;sheet=U0&amp;row=2015&amp;col=6&amp;number=4.1&amp;sourceID=14","4.1")</f>
        <v>4.1</v>
      </c>
      <c r="G2015" s="4" t="str">
        <f>HYPERLINK("http://141.218.60.56/~jnz1568/getInfo.php?workbook=18_08.xlsx&amp;sheet=U0&amp;row=2015&amp;col=7&amp;number=0.0102&amp;sourceID=14","0.0102")</f>
        <v>0.0102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HYPERLINK("http://141.218.60.56/~jnz1568/getInfo.php?workbook=18_08.xlsx&amp;sheet=U0&amp;row=2016&amp;col=6&amp;number=4.2&amp;sourceID=14","4.2")</f>
        <v>4.2</v>
      </c>
      <c r="G2016" s="4" t="str">
        <f>HYPERLINK("http://141.218.60.56/~jnz1568/getInfo.php?workbook=18_08.xlsx&amp;sheet=U0&amp;row=2016&amp;col=7&amp;number=0.0102&amp;sourceID=14","0.0102")</f>
        <v>0.0102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HYPERLINK("http://141.218.60.56/~jnz1568/getInfo.php?workbook=18_08.xlsx&amp;sheet=U0&amp;row=2017&amp;col=6&amp;number=4.3&amp;sourceID=14","4.3")</f>
        <v>4.3</v>
      </c>
      <c r="G2017" s="4" t="str">
        <f>HYPERLINK("http://141.218.60.56/~jnz1568/getInfo.php?workbook=18_08.xlsx&amp;sheet=U0&amp;row=2017&amp;col=7&amp;number=0.0102&amp;sourceID=14","0.0102")</f>
        <v>0.0102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HYPERLINK("http://141.218.60.56/~jnz1568/getInfo.php?workbook=18_08.xlsx&amp;sheet=U0&amp;row=2018&amp;col=6&amp;number=4.4&amp;sourceID=14","4.4")</f>
        <v>4.4</v>
      </c>
      <c r="G2018" s="4" t="str">
        <f>HYPERLINK("http://141.218.60.56/~jnz1568/getInfo.php?workbook=18_08.xlsx&amp;sheet=U0&amp;row=2018&amp;col=7&amp;number=0.0102&amp;sourceID=14","0.0102")</f>
        <v>0.0102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HYPERLINK("http://141.218.60.56/~jnz1568/getInfo.php?workbook=18_08.xlsx&amp;sheet=U0&amp;row=2019&amp;col=6&amp;number=4.5&amp;sourceID=14","4.5")</f>
        <v>4.5</v>
      </c>
      <c r="G2019" s="4" t="str">
        <f>HYPERLINK("http://141.218.60.56/~jnz1568/getInfo.php?workbook=18_08.xlsx&amp;sheet=U0&amp;row=2019&amp;col=7&amp;number=0.0102&amp;sourceID=14","0.0102")</f>
        <v>0.0102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HYPERLINK("http://141.218.60.56/~jnz1568/getInfo.php?workbook=18_08.xlsx&amp;sheet=U0&amp;row=2020&amp;col=6&amp;number=4.6&amp;sourceID=14","4.6")</f>
        <v>4.6</v>
      </c>
      <c r="G2020" s="4" t="str">
        <f>HYPERLINK("http://141.218.60.56/~jnz1568/getInfo.php?workbook=18_08.xlsx&amp;sheet=U0&amp;row=2020&amp;col=7&amp;number=0.0102&amp;sourceID=14","0.0102")</f>
        <v>0.0102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HYPERLINK("http://141.218.60.56/~jnz1568/getInfo.php?workbook=18_08.xlsx&amp;sheet=U0&amp;row=2021&amp;col=6&amp;number=4.7&amp;sourceID=14","4.7")</f>
        <v>4.7</v>
      </c>
      <c r="G2021" s="4" t="str">
        <f>HYPERLINK("http://141.218.60.56/~jnz1568/getInfo.php?workbook=18_08.xlsx&amp;sheet=U0&amp;row=2021&amp;col=7&amp;number=0.0101&amp;sourceID=14","0.0101")</f>
        <v>0.0101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HYPERLINK("http://141.218.60.56/~jnz1568/getInfo.php?workbook=18_08.xlsx&amp;sheet=U0&amp;row=2022&amp;col=6&amp;number=4.8&amp;sourceID=14","4.8")</f>
        <v>4.8</v>
      </c>
      <c r="G2022" s="4" t="str">
        <f>HYPERLINK("http://141.218.60.56/~jnz1568/getInfo.php?workbook=18_08.xlsx&amp;sheet=U0&amp;row=2022&amp;col=7&amp;number=0.0101&amp;sourceID=14","0.0101")</f>
        <v>0.0101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HYPERLINK("http://141.218.60.56/~jnz1568/getInfo.php?workbook=18_08.xlsx&amp;sheet=U0&amp;row=2023&amp;col=6&amp;number=4.9&amp;sourceID=14","4.9")</f>
        <v>4.9</v>
      </c>
      <c r="G2023" s="4" t="str">
        <f>HYPERLINK("http://141.218.60.56/~jnz1568/getInfo.php?workbook=18_08.xlsx&amp;sheet=U0&amp;row=2023&amp;col=7&amp;number=0.0101&amp;sourceID=14","0.0101")</f>
        <v>0.0101</v>
      </c>
    </row>
    <row r="2024" spans="1:7">
      <c r="A2024" s="3">
        <v>18</v>
      </c>
      <c r="B2024" s="3">
        <v>8</v>
      </c>
      <c r="C2024" s="3" t="s">
        <v>54</v>
      </c>
      <c r="D2024" s="3">
        <v>9</v>
      </c>
      <c r="E2024" s="3">
        <v>1</v>
      </c>
      <c r="F2024" s="4" t="str">
        <f>HYPERLINK("http://141.218.60.56/~jnz1568/getInfo.php?workbook=18_08.xlsx&amp;sheet=U0&amp;row=2024&amp;col=6&amp;number=3&amp;sourceID=14","3")</f>
        <v>3</v>
      </c>
      <c r="G2024" s="4" t="str">
        <f>HYPERLINK("http://141.218.60.56/~jnz1568/getInfo.php?workbook=18_08.xlsx&amp;sheet=U0&amp;row=2024&amp;col=7&amp;number=0.0119&amp;sourceID=14","0.0119")</f>
        <v>0.0119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HYPERLINK("http://141.218.60.56/~jnz1568/getInfo.php?workbook=18_08.xlsx&amp;sheet=U0&amp;row=2025&amp;col=6&amp;number=3.1&amp;sourceID=14","3.1")</f>
        <v>3.1</v>
      </c>
      <c r="G2025" s="4" t="str">
        <f>HYPERLINK("http://141.218.60.56/~jnz1568/getInfo.php?workbook=18_08.xlsx&amp;sheet=U0&amp;row=2025&amp;col=7&amp;number=0.0119&amp;sourceID=14","0.0119")</f>
        <v>0.0119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HYPERLINK("http://141.218.60.56/~jnz1568/getInfo.php?workbook=18_08.xlsx&amp;sheet=U0&amp;row=2026&amp;col=6&amp;number=3.2&amp;sourceID=14","3.2")</f>
        <v>3.2</v>
      </c>
      <c r="G2026" s="4" t="str">
        <f>HYPERLINK("http://141.218.60.56/~jnz1568/getInfo.php?workbook=18_08.xlsx&amp;sheet=U0&amp;row=2026&amp;col=7&amp;number=0.0119&amp;sourceID=14","0.0119")</f>
        <v>0.0119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HYPERLINK("http://141.218.60.56/~jnz1568/getInfo.php?workbook=18_08.xlsx&amp;sheet=U0&amp;row=2027&amp;col=6&amp;number=3.3&amp;sourceID=14","3.3")</f>
        <v>3.3</v>
      </c>
      <c r="G2027" s="4" t="str">
        <f>HYPERLINK("http://141.218.60.56/~jnz1568/getInfo.php?workbook=18_08.xlsx&amp;sheet=U0&amp;row=2027&amp;col=7&amp;number=0.0119&amp;sourceID=14","0.0119")</f>
        <v>0.0119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HYPERLINK("http://141.218.60.56/~jnz1568/getInfo.php?workbook=18_08.xlsx&amp;sheet=U0&amp;row=2028&amp;col=6&amp;number=3.4&amp;sourceID=14","3.4")</f>
        <v>3.4</v>
      </c>
      <c r="G2028" s="4" t="str">
        <f>HYPERLINK("http://141.218.60.56/~jnz1568/getInfo.php?workbook=18_08.xlsx&amp;sheet=U0&amp;row=2028&amp;col=7&amp;number=0.0119&amp;sourceID=14","0.0119")</f>
        <v>0.0119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HYPERLINK("http://141.218.60.56/~jnz1568/getInfo.php?workbook=18_08.xlsx&amp;sheet=U0&amp;row=2029&amp;col=6&amp;number=3.5&amp;sourceID=14","3.5")</f>
        <v>3.5</v>
      </c>
      <c r="G2029" s="4" t="str">
        <f>HYPERLINK("http://141.218.60.56/~jnz1568/getInfo.php?workbook=18_08.xlsx&amp;sheet=U0&amp;row=2029&amp;col=7&amp;number=0.0119&amp;sourceID=14","0.0119")</f>
        <v>0.0119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HYPERLINK("http://141.218.60.56/~jnz1568/getInfo.php?workbook=18_08.xlsx&amp;sheet=U0&amp;row=2030&amp;col=6&amp;number=3.6&amp;sourceID=14","3.6")</f>
        <v>3.6</v>
      </c>
      <c r="G2030" s="4" t="str">
        <f>HYPERLINK("http://141.218.60.56/~jnz1568/getInfo.php?workbook=18_08.xlsx&amp;sheet=U0&amp;row=2030&amp;col=7&amp;number=0.0119&amp;sourceID=14","0.0119")</f>
        <v>0.0119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HYPERLINK("http://141.218.60.56/~jnz1568/getInfo.php?workbook=18_08.xlsx&amp;sheet=U0&amp;row=2031&amp;col=6&amp;number=3.7&amp;sourceID=14","3.7")</f>
        <v>3.7</v>
      </c>
      <c r="G2031" s="4" t="str">
        <f>HYPERLINK("http://141.218.60.56/~jnz1568/getInfo.php?workbook=18_08.xlsx&amp;sheet=U0&amp;row=2031&amp;col=7&amp;number=0.0119&amp;sourceID=14","0.0119")</f>
        <v>0.0119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HYPERLINK("http://141.218.60.56/~jnz1568/getInfo.php?workbook=18_08.xlsx&amp;sheet=U0&amp;row=2032&amp;col=6&amp;number=3.8&amp;sourceID=14","3.8")</f>
        <v>3.8</v>
      </c>
      <c r="G2032" s="4" t="str">
        <f>HYPERLINK("http://141.218.60.56/~jnz1568/getInfo.php?workbook=18_08.xlsx&amp;sheet=U0&amp;row=2032&amp;col=7&amp;number=0.0119&amp;sourceID=14","0.0119")</f>
        <v>0.0119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HYPERLINK("http://141.218.60.56/~jnz1568/getInfo.php?workbook=18_08.xlsx&amp;sheet=U0&amp;row=2033&amp;col=6&amp;number=3.9&amp;sourceID=14","3.9")</f>
        <v>3.9</v>
      </c>
      <c r="G2033" s="4" t="str">
        <f>HYPERLINK("http://141.218.60.56/~jnz1568/getInfo.php?workbook=18_08.xlsx&amp;sheet=U0&amp;row=2033&amp;col=7&amp;number=0.0119&amp;sourceID=14","0.0119")</f>
        <v>0.0119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HYPERLINK("http://141.218.60.56/~jnz1568/getInfo.php?workbook=18_08.xlsx&amp;sheet=U0&amp;row=2034&amp;col=6&amp;number=4&amp;sourceID=14","4")</f>
        <v>4</v>
      </c>
      <c r="G2034" s="4" t="str">
        <f>HYPERLINK("http://141.218.60.56/~jnz1568/getInfo.php?workbook=18_08.xlsx&amp;sheet=U0&amp;row=2034&amp;col=7&amp;number=0.0119&amp;sourceID=14","0.0119")</f>
        <v>0.0119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HYPERLINK("http://141.218.60.56/~jnz1568/getInfo.php?workbook=18_08.xlsx&amp;sheet=U0&amp;row=2035&amp;col=6&amp;number=4.1&amp;sourceID=14","4.1")</f>
        <v>4.1</v>
      </c>
      <c r="G2035" s="4" t="str">
        <f>HYPERLINK("http://141.218.60.56/~jnz1568/getInfo.php?workbook=18_08.xlsx&amp;sheet=U0&amp;row=2035&amp;col=7&amp;number=0.0119&amp;sourceID=14","0.0119")</f>
        <v>0.0119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HYPERLINK("http://141.218.60.56/~jnz1568/getInfo.php?workbook=18_08.xlsx&amp;sheet=U0&amp;row=2036&amp;col=6&amp;number=4.2&amp;sourceID=14","4.2")</f>
        <v>4.2</v>
      </c>
      <c r="G2036" s="4" t="str">
        <f>HYPERLINK("http://141.218.60.56/~jnz1568/getInfo.php?workbook=18_08.xlsx&amp;sheet=U0&amp;row=2036&amp;col=7&amp;number=0.0119&amp;sourceID=14","0.0119")</f>
        <v>0.0119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HYPERLINK("http://141.218.60.56/~jnz1568/getInfo.php?workbook=18_08.xlsx&amp;sheet=U0&amp;row=2037&amp;col=6&amp;number=4.3&amp;sourceID=14","4.3")</f>
        <v>4.3</v>
      </c>
      <c r="G2037" s="4" t="str">
        <f>HYPERLINK("http://141.218.60.56/~jnz1568/getInfo.php?workbook=18_08.xlsx&amp;sheet=U0&amp;row=2037&amp;col=7&amp;number=0.0118&amp;sourceID=14","0.0118")</f>
        <v>0.0118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HYPERLINK("http://141.218.60.56/~jnz1568/getInfo.php?workbook=18_08.xlsx&amp;sheet=U0&amp;row=2038&amp;col=6&amp;number=4.4&amp;sourceID=14","4.4")</f>
        <v>4.4</v>
      </c>
      <c r="G2038" s="4" t="str">
        <f>HYPERLINK("http://141.218.60.56/~jnz1568/getInfo.php?workbook=18_08.xlsx&amp;sheet=U0&amp;row=2038&amp;col=7&amp;number=0.0118&amp;sourceID=14","0.0118")</f>
        <v>0.0118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HYPERLINK("http://141.218.60.56/~jnz1568/getInfo.php?workbook=18_08.xlsx&amp;sheet=U0&amp;row=2039&amp;col=6&amp;number=4.5&amp;sourceID=14","4.5")</f>
        <v>4.5</v>
      </c>
      <c r="G2039" s="4" t="str">
        <f>HYPERLINK("http://141.218.60.56/~jnz1568/getInfo.php?workbook=18_08.xlsx&amp;sheet=U0&amp;row=2039&amp;col=7&amp;number=0.0118&amp;sourceID=14","0.0118")</f>
        <v>0.0118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HYPERLINK("http://141.218.60.56/~jnz1568/getInfo.php?workbook=18_08.xlsx&amp;sheet=U0&amp;row=2040&amp;col=6&amp;number=4.6&amp;sourceID=14","4.6")</f>
        <v>4.6</v>
      </c>
      <c r="G2040" s="4" t="str">
        <f>HYPERLINK("http://141.218.60.56/~jnz1568/getInfo.php?workbook=18_08.xlsx&amp;sheet=U0&amp;row=2040&amp;col=7&amp;number=0.0118&amp;sourceID=14","0.0118")</f>
        <v>0.0118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HYPERLINK("http://141.218.60.56/~jnz1568/getInfo.php?workbook=18_08.xlsx&amp;sheet=U0&amp;row=2041&amp;col=6&amp;number=4.7&amp;sourceID=14","4.7")</f>
        <v>4.7</v>
      </c>
      <c r="G2041" s="4" t="str">
        <f>HYPERLINK("http://141.218.60.56/~jnz1568/getInfo.php?workbook=18_08.xlsx&amp;sheet=U0&amp;row=2041&amp;col=7&amp;number=0.0117&amp;sourceID=14","0.0117")</f>
        <v>0.0117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HYPERLINK("http://141.218.60.56/~jnz1568/getInfo.php?workbook=18_08.xlsx&amp;sheet=U0&amp;row=2042&amp;col=6&amp;number=4.8&amp;sourceID=14","4.8")</f>
        <v>4.8</v>
      </c>
      <c r="G2042" s="4" t="str">
        <f>HYPERLINK("http://141.218.60.56/~jnz1568/getInfo.php?workbook=18_08.xlsx&amp;sheet=U0&amp;row=2042&amp;col=7&amp;number=0.0117&amp;sourceID=14","0.0117")</f>
        <v>0.0117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HYPERLINK("http://141.218.60.56/~jnz1568/getInfo.php?workbook=18_08.xlsx&amp;sheet=U0&amp;row=2043&amp;col=6&amp;number=4.9&amp;sourceID=14","4.9")</f>
        <v>4.9</v>
      </c>
      <c r="G2043" s="4" t="str">
        <f>HYPERLINK("http://141.218.60.56/~jnz1568/getInfo.php?workbook=18_08.xlsx&amp;sheet=U0&amp;row=2043&amp;col=7&amp;number=0.0117&amp;sourceID=14","0.0117")</f>
        <v>0.0117</v>
      </c>
    </row>
    <row r="2044" spans="1:7">
      <c r="A2044" s="3">
        <v>18</v>
      </c>
      <c r="B2044" s="3">
        <v>8</v>
      </c>
      <c r="C2044" s="3" t="s">
        <v>55</v>
      </c>
      <c r="D2044" s="3">
        <v>0</v>
      </c>
      <c r="E2044" s="3">
        <v>1</v>
      </c>
      <c r="F2044" s="4" t="str">
        <f>HYPERLINK("http://141.218.60.56/~jnz1568/getInfo.php?workbook=18_08.xlsx&amp;sheet=U0&amp;row=2044&amp;col=6&amp;number=3&amp;sourceID=14","3")</f>
        <v>3</v>
      </c>
      <c r="G2044" s="4" t="str">
        <f>HYPERLINK("http://141.218.60.56/~jnz1568/getInfo.php?workbook=18_08.xlsx&amp;sheet=U0&amp;row=2044&amp;col=7&amp;number=0.0179&amp;sourceID=14","0.0179")</f>
        <v>0.0179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HYPERLINK("http://141.218.60.56/~jnz1568/getInfo.php?workbook=18_08.xlsx&amp;sheet=U0&amp;row=2045&amp;col=6&amp;number=3.1&amp;sourceID=14","3.1")</f>
        <v>3.1</v>
      </c>
      <c r="G2045" s="4" t="str">
        <f>HYPERLINK("http://141.218.60.56/~jnz1568/getInfo.php?workbook=18_08.xlsx&amp;sheet=U0&amp;row=2045&amp;col=7&amp;number=0.0179&amp;sourceID=14","0.0179")</f>
        <v>0.0179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HYPERLINK("http://141.218.60.56/~jnz1568/getInfo.php?workbook=18_08.xlsx&amp;sheet=U0&amp;row=2046&amp;col=6&amp;number=3.2&amp;sourceID=14","3.2")</f>
        <v>3.2</v>
      </c>
      <c r="G2046" s="4" t="str">
        <f>HYPERLINK("http://141.218.60.56/~jnz1568/getInfo.php?workbook=18_08.xlsx&amp;sheet=U0&amp;row=2046&amp;col=7&amp;number=0.0179&amp;sourceID=14","0.0179")</f>
        <v>0.0179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HYPERLINK("http://141.218.60.56/~jnz1568/getInfo.php?workbook=18_08.xlsx&amp;sheet=U0&amp;row=2047&amp;col=6&amp;number=3.3&amp;sourceID=14","3.3")</f>
        <v>3.3</v>
      </c>
      <c r="G2047" s="4" t="str">
        <f>HYPERLINK("http://141.218.60.56/~jnz1568/getInfo.php?workbook=18_08.xlsx&amp;sheet=U0&amp;row=2047&amp;col=7&amp;number=0.0179&amp;sourceID=14","0.0179")</f>
        <v>0.0179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HYPERLINK("http://141.218.60.56/~jnz1568/getInfo.php?workbook=18_08.xlsx&amp;sheet=U0&amp;row=2048&amp;col=6&amp;number=3.4&amp;sourceID=14","3.4")</f>
        <v>3.4</v>
      </c>
      <c r="G2048" s="4" t="str">
        <f>HYPERLINK("http://141.218.60.56/~jnz1568/getInfo.php?workbook=18_08.xlsx&amp;sheet=U0&amp;row=2048&amp;col=7&amp;number=0.0179&amp;sourceID=14","0.0179")</f>
        <v>0.0179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HYPERLINK("http://141.218.60.56/~jnz1568/getInfo.php?workbook=18_08.xlsx&amp;sheet=U0&amp;row=2049&amp;col=6&amp;number=3.5&amp;sourceID=14","3.5")</f>
        <v>3.5</v>
      </c>
      <c r="G2049" s="4" t="str">
        <f>HYPERLINK("http://141.218.60.56/~jnz1568/getInfo.php?workbook=18_08.xlsx&amp;sheet=U0&amp;row=2049&amp;col=7&amp;number=0.0179&amp;sourceID=14","0.0179")</f>
        <v>0.0179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HYPERLINK("http://141.218.60.56/~jnz1568/getInfo.php?workbook=18_08.xlsx&amp;sheet=U0&amp;row=2050&amp;col=6&amp;number=3.6&amp;sourceID=14","3.6")</f>
        <v>3.6</v>
      </c>
      <c r="G2050" s="4" t="str">
        <f>HYPERLINK("http://141.218.60.56/~jnz1568/getInfo.php?workbook=18_08.xlsx&amp;sheet=U0&amp;row=2050&amp;col=7&amp;number=0.0179&amp;sourceID=14","0.0179")</f>
        <v>0.0179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HYPERLINK("http://141.218.60.56/~jnz1568/getInfo.php?workbook=18_08.xlsx&amp;sheet=U0&amp;row=2051&amp;col=6&amp;number=3.7&amp;sourceID=14","3.7")</f>
        <v>3.7</v>
      </c>
      <c r="G2051" s="4" t="str">
        <f>HYPERLINK("http://141.218.60.56/~jnz1568/getInfo.php?workbook=18_08.xlsx&amp;sheet=U0&amp;row=2051&amp;col=7&amp;number=0.0179&amp;sourceID=14","0.0179")</f>
        <v>0.0179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HYPERLINK("http://141.218.60.56/~jnz1568/getInfo.php?workbook=18_08.xlsx&amp;sheet=U0&amp;row=2052&amp;col=6&amp;number=3.8&amp;sourceID=14","3.8")</f>
        <v>3.8</v>
      </c>
      <c r="G2052" s="4" t="str">
        <f>HYPERLINK("http://141.218.60.56/~jnz1568/getInfo.php?workbook=18_08.xlsx&amp;sheet=U0&amp;row=2052&amp;col=7&amp;number=0.0179&amp;sourceID=14","0.0179")</f>
        <v>0.0179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HYPERLINK("http://141.218.60.56/~jnz1568/getInfo.php?workbook=18_08.xlsx&amp;sheet=U0&amp;row=2053&amp;col=6&amp;number=3.9&amp;sourceID=14","3.9")</f>
        <v>3.9</v>
      </c>
      <c r="G2053" s="4" t="str">
        <f>HYPERLINK("http://141.218.60.56/~jnz1568/getInfo.php?workbook=18_08.xlsx&amp;sheet=U0&amp;row=2053&amp;col=7&amp;number=0.0179&amp;sourceID=14","0.0179")</f>
        <v>0.0179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HYPERLINK("http://141.218.60.56/~jnz1568/getInfo.php?workbook=18_08.xlsx&amp;sheet=U0&amp;row=2054&amp;col=6&amp;number=4&amp;sourceID=14","4")</f>
        <v>4</v>
      </c>
      <c r="G2054" s="4" t="str">
        <f>HYPERLINK("http://141.218.60.56/~jnz1568/getInfo.php?workbook=18_08.xlsx&amp;sheet=U0&amp;row=2054&amp;col=7&amp;number=0.0179&amp;sourceID=14","0.0179")</f>
        <v>0.0179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HYPERLINK("http://141.218.60.56/~jnz1568/getInfo.php?workbook=18_08.xlsx&amp;sheet=U0&amp;row=2055&amp;col=6&amp;number=4.1&amp;sourceID=14","4.1")</f>
        <v>4.1</v>
      </c>
      <c r="G2055" s="4" t="str">
        <f>HYPERLINK("http://141.218.60.56/~jnz1568/getInfo.php?workbook=18_08.xlsx&amp;sheet=U0&amp;row=2055&amp;col=7&amp;number=0.0179&amp;sourceID=14","0.0179")</f>
        <v>0.0179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HYPERLINK("http://141.218.60.56/~jnz1568/getInfo.php?workbook=18_08.xlsx&amp;sheet=U0&amp;row=2056&amp;col=6&amp;number=4.2&amp;sourceID=14","4.2")</f>
        <v>4.2</v>
      </c>
      <c r="G2056" s="4" t="str">
        <f>HYPERLINK("http://141.218.60.56/~jnz1568/getInfo.php?workbook=18_08.xlsx&amp;sheet=U0&amp;row=2056&amp;col=7&amp;number=0.0179&amp;sourceID=14","0.0179")</f>
        <v>0.0179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HYPERLINK("http://141.218.60.56/~jnz1568/getInfo.php?workbook=18_08.xlsx&amp;sheet=U0&amp;row=2057&amp;col=6&amp;number=4.3&amp;sourceID=14","4.3")</f>
        <v>4.3</v>
      </c>
      <c r="G2057" s="4" t="str">
        <f>HYPERLINK("http://141.218.60.56/~jnz1568/getInfo.php?workbook=18_08.xlsx&amp;sheet=U0&amp;row=2057&amp;col=7&amp;number=0.0179&amp;sourceID=14","0.0179")</f>
        <v>0.0179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HYPERLINK("http://141.218.60.56/~jnz1568/getInfo.php?workbook=18_08.xlsx&amp;sheet=U0&amp;row=2058&amp;col=6&amp;number=4.4&amp;sourceID=14","4.4")</f>
        <v>4.4</v>
      </c>
      <c r="G2058" s="4" t="str">
        <f>HYPERLINK("http://141.218.60.56/~jnz1568/getInfo.php?workbook=18_08.xlsx&amp;sheet=U0&amp;row=2058&amp;col=7&amp;number=0.018&amp;sourceID=14","0.018")</f>
        <v>0.018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HYPERLINK("http://141.218.60.56/~jnz1568/getInfo.php?workbook=18_08.xlsx&amp;sheet=U0&amp;row=2059&amp;col=6&amp;number=4.5&amp;sourceID=14","4.5")</f>
        <v>4.5</v>
      </c>
      <c r="G2059" s="4" t="str">
        <f>HYPERLINK("http://141.218.60.56/~jnz1568/getInfo.php?workbook=18_08.xlsx&amp;sheet=U0&amp;row=2059&amp;col=7&amp;number=0.018&amp;sourceID=14","0.018")</f>
        <v>0.018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HYPERLINK("http://141.218.60.56/~jnz1568/getInfo.php?workbook=18_08.xlsx&amp;sheet=U0&amp;row=2060&amp;col=6&amp;number=4.6&amp;sourceID=14","4.6")</f>
        <v>4.6</v>
      </c>
      <c r="G2060" s="4" t="str">
        <f>HYPERLINK("http://141.218.60.56/~jnz1568/getInfo.php?workbook=18_08.xlsx&amp;sheet=U0&amp;row=2060&amp;col=7&amp;number=0.018&amp;sourceID=14","0.018")</f>
        <v>0.018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HYPERLINK("http://141.218.60.56/~jnz1568/getInfo.php?workbook=18_08.xlsx&amp;sheet=U0&amp;row=2061&amp;col=6&amp;number=4.7&amp;sourceID=14","4.7")</f>
        <v>4.7</v>
      </c>
      <c r="G2061" s="4" t="str">
        <f>HYPERLINK("http://141.218.60.56/~jnz1568/getInfo.php?workbook=18_08.xlsx&amp;sheet=U0&amp;row=2061&amp;col=7&amp;number=0.018&amp;sourceID=14","0.018")</f>
        <v>0.018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HYPERLINK("http://141.218.60.56/~jnz1568/getInfo.php?workbook=18_08.xlsx&amp;sheet=U0&amp;row=2062&amp;col=6&amp;number=4.8&amp;sourceID=14","4.8")</f>
        <v>4.8</v>
      </c>
      <c r="G2062" s="4" t="str">
        <f>HYPERLINK("http://141.218.60.56/~jnz1568/getInfo.php?workbook=18_08.xlsx&amp;sheet=U0&amp;row=2062&amp;col=7&amp;number=0.018&amp;sourceID=14","0.018")</f>
        <v>0.018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HYPERLINK("http://141.218.60.56/~jnz1568/getInfo.php?workbook=18_08.xlsx&amp;sheet=U0&amp;row=2063&amp;col=6&amp;number=4.9&amp;sourceID=14","4.9")</f>
        <v>4.9</v>
      </c>
      <c r="G2063" s="4" t="str">
        <f>HYPERLINK("http://141.218.60.56/~jnz1568/getInfo.php?workbook=18_08.xlsx&amp;sheet=U0&amp;row=2063&amp;col=7&amp;number=0.018&amp;sourceID=14","0.018")</f>
        <v>0.018</v>
      </c>
    </row>
    <row r="2064" spans="1:7">
      <c r="A2064" s="3">
        <v>18</v>
      </c>
      <c r="B2064" s="3">
        <v>8</v>
      </c>
      <c r="C2064" s="3" t="s">
        <v>55</v>
      </c>
      <c r="D2064" s="3">
        <v>1</v>
      </c>
      <c r="E2064" s="3">
        <v>1</v>
      </c>
      <c r="F2064" s="4" t="str">
        <f>HYPERLINK("http://141.218.60.56/~jnz1568/getInfo.php?workbook=18_08.xlsx&amp;sheet=U0&amp;row=2064&amp;col=6&amp;number=3&amp;sourceID=14","3")</f>
        <v>3</v>
      </c>
      <c r="G2064" s="4" t="str">
        <f>HYPERLINK("http://141.218.60.56/~jnz1568/getInfo.php?workbook=18_08.xlsx&amp;sheet=U0&amp;row=2064&amp;col=7&amp;number=0.0074&amp;sourceID=14","0.0074")</f>
        <v>0.0074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HYPERLINK("http://141.218.60.56/~jnz1568/getInfo.php?workbook=18_08.xlsx&amp;sheet=U0&amp;row=2065&amp;col=6&amp;number=3.1&amp;sourceID=14","3.1")</f>
        <v>3.1</v>
      </c>
      <c r="G2065" s="4" t="str">
        <f>HYPERLINK("http://141.218.60.56/~jnz1568/getInfo.php?workbook=18_08.xlsx&amp;sheet=U0&amp;row=2065&amp;col=7&amp;number=0.0074&amp;sourceID=14","0.0074")</f>
        <v>0.0074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HYPERLINK("http://141.218.60.56/~jnz1568/getInfo.php?workbook=18_08.xlsx&amp;sheet=U0&amp;row=2066&amp;col=6&amp;number=3.2&amp;sourceID=14","3.2")</f>
        <v>3.2</v>
      </c>
      <c r="G2066" s="4" t="str">
        <f>HYPERLINK("http://141.218.60.56/~jnz1568/getInfo.php?workbook=18_08.xlsx&amp;sheet=U0&amp;row=2066&amp;col=7&amp;number=0.0074&amp;sourceID=14","0.0074")</f>
        <v>0.0074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HYPERLINK("http://141.218.60.56/~jnz1568/getInfo.php?workbook=18_08.xlsx&amp;sheet=U0&amp;row=2067&amp;col=6&amp;number=3.3&amp;sourceID=14","3.3")</f>
        <v>3.3</v>
      </c>
      <c r="G2067" s="4" t="str">
        <f>HYPERLINK("http://141.218.60.56/~jnz1568/getInfo.php?workbook=18_08.xlsx&amp;sheet=U0&amp;row=2067&amp;col=7&amp;number=0.0074&amp;sourceID=14","0.0074")</f>
        <v>0.0074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HYPERLINK("http://141.218.60.56/~jnz1568/getInfo.php?workbook=18_08.xlsx&amp;sheet=U0&amp;row=2068&amp;col=6&amp;number=3.4&amp;sourceID=14","3.4")</f>
        <v>3.4</v>
      </c>
      <c r="G2068" s="4" t="str">
        <f>HYPERLINK("http://141.218.60.56/~jnz1568/getInfo.php?workbook=18_08.xlsx&amp;sheet=U0&amp;row=2068&amp;col=7&amp;number=0.0074&amp;sourceID=14","0.0074")</f>
        <v>0.0074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HYPERLINK("http://141.218.60.56/~jnz1568/getInfo.php?workbook=18_08.xlsx&amp;sheet=U0&amp;row=2069&amp;col=6&amp;number=3.5&amp;sourceID=14","3.5")</f>
        <v>3.5</v>
      </c>
      <c r="G2069" s="4" t="str">
        <f>HYPERLINK("http://141.218.60.56/~jnz1568/getInfo.php?workbook=18_08.xlsx&amp;sheet=U0&amp;row=2069&amp;col=7&amp;number=0.0074&amp;sourceID=14","0.0074")</f>
        <v>0.0074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HYPERLINK("http://141.218.60.56/~jnz1568/getInfo.php?workbook=18_08.xlsx&amp;sheet=U0&amp;row=2070&amp;col=6&amp;number=3.6&amp;sourceID=14","3.6")</f>
        <v>3.6</v>
      </c>
      <c r="G2070" s="4" t="str">
        <f>HYPERLINK("http://141.218.60.56/~jnz1568/getInfo.php?workbook=18_08.xlsx&amp;sheet=U0&amp;row=2070&amp;col=7&amp;number=0.0074&amp;sourceID=14","0.0074")</f>
        <v>0.0074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HYPERLINK("http://141.218.60.56/~jnz1568/getInfo.php?workbook=18_08.xlsx&amp;sheet=U0&amp;row=2071&amp;col=6&amp;number=3.7&amp;sourceID=14","3.7")</f>
        <v>3.7</v>
      </c>
      <c r="G2071" s="4" t="str">
        <f>HYPERLINK("http://141.218.60.56/~jnz1568/getInfo.php?workbook=18_08.xlsx&amp;sheet=U0&amp;row=2071&amp;col=7&amp;number=0.0074&amp;sourceID=14","0.0074")</f>
        <v>0.0074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HYPERLINK("http://141.218.60.56/~jnz1568/getInfo.php?workbook=18_08.xlsx&amp;sheet=U0&amp;row=2072&amp;col=6&amp;number=3.8&amp;sourceID=14","3.8")</f>
        <v>3.8</v>
      </c>
      <c r="G2072" s="4" t="str">
        <f>HYPERLINK("http://141.218.60.56/~jnz1568/getInfo.php?workbook=18_08.xlsx&amp;sheet=U0&amp;row=2072&amp;col=7&amp;number=0.0074&amp;sourceID=14","0.0074")</f>
        <v>0.0074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HYPERLINK("http://141.218.60.56/~jnz1568/getInfo.php?workbook=18_08.xlsx&amp;sheet=U0&amp;row=2073&amp;col=6&amp;number=3.9&amp;sourceID=14","3.9")</f>
        <v>3.9</v>
      </c>
      <c r="G2073" s="4" t="str">
        <f>HYPERLINK("http://141.218.60.56/~jnz1568/getInfo.php?workbook=18_08.xlsx&amp;sheet=U0&amp;row=2073&amp;col=7&amp;number=0.0074&amp;sourceID=14","0.0074")</f>
        <v>0.0074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HYPERLINK("http://141.218.60.56/~jnz1568/getInfo.php?workbook=18_08.xlsx&amp;sheet=U0&amp;row=2074&amp;col=6&amp;number=4&amp;sourceID=14","4")</f>
        <v>4</v>
      </c>
      <c r="G2074" s="4" t="str">
        <f>HYPERLINK("http://141.218.60.56/~jnz1568/getInfo.php?workbook=18_08.xlsx&amp;sheet=U0&amp;row=2074&amp;col=7&amp;number=0.0074&amp;sourceID=14","0.0074")</f>
        <v>0.0074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HYPERLINK("http://141.218.60.56/~jnz1568/getInfo.php?workbook=18_08.xlsx&amp;sheet=U0&amp;row=2075&amp;col=6&amp;number=4.1&amp;sourceID=14","4.1")</f>
        <v>4.1</v>
      </c>
      <c r="G2075" s="4" t="str">
        <f>HYPERLINK("http://141.218.60.56/~jnz1568/getInfo.php?workbook=18_08.xlsx&amp;sheet=U0&amp;row=2075&amp;col=7&amp;number=0.00741&amp;sourceID=14","0.00741")</f>
        <v>0.00741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HYPERLINK("http://141.218.60.56/~jnz1568/getInfo.php?workbook=18_08.xlsx&amp;sheet=U0&amp;row=2076&amp;col=6&amp;number=4.2&amp;sourceID=14","4.2")</f>
        <v>4.2</v>
      </c>
      <c r="G2076" s="4" t="str">
        <f>HYPERLINK("http://141.218.60.56/~jnz1568/getInfo.php?workbook=18_08.xlsx&amp;sheet=U0&amp;row=2076&amp;col=7&amp;number=0.00741&amp;sourceID=14","0.00741")</f>
        <v>0.00741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HYPERLINK("http://141.218.60.56/~jnz1568/getInfo.php?workbook=18_08.xlsx&amp;sheet=U0&amp;row=2077&amp;col=6&amp;number=4.3&amp;sourceID=14","4.3")</f>
        <v>4.3</v>
      </c>
      <c r="G2077" s="4" t="str">
        <f>HYPERLINK("http://141.218.60.56/~jnz1568/getInfo.php?workbook=18_08.xlsx&amp;sheet=U0&amp;row=2077&amp;col=7&amp;number=0.00741&amp;sourceID=14","0.00741")</f>
        <v>0.00741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HYPERLINK("http://141.218.60.56/~jnz1568/getInfo.php?workbook=18_08.xlsx&amp;sheet=U0&amp;row=2078&amp;col=6&amp;number=4.4&amp;sourceID=14","4.4")</f>
        <v>4.4</v>
      </c>
      <c r="G2078" s="4" t="str">
        <f>HYPERLINK("http://141.218.60.56/~jnz1568/getInfo.php?workbook=18_08.xlsx&amp;sheet=U0&amp;row=2078&amp;col=7&amp;number=0.00741&amp;sourceID=14","0.00741")</f>
        <v>0.00741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HYPERLINK("http://141.218.60.56/~jnz1568/getInfo.php?workbook=18_08.xlsx&amp;sheet=U0&amp;row=2079&amp;col=6&amp;number=4.5&amp;sourceID=14","4.5")</f>
        <v>4.5</v>
      </c>
      <c r="G2079" s="4" t="str">
        <f>HYPERLINK("http://141.218.60.56/~jnz1568/getInfo.php?workbook=18_08.xlsx&amp;sheet=U0&amp;row=2079&amp;col=7&amp;number=0.00741&amp;sourceID=14","0.00741")</f>
        <v>0.00741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HYPERLINK("http://141.218.60.56/~jnz1568/getInfo.php?workbook=18_08.xlsx&amp;sheet=U0&amp;row=2080&amp;col=6&amp;number=4.6&amp;sourceID=14","4.6")</f>
        <v>4.6</v>
      </c>
      <c r="G2080" s="4" t="str">
        <f>HYPERLINK("http://141.218.60.56/~jnz1568/getInfo.php?workbook=18_08.xlsx&amp;sheet=U0&amp;row=2080&amp;col=7&amp;number=0.00741&amp;sourceID=14","0.00741")</f>
        <v>0.00741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HYPERLINK("http://141.218.60.56/~jnz1568/getInfo.php?workbook=18_08.xlsx&amp;sheet=U0&amp;row=2081&amp;col=6&amp;number=4.7&amp;sourceID=14","4.7")</f>
        <v>4.7</v>
      </c>
      <c r="G2081" s="4" t="str">
        <f>HYPERLINK("http://141.218.60.56/~jnz1568/getInfo.php?workbook=18_08.xlsx&amp;sheet=U0&amp;row=2081&amp;col=7&amp;number=0.00742&amp;sourceID=14","0.00742")</f>
        <v>0.00742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HYPERLINK("http://141.218.60.56/~jnz1568/getInfo.php?workbook=18_08.xlsx&amp;sheet=U0&amp;row=2082&amp;col=6&amp;number=4.8&amp;sourceID=14","4.8")</f>
        <v>4.8</v>
      </c>
      <c r="G2082" s="4" t="str">
        <f>HYPERLINK("http://141.218.60.56/~jnz1568/getInfo.php?workbook=18_08.xlsx&amp;sheet=U0&amp;row=2082&amp;col=7&amp;number=0.00742&amp;sourceID=14","0.00742")</f>
        <v>0.00742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HYPERLINK("http://141.218.60.56/~jnz1568/getInfo.php?workbook=18_08.xlsx&amp;sheet=U0&amp;row=2083&amp;col=6&amp;number=4.9&amp;sourceID=14","4.9")</f>
        <v>4.9</v>
      </c>
      <c r="G2083" s="4" t="str">
        <f>HYPERLINK("http://141.218.60.56/~jnz1568/getInfo.php?workbook=18_08.xlsx&amp;sheet=U0&amp;row=2083&amp;col=7&amp;number=0.00743&amp;sourceID=14","0.00743")</f>
        <v>0.00743</v>
      </c>
    </row>
    <row r="2084" spans="1:7">
      <c r="A2084" s="3">
        <v>18</v>
      </c>
      <c r="B2084" s="3">
        <v>8</v>
      </c>
      <c r="C2084" s="3" t="s">
        <v>55</v>
      </c>
      <c r="D2084" s="3">
        <v>2</v>
      </c>
      <c r="E2084" s="3">
        <v>1</v>
      </c>
      <c r="F2084" s="4" t="str">
        <f>HYPERLINK("http://141.218.60.56/~jnz1568/getInfo.php?workbook=18_08.xlsx&amp;sheet=U0&amp;row=2084&amp;col=6&amp;number=3&amp;sourceID=14","3")</f>
        <v>3</v>
      </c>
      <c r="G2084" s="4" t="str">
        <f>HYPERLINK("http://141.218.60.56/~jnz1568/getInfo.php?workbook=18_08.xlsx&amp;sheet=U0&amp;row=2084&amp;col=7&amp;number=0.00185&amp;sourceID=14","0.00185")</f>
        <v>0.00185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HYPERLINK("http://141.218.60.56/~jnz1568/getInfo.php?workbook=18_08.xlsx&amp;sheet=U0&amp;row=2085&amp;col=6&amp;number=3.1&amp;sourceID=14","3.1")</f>
        <v>3.1</v>
      </c>
      <c r="G2085" s="4" t="str">
        <f>HYPERLINK("http://141.218.60.56/~jnz1568/getInfo.php?workbook=18_08.xlsx&amp;sheet=U0&amp;row=2085&amp;col=7&amp;number=0.00185&amp;sourceID=14","0.00185")</f>
        <v>0.00185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HYPERLINK("http://141.218.60.56/~jnz1568/getInfo.php?workbook=18_08.xlsx&amp;sheet=U0&amp;row=2086&amp;col=6&amp;number=3.2&amp;sourceID=14","3.2")</f>
        <v>3.2</v>
      </c>
      <c r="G2086" s="4" t="str">
        <f>HYPERLINK("http://141.218.60.56/~jnz1568/getInfo.php?workbook=18_08.xlsx&amp;sheet=U0&amp;row=2086&amp;col=7&amp;number=0.00185&amp;sourceID=14","0.00185")</f>
        <v>0.00185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HYPERLINK("http://141.218.60.56/~jnz1568/getInfo.php?workbook=18_08.xlsx&amp;sheet=U0&amp;row=2087&amp;col=6&amp;number=3.3&amp;sourceID=14","3.3")</f>
        <v>3.3</v>
      </c>
      <c r="G2087" s="4" t="str">
        <f>HYPERLINK("http://141.218.60.56/~jnz1568/getInfo.php?workbook=18_08.xlsx&amp;sheet=U0&amp;row=2087&amp;col=7&amp;number=0.00185&amp;sourceID=14","0.00185")</f>
        <v>0.00185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HYPERLINK("http://141.218.60.56/~jnz1568/getInfo.php?workbook=18_08.xlsx&amp;sheet=U0&amp;row=2088&amp;col=6&amp;number=3.4&amp;sourceID=14","3.4")</f>
        <v>3.4</v>
      </c>
      <c r="G2088" s="4" t="str">
        <f>HYPERLINK("http://141.218.60.56/~jnz1568/getInfo.php?workbook=18_08.xlsx&amp;sheet=U0&amp;row=2088&amp;col=7&amp;number=0.00185&amp;sourceID=14","0.00185")</f>
        <v>0.00185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HYPERLINK("http://141.218.60.56/~jnz1568/getInfo.php?workbook=18_08.xlsx&amp;sheet=U0&amp;row=2089&amp;col=6&amp;number=3.5&amp;sourceID=14","3.5")</f>
        <v>3.5</v>
      </c>
      <c r="G2089" s="4" t="str">
        <f>HYPERLINK("http://141.218.60.56/~jnz1568/getInfo.php?workbook=18_08.xlsx&amp;sheet=U0&amp;row=2089&amp;col=7&amp;number=0.00185&amp;sourceID=14","0.00185")</f>
        <v>0.00185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HYPERLINK("http://141.218.60.56/~jnz1568/getInfo.php?workbook=18_08.xlsx&amp;sheet=U0&amp;row=2090&amp;col=6&amp;number=3.6&amp;sourceID=14","3.6")</f>
        <v>3.6</v>
      </c>
      <c r="G2090" s="4" t="str">
        <f>HYPERLINK("http://141.218.60.56/~jnz1568/getInfo.php?workbook=18_08.xlsx&amp;sheet=U0&amp;row=2090&amp;col=7&amp;number=0.00185&amp;sourceID=14","0.00185")</f>
        <v>0.00185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HYPERLINK("http://141.218.60.56/~jnz1568/getInfo.php?workbook=18_08.xlsx&amp;sheet=U0&amp;row=2091&amp;col=6&amp;number=3.7&amp;sourceID=14","3.7")</f>
        <v>3.7</v>
      </c>
      <c r="G2091" s="4" t="str">
        <f>HYPERLINK("http://141.218.60.56/~jnz1568/getInfo.php?workbook=18_08.xlsx&amp;sheet=U0&amp;row=2091&amp;col=7&amp;number=0.00185&amp;sourceID=14","0.00185")</f>
        <v>0.00185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HYPERLINK("http://141.218.60.56/~jnz1568/getInfo.php?workbook=18_08.xlsx&amp;sheet=U0&amp;row=2092&amp;col=6&amp;number=3.8&amp;sourceID=14","3.8")</f>
        <v>3.8</v>
      </c>
      <c r="G2092" s="4" t="str">
        <f>HYPERLINK("http://141.218.60.56/~jnz1568/getInfo.php?workbook=18_08.xlsx&amp;sheet=U0&amp;row=2092&amp;col=7&amp;number=0.00185&amp;sourceID=14","0.00185")</f>
        <v>0.00185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HYPERLINK("http://141.218.60.56/~jnz1568/getInfo.php?workbook=18_08.xlsx&amp;sheet=U0&amp;row=2093&amp;col=6&amp;number=3.9&amp;sourceID=14","3.9")</f>
        <v>3.9</v>
      </c>
      <c r="G2093" s="4" t="str">
        <f>HYPERLINK("http://141.218.60.56/~jnz1568/getInfo.php?workbook=18_08.xlsx&amp;sheet=U0&amp;row=2093&amp;col=7&amp;number=0.00185&amp;sourceID=14","0.00185")</f>
        <v>0.00185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HYPERLINK("http://141.218.60.56/~jnz1568/getInfo.php?workbook=18_08.xlsx&amp;sheet=U0&amp;row=2094&amp;col=6&amp;number=4&amp;sourceID=14","4")</f>
        <v>4</v>
      </c>
      <c r="G2094" s="4" t="str">
        <f>HYPERLINK("http://141.218.60.56/~jnz1568/getInfo.php?workbook=18_08.xlsx&amp;sheet=U0&amp;row=2094&amp;col=7&amp;number=0.00185&amp;sourceID=14","0.00185")</f>
        <v>0.00185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HYPERLINK("http://141.218.60.56/~jnz1568/getInfo.php?workbook=18_08.xlsx&amp;sheet=U0&amp;row=2095&amp;col=6&amp;number=4.1&amp;sourceID=14","4.1")</f>
        <v>4.1</v>
      </c>
      <c r="G2095" s="4" t="str">
        <f>HYPERLINK("http://141.218.60.56/~jnz1568/getInfo.php?workbook=18_08.xlsx&amp;sheet=U0&amp;row=2095&amp;col=7&amp;number=0.00185&amp;sourceID=14","0.00185")</f>
        <v>0.00185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HYPERLINK("http://141.218.60.56/~jnz1568/getInfo.php?workbook=18_08.xlsx&amp;sheet=U0&amp;row=2096&amp;col=6&amp;number=4.2&amp;sourceID=14","4.2")</f>
        <v>4.2</v>
      </c>
      <c r="G2096" s="4" t="str">
        <f>HYPERLINK("http://141.218.60.56/~jnz1568/getInfo.php?workbook=18_08.xlsx&amp;sheet=U0&amp;row=2096&amp;col=7&amp;number=0.00185&amp;sourceID=14","0.00185")</f>
        <v>0.00185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HYPERLINK("http://141.218.60.56/~jnz1568/getInfo.php?workbook=18_08.xlsx&amp;sheet=U0&amp;row=2097&amp;col=6&amp;number=4.3&amp;sourceID=14","4.3")</f>
        <v>4.3</v>
      </c>
      <c r="G2097" s="4" t="str">
        <f>HYPERLINK("http://141.218.60.56/~jnz1568/getInfo.php?workbook=18_08.xlsx&amp;sheet=U0&amp;row=2097&amp;col=7&amp;number=0.00185&amp;sourceID=14","0.00185")</f>
        <v>0.00185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HYPERLINK("http://141.218.60.56/~jnz1568/getInfo.php?workbook=18_08.xlsx&amp;sheet=U0&amp;row=2098&amp;col=6&amp;number=4.4&amp;sourceID=14","4.4")</f>
        <v>4.4</v>
      </c>
      <c r="G2098" s="4" t="str">
        <f>HYPERLINK("http://141.218.60.56/~jnz1568/getInfo.php?workbook=18_08.xlsx&amp;sheet=U0&amp;row=2098&amp;col=7&amp;number=0.00185&amp;sourceID=14","0.00185")</f>
        <v>0.00185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HYPERLINK("http://141.218.60.56/~jnz1568/getInfo.php?workbook=18_08.xlsx&amp;sheet=U0&amp;row=2099&amp;col=6&amp;number=4.5&amp;sourceID=14","4.5")</f>
        <v>4.5</v>
      </c>
      <c r="G2099" s="4" t="str">
        <f>HYPERLINK("http://141.218.60.56/~jnz1568/getInfo.php?workbook=18_08.xlsx&amp;sheet=U0&amp;row=2099&amp;col=7&amp;number=0.00185&amp;sourceID=14","0.00185")</f>
        <v>0.00185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HYPERLINK("http://141.218.60.56/~jnz1568/getInfo.php?workbook=18_08.xlsx&amp;sheet=U0&amp;row=2100&amp;col=6&amp;number=4.6&amp;sourceID=14","4.6")</f>
        <v>4.6</v>
      </c>
      <c r="G2100" s="4" t="str">
        <f>HYPERLINK("http://141.218.60.56/~jnz1568/getInfo.php?workbook=18_08.xlsx&amp;sheet=U0&amp;row=2100&amp;col=7&amp;number=0.00185&amp;sourceID=14","0.00185")</f>
        <v>0.00185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HYPERLINK("http://141.218.60.56/~jnz1568/getInfo.php?workbook=18_08.xlsx&amp;sheet=U0&amp;row=2101&amp;col=6&amp;number=4.7&amp;sourceID=14","4.7")</f>
        <v>4.7</v>
      </c>
      <c r="G2101" s="4" t="str">
        <f>HYPERLINK("http://141.218.60.56/~jnz1568/getInfo.php?workbook=18_08.xlsx&amp;sheet=U0&amp;row=2101&amp;col=7&amp;number=0.00184&amp;sourceID=14","0.00184")</f>
        <v>0.00184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HYPERLINK("http://141.218.60.56/~jnz1568/getInfo.php?workbook=18_08.xlsx&amp;sheet=U0&amp;row=2102&amp;col=6&amp;number=4.8&amp;sourceID=14","4.8")</f>
        <v>4.8</v>
      </c>
      <c r="G2102" s="4" t="str">
        <f>HYPERLINK("http://141.218.60.56/~jnz1568/getInfo.php?workbook=18_08.xlsx&amp;sheet=U0&amp;row=2102&amp;col=7&amp;number=0.00184&amp;sourceID=14","0.00184")</f>
        <v>0.00184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HYPERLINK("http://141.218.60.56/~jnz1568/getInfo.php?workbook=18_08.xlsx&amp;sheet=U0&amp;row=2103&amp;col=6&amp;number=4.9&amp;sourceID=14","4.9")</f>
        <v>4.9</v>
      </c>
      <c r="G2103" s="4" t="str">
        <f>HYPERLINK("http://141.218.60.56/~jnz1568/getInfo.php?workbook=18_08.xlsx&amp;sheet=U0&amp;row=2103&amp;col=7&amp;number=0.00184&amp;sourceID=14","0.00184")</f>
        <v>0.00184</v>
      </c>
    </row>
    <row r="2104" spans="1:7">
      <c r="A2104" s="3">
        <v>18</v>
      </c>
      <c r="B2104" s="3">
        <v>8</v>
      </c>
      <c r="C2104" s="3" t="s">
        <v>55</v>
      </c>
      <c r="D2104" s="3">
        <v>3</v>
      </c>
      <c r="E2104" s="3">
        <v>1</v>
      </c>
      <c r="F2104" s="4" t="str">
        <f>HYPERLINK("http://141.218.60.56/~jnz1568/getInfo.php?workbook=18_08.xlsx&amp;sheet=U0&amp;row=2104&amp;col=6&amp;number=3&amp;sourceID=14","3")</f>
        <v>3</v>
      </c>
      <c r="G2104" s="4" t="str">
        <f>HYPERLINK("http://141.218.60.56/~jnz1568/getInfo.php?workbook=18_08.xlsx&amp;sheet=U0&amp;row=2104&amp;col=7&amp;number=0.000838&amp;sourceID=14","0.000838")</f>
        <v>0.000838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HYPERLINK("http://141.218.60.56/~jnz1568/getInfo.php?workbook=18_08.xlsx&amp;sheet=U0&amp;row=2105&amp;col=6&amp;number=3.1&amp;sourceID=14","3.1")</f>
        <v>3.1</v>
      </c>
      <c r="G2105" s="4" t="str">
        <f>HYPERLINK("http://141.218.60.56/~jnz1568/getInfo.php?workbook=18_08.xlsx&amp;sheet=U0&amp;row=2105&amp;col=7&amp;number=0.000838&amp;sourceID=14","0.000838")</f>
        <v>0.000838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HYPERLINK("http://141.218.60.56/~jnz1568/getInfo.php?workbook=18_08.xlsx&amp;sheet=U0&amp;row=2106&amp;col=6&amp;number=3.2&amp;sourceID=14","3.2")</f>
        <v>3.2</v>
      </c>
      <c r="G2106" s="4" t="str">
        <f>HYPERLINK("http://141.218.60.56/~jnz1568/getInfo.php?workbook=18_08.xlsx&amp;sheet=U0&amp;row=2106&amp;col=7&amp;number=0.000838&amp;sourceID=14","0.000838")</f>
        <v>0.000838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HYPERLINK("http://141.218.60.56/~jnz1568/getInfo.php?workbook=18_08.xlsx&amp;sheet=U0&amp;row=2107&amp;col=6&amp;number=3.3&amp;sourceID=14","3.3")</f>
        <v>3.3</v>
      </c>
      <c r="G2107" s="4" t="str">
        <f>HYPERLINK("http://141.218.60.56/~jnz1568/getInfo.php?workbook=18_08.xlsx&amp;sheet=U0&amp;row=2107&amp;col=7&amp;number=0.000839&amp;sourceID=14","0.000839")</f>
        <v>0.000839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HYPERLINK("http://141.218.60.56/~jnz1568/getInfo.php?workbook=18_08.xlsx&amp;sheet=U0&amp;row=2108&amp;col=6&amp;number=3.4&amp;sourceID=14","3.4")</f>
        <v>3.4</v>
      </c>
      <c r="G2108" s="4" t="str">
        <f>HYPERLINK("http://141.218.60.56/~jnz1568/getInfo.php?workbook=18_08.xlsx&amp;sheet=U0&amp;row=2108&amp;col=7&amp;number=0.000839&amp;sourceID=14","0.000839")</f>
        <v>0.000839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HYPERLINK("http://141.218.60.56/~jnz1568/getInfo.php?workbook=18_08.xlsx&amp;sheet=U0&amp;row=2109&amp;col=6&amp;number=3.5&amp;sourceID=14","3.5")</f>
        <v>3.5</v>
      </c>
      <c r="G2109" s="4" t="str">
        <f>HYPERLINK("http://141.218.60.56/~jnz1568/getInfo.php?workbook=18_08.xlsx&amp;sheet=U0&amp;row=2109&amp;col=7&amp;number=0.000839&amp;sourceID=14","0.000839")</f>
        <v>0.000839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HYPERLINK("http://141.218.60.56/~jnz1568/getInfo.php?workbook=18_08.xlsx&amp;sheet=U0&amp;row=2110&amp;col=6&amp;number=3.6&amp;sourceID=14","3.6")</f>
        <v>3.6</v>
      </c>
      <c r="G2110" s="4" t="str">
        <f>HYPERLINK("http://141.218.60.56/~jnz1568/getInfo.php?workbook=18_08.xlsx&amp;sheet=U0&amp;row=2110&amp;col=7&amp;number=0.00084&amp;sourceID=14","0.00084")</f>
        <v>0.00084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HYPERLINK("http://141.218.60.56/~jnz1568/getInfo.php?workbook=18_08.xlsx&amp;sheet=U0&amp;row=2111&amp;col=6&amp;number=3.7&amp;sourceID=14","3.7")</f>
        <v>3.7</v>
      </c>
      <c r="G2111" s="4" t="str">
        <f>HYPERLINK("http://141.218.60.56/~jnz1568/getInfo.php?workbook=18_08.xlsx&amp;sheet=U0&amp;row=2111&amp;col=7&amp;number=0.00084&amp;sourceID=14","0.00084")</f>
        <v>0.00084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HYPERLINK("http://141.218.60.56/~jnz1568/getInfo.php?workbook=18_08.xlsx&amp;sheet=U0&amp;row=2112&amp;col=6&amp;number=3.8&amp;sourceID=14","3.8")</f>
        <v>3.8</v>
      </c>
      <c r="G2112" s="4" t="str">
        <f>HYPERLINK("http://141.218.60.56/~jnz1568/getInfo.php?workbook=18_08.xlsx&amp;sheet=U0&amp;row=2112&amp;col=7&amp;number=0.000841&amp;sourceID=14","0.000841")</f>
        <v>0.000841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HYPERLINK("http://141.218.60.56/~jnz1568/getInfo.php?workbook=18_08.xlsx&amp;sheet=U0&amp;row=2113&amp;col=6&amp;number=3.9&amp;sourceID=14","3.9")</f>
        <v>3.9</v>
      </c>
      <c r="G2113" s="4" t="str">
        <f>HYPERLINK("http://141.218.60.56/~jnz1568/getInfo.php?workbook=18_08.xlsx&amp;sheet=U0&amp;row=2113&amp;col=7&amp;number=0.000842&amp;sourceID=14","0.000842")</f>
        <v>0.000842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HYPERLINK("http://141.218.60.56/~jnz1568/getInfo.php?workbook=18_08.xlsx&amp;sheet=U0&amp;row=2114&amp;col=6&amp;number=4&amp;sourceID=14","4")</f>
        <v>4</v>
      </c>
      <c r="G2114" s="4" t="str">
        <f>HYPERLINK("http://141.218.60.56/~jnz1568/getInfo.php?workbook=18_08.xlsx&amp;sheet=U0&amp;row=2114&amp;col=7&amp;number=0.000843&amp;sourceID=14","0.000843")</f>
        <v>0.000843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HYPERLINK("http://141.218.60.56/~jnz1568/getInfo.php?workbook=18_08.xlsx&amp;sheet=U0&amp;row=2115&amp;col=6&amp;number=4.1&amp;sourceID=14","4.1")</f>
        <v>4.1</v>
      </c>
      <c r="G2115" s="4" t="str">
        <f>HYPERLINK("http://141.218.60.56/~jnz1568/getInfo.php?workbook=18_08.xlsx&amp;sheet=U0&amp;row=2115&amp;col=7&amp;number=0.000845&amp;sourceID=14","0.000845")</f>
        <v>0.000845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HYPERLINK("http://141.218.60.56/~jnz1568/getInfo.php?workbook=18_08.xlsx&amp;sheet=U0&amp;row=2116&amp;col=6&amp;number=4.2&amp;sourceID=14","4.2")</f>
        <v>4.2</v>
      </c>
      <c r="G2116" s="4" t="str">
        <f>HYPERLINK("http://141.218.60.56/~jnz1568/getInfo.php?workbook=18_08.xlsx&amp;sheet=U0&amp;row=2116&amp;col=7&amp;number=0.000846&amp;sourceID=14","0.000846")</f>
        <v>0.000846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HYPERLINK("http://141.218.60.56/~jnz1568/getInfo.php?workbook=18_08.xlsx&amp;sheet=U0&amp;row=2117&amp;col=6&amp;number=4.3&amp;sourceID=14","4.3")</f>
        <v>4.3</v>
      </c>
      <c r="G2117" s="4" t="str">
        <f>HYPERLINK("http://141.218.60.56/~jnz1568/getInfo.php?workbook=18_08.xlsx&amp;sheet=U0&amp;row=2117&amp;col=7&amp;number=0.000849&amp;sourceID=14","0.000849")</f>
        <v>0.000849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HYPERLINK("http://141.218.60.56/~jnz1568/getInfo.php?workbook=18_08.xlsx&amp;sheet=U0&amp;row=2118&amp;col=6&amp;number=4.4&amp;sourceID=14","4.4")</f>
        <v>4.4</v>
      </c>
      <c r="G2118" s="4" t="str">
        <f>HYPERLINK("http://141.218.60.56/~jnz1568/getInfo.php?workbook=18_08.xlsx&amp;sheet=U0&amp;row=2118&amp;col=7&amp;number=0.000852&amp;sourceID=14","0.000852")</f>
        <v>0.000852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HYPERLINK("http://141.218.60.56/~jnz1568/getInfo.php?workbook=18_08.xlsx&amp;sheet=U0&amp;row=2119&amp;col=6&amp;number=4.5&amp;sourceID=14","4.5")</f>
        <v>4.5</v>
      </c>
      <c r="G2119" s="4" t="str">
        <f>HYPERLINK("http://141.218.60.56/~jnz1568/getInfo.php?workbook=18_08.xlsx&amp;sheet=U0&amp;row=2119&amp;col=7&amp;number=0.000855&amp;sourceID=14","0.000855")</f>
        <v>0.000855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HYPERLINK("http://141.218.60.56/~jnz1568/getInfo.php?workbook=18_08.xlsx&amp;sheet=U0&amp;row=2120&amp;col=6&amp;number=4.6&amp;sourceID=14","4.6")</f>
        <v>4.6</v>
      </c>
      <c r="G2120" s="4" t="str">
        <f>HYPERLINK("http://141.218.60.56/~jnz1568/getInfo.php?workbook=18_08.xlsx&amp;sheet=U0&amp;row=2120&amp;col=7&amp;number=0.00086&amp;sourceID=14","0.00086")</f>
        <v>0.00086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HYPERLINK("http://141.218.60.56/~jnz1568/getInfo.php?workbook=18_08.xlsx&amp;sheet=U0&amp;row=2121&amp;col=6&amp;number=4.7&amp;sourceID=14","4.7")</f>
        <v>4.7</v>
      </c>
      <c r="G2121" s="4" t="str">
        <f>HYPERLINK("http://141.218.60.56/~jnz1568/getInfo.php?workbook=18_08.xlsx&amp;sheet=U0&amp;row=2121&amp;col=7&amp;number=0.000865&amp;sourceID=14","0.000865")</f>
        <v>0.000865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HYPERLINK("http://141.218.60.56/~jnz1568/getInfo.php?workbook=18_08.xlsx&amp;sheet=U0&amp;row=2122&amp;col=6&amp;number=4.8&amp;sourceID=14","4.8")</f>
        <v>4.8</v>
      </c>
      <c r="G2122" s="4" t="str">
        <f>HYPERLINK("http://141.218.60.56/~jnz1568/getInfo.php?workbook=18_08.xlsx&amp;sheet=U0&amp;row=2122&amp;col=7&amp;number=0.000873&amp;sourceID=14","0.000873")</f>
        <v>0.000873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HYPERLINK("http://141.218.60.56/~jnz1568/getInfo.php?workbook=18_08.xlsx&amp;sheet=U0&amp;row=2123&amp;col=6&amp;number=4.9&amp;sourceID=14","4.9")</f>
        <v>4.9</v>
      </c>
      <c r="G2123" s="4" t="str">
        <f>HYPERLINK("http://141.218.60.56/~jnz1568/getInfo.php?workbook=18_08.xlsx&amp;sheet=U0&amp;row=2123&amp;col=7&amp;number=0.000882&amp;sourceID=14","0.000882")</f>
        <v>0.000882</v>
      </c>
    </row>
    <row r="2124" spans="1:7">
      <c r="A2124" s="3">
        <v>18</v>
      </c>
      <c r="B2124" s="3">
        <v>8</v>
      </c>
      <c r="C2124" s="3" t="s">
        <v>55</v>
      </c>
      <c r="D2124" s="3">
        <v>4</v>
      </c>
      <c r="E2124" s="3">
        <v>1</v>
      </c>
      <c r="F2124" s="4" t="str">
        <f>HYPERLINK("http://141.218.60.56/~jnz1568/getInfo.php?workbook=18_08.xlsx&amp;sheet=U0&amp;row=2124&amp;col=6&amp;number=3&amp;sourceID=14","3")</f>
        <v>3</v>
      </c>
      <c r="G2124" s="4" t="str">
        <f>HYPERLINK("http://141.218.60.56/~jnz1568/getInfo.php?workbook=18_08.xlsx&amp;sheet=U0&amp;row=2124&amp;col=7&amp;number=0.00191&amp;sourceID=14","0.00191")</f>
        <v>0.00191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HYPERLINK("http://141.218.60.56/~jnz1568/getInfo.php?workbook=18_08.xlsx&amp;sheet=U0&amp;row=2125&amp;col=6&amp;number=3.1&amp;sourceID=14","3.1")</f>
        <v>3.1</v>
      </c>
      <c r="G2125" s="4" t="str">
        <f>HYPERLINK("http://141.218.60.56/~jnz1568/getInfo.php?workbook=18_08.xlsx&amp;sheet=U0&amp;row=2125&amp;col=7&amp;number=0.00191&amp;sourceID=14","0.00191")</f>
        <v>0.00191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HYPERLINK("http://141.218.60.56/~jnz1568/getInfo.php?workbook=18_08.xlsx&amp;sheet=U0&amp;row=2126&amp;col=6&amp;number=3.2&amp;sourceID=14","3.2")</f>
        <v>3.2</v>
      </c>
      <c r="G2126" s="4" t="str">
        <f>HYPERLINK("http://141.218.60.56/~jnz1568/getInfo.php?workbook=18_08.xlsx&amp;sheet=U0&amp;row=2126&amp;col=7&amp;number=0.00191&amp;sourceID=14","0.00191")</f>
        <v>0.00191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HYPERLINK("http://141.218.60.56/~jnz1568/getInfo.php?workbook=18_08.xlsx&amp;sheet=U0&amp;row=2127&amp;col=6&amp;number=3.3&amp;sourceID=14","3.3")</f>
        <v>3.3</v>
      </c>
      <c r="G2127" s="4" t="str">
        <f>HYPERLINK("http://141.218.60.56/~jnz1568/getInfo.php?workbook=18_08.xlsx&amp;sheet=U0&amp;row=2127&amp;col=7&amp;number=0.00191&amp;sourceID=14","0.00191")</f>
        <v>0.00191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HYPERLINK("http://141.218.60.56/~jnz1568/getInfo.php?workbook=18_08.xlsx&amp;sheet=U0&amp;row=2128&amp;col=6&amp;number=3.4&amp;sourceID=14","3.4")</f>
        <v>3.4</v>
      </c>
      <c r="G2128" s="4" t="str">
        <f>HYPERLINK("http://141.218.60.56/~jnz1568/getInfo.php?workbook=18_08.xlsx&amp;sheet=U0&amp;row=2128&amp;col=7&amp;number=0.00191&amp;sourceID=14","0.00191")</f>
        <v>0.00191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HYPERLINK("http://141.218.60.56/~jnz1568/getInfo.php?workbook=18_08.xlsx&amp;sheet=U0&amp;row=2129&amp;col=6&amp;number=3.5&amp;sourceID=14","3.5")</f>
        <v>3.5</v>
      </c>
      <c r="G2129" s="4" t="str">
        <f>HYPERLINK("http://141.218.60.56/~jnz1568/getInfo.php?workbook=18_08.xlsx&amp;sheet=U0&amp;row=2129&amp;col=7&amp;number=0.00191&amp;sourceID=14","0.00191")</f>
        <v>0.00191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HYPERLINK("http://141.218.60.56/~jnz1568/getInfo.php?workbook=18_08.xlsx&amp;sheet=U0&amp;row=2130&amp;col=6&amp;number=3.6&amp;sourceID=14","3.6")</f>
        <v>3.6</v>
      </c>
      <c r="G2130" s="4" t="str">
        <f>HYPERLINK("http://141.218.60.56/~jnz1568/getInfo.php?workbook=18_08.xlsx&amp;sheet=U0&amp;row=2130&amp;col=7&amp;number=0.00191&amp;sourceID=14","0.00191")</f>
        <v>0.00191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HYPERLINK("http://141.218.60.56/~jnz1568/getInfo.php?workbook=18_08.xlsx&amp;sheet=U0&amp;row=2131&amp;col=6&amp;number=3.7&amp;sourceID=14","3.7")</f>
        <v>3.7</v>
      </c>
      <c r="G2131" s="4" t="str">
        <f>HYPERLINK("http://141.218.60.56/~jnz1568/getInfo.php?workbook=18_08.xlsx&amp;sheet=U0&amp;row=2131&amp;col=7&amp;number=0.00191&amp;sourceID=14","0.00191")</f>
        <v>0.00191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HYPERLINK("http://141.218.60.56/~jnz1568/getInfo.php?workbook=18_08.xlsx&amp;sheet=U0&amp;row=2132&amp;col=6&amp;number=3.8&amp;sourceID=14","3.8")</f>
        <v>3.8</v>
      </c>
      <c r="G2132" s="4" t="str">
        <f>HYPERLINK("http://141.218.60.56/~jnz1568/getInfo.php?workbook=18_08.xlsx&amp;sheet=U0&amp;row=2132&amp;col=7&amp;number=0.00191&amp;sourceID=14","0.00191")</f>
        <v>0.00191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HYPERLINK("http://141.218.60.56/~jnz1568/getInfo.php?workbook=18_08.xlsx&amp;sheet=U0&amp;row=2133&amp;col=6&amp;number=3.9&amp;sourceID=14","3.9")</f>
        <v>3.9</v>
      </c>
      <c r="G2133" s="4" t="str">
        <f>HYPERLINK("http://141.218.60.56/~jnz1568/getInfo.php?workbook=18_08.xlsx&amp;sheet=U0&amp;row=2133&amp;col=7&amp;number=0.00191&amp;sourceID=14","0.00191")</f>
        <v>0.00191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HYPERLINK("http://141.218.60.56/~jnz1568/getInfo.php?workbook=18_08.xlsx&amp;sheet=U0&amp;row=2134&amp;col=6&amp;number=4&amp;sourceID=14","4")</f>
        <v>4</v>
      </c>
      <c r="G2134" s="4" t="str">
        <f>HYPERLINK("http://141.218.60.56/~jnz1568/getInfo.php?workbook=18_08.xlsx&amp;sheet=U0&amp;row=2134&amp;col=7&amp;number=0.00191&amp;sourceID=14","0.00191")</f>
        <v>0.00191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HYPERLINK("http://141.218.60.56/~jnz1568/getInfo.php?workbook=18_08.xlsx&amp;sheet=U0&amp;row=2135&amp;col=6&amp;number=4.1&amp;sourceID=14","4.1")</f>
        <v>4.1</v>
      </c>
      <c r="G2135" s="4" t="str">
        <f>HYPERLINK("http://141.218.60.56/~jnz1568/getInfo.php?workbook=18_08.xlsx&amp;sheet=U0&amp;row=2135&amp;col=7&amp;number=0.00191&amp;sourceID=14","0.00191")</f>
        <v>0.00191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HYPERLINK("http://141.218.60.56/~jnz1568/getInfo.php?workbook=18_08.xlsx&amp;sheet=U0&amp;row=2136&amp;col=6&amp;number=4.2&amp;sourceID=14","4.2")</f>
        <v>4.2</v>
      </c>
      <c r="G2136" s="4" t="str">
        <f>HYPERLINK("http://141.218.60.56/~jnz1568/getInfo.php?workbook=18_08.xlsx&amp;sheet=U0&amp;row=2136&amp;col=7&amp;number=0.00191&amp;sourceID=14","0.00191")</f>
        <v>0.00191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HYPERLINK("http://141.218.60.56/~jnz1568/getInfo.php?workbook=18_08.xlsx&amp;sheet=U0&amp;row=2137&amp;col=6&amp;number=4.3&amp;sourceID=14","4.3")</f>
        <v>4.3</v>
      </c>
      <c r="G2137" s="4" t="str">
        <f>HYPERLINK("http://141.218.60.56/~jnz1568/getInfo.php?workbook=18_08.xlsx&amp;sheet=U0&amp;row=2137&amp;col=7&amp;number=0.00191&amp;sourceID=14","0.00191")</f>
        <v>0.00191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HYPERLINK("http://141.218.60.56/~jnz1568/getInfo.php?workbook=18_08.xlsx&amp;sheet=U0&amp;row=2138&amp;col=6&amp;number=4.4&amp;sourceID=14","4.4")</f>
        <v>4.4</v>
      </c>
      <c r="G2138" s="4" t="str">
        <f>HYPERLINK("http://141.218.60.56/~jnz1568/getInfo.php?workbook=18_08.xlsx&amp;sheet=U0&amp;row=2138&amp;col=7&amp;number=0.00191&amp;sourceID=14","0.00191")</f>
        <v>0.00191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HYPERLINK("http://141.218.60.56/~jnz1568/getInfo.php?workbook=18_08.xlsx&amp;sheet=U0&amp;row=2139&amp;col=6&amp;number=4.5&amp;sourceID=14","4.5")</f>
        <v>4.5</v>
      </c>
      <c r="G2139" s="4" t="str">
        <f>HYPERLINK("http://141.218.60.56/~jnz1568/getInfo.php?workbook=18_08.xlsx&amp;sheet=U0&amp;row=2139&amp;col=7&amp;number=0.00191&amp;sourceID=14","0.00191")</f>
        <v>0.00191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HYPERLINK("http://141.218.60.56/~jnz1568/getInfo.php?workbook=18_08.xlsx&amp;sheet=U0&amp;row=2140&amp;col=6&amp;number=4.6&amp;sourceID=14","4.6")</f>
        <v>4.6</v>
      </c>
      <c r="G2140" s="4" t="str">
        <f>HYPERLINK("http://141.218.60.56/~jnz1568/getInfo.php?workbook=18_08.xlsx&amp;sheet=U0&amp;row=2140&amp;col=7&amp;number=0.00191&amp;sourceID=14","0.00191")</f>
        <v>0.00191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HYPERLINK("http://141.218.60.56/~jnz1568/getInfo.php?workbook=18_08.xlsx&amp;sheet=U0&amp;row=2141&amp;col=6&amp;number=4.7&amp;sourceID=14","4.7")</f>
        <v>4.7</v>
      </c>
      <c r="G2141" s="4" t="str">
        <f>HYPERLINK("http://141.218.60.56/~jnz1568/getInfo.php?workbook=18_08.xlsx&amp;sheet=U0&amp;row=2141&amp;col=7&amp;number=0.00192&amp;sourceID=14","0.00192")</f>
        <v>0.00192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HYPERLINK("http://141.218.60.56/~jnz1568/getInfo.php?workbook=18_08.xlsx&amp;sheet=U0&amp;row=2142&amp;col=6&amp;number=4.8&amp;sourceID=14","4.8")</f>
        <v>4.8</v>
      </c>
      <c r="G2142" s="4" t="str">
        <f>HYPERLINK("http://141.218.60.56/~jnz1568/getInfo.php?workbook=18_08.xlsx&amp;sheet=U0&amp;row=2142&amp;col=7&amp;number=0.00192&amp;sourceID=14","0.00192")</f>
        <v>0.00192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HYPERLINK("http://141.218.60.56/~jnz1568/getInfo.php?workbook=18_08.xlsx&amp;sheet=U0&amp;row=2143&amp;col=6&amp;number=4.9&amp;sourceID=14","4.9")</f>
        <v>4.9</v>
      </c>
      <c r="G2143" s="4" t="str">
        <f>HYPERLINK("http://141.218.60.56/~jnz1568/getInfo.php?workbook=18_08.xlsx&amp;sheet=U0&amp;row=2143&amp;col=7&amp;number=0.00192&amp;sourceID=14","0.00192")</f>
        <v>0.00192</v>
      </c>
    </row>
    <row r="2144" spans="1:7">
      <c r="A2144" s="3">
        <v>18</v>
      </c>
      <c r="B2144" s="3">
        <v>8</v>
      </c>
      <c r="C2144" s="3" t="s">
        <v>55</v>
      </c>
      <c r="D2144" s="3">
        <v>5</v>
      </c>
      <c r="E2144" s="3">
        <v>1</v>
      </c>
      <c r="F2144" s="4" t="str">
        <f>HYPERLINK("http://141.218.60.56/~jnz1568/getInfo.php?workbook=18_08.xlsx&amp;sheet=U0&amp;row=2144&amp;col=6&amp;number=3&amp;sourceID=14","3")</f>
        <v>3</v>
      </c>
      <c r="G2144" s="4" t="str">
        <f>HYPERLINK("http://141.218.60.56/~jnz1568/getInfo.php?workbook=18_08.xlsx&amp;sheet=U0&amp;row=2144&amp;col=7&amp;number=0.00289&amp;sourceID=14","0.00289")</f>
        <v>0.00289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HYPERLINK("http://141.218.60.56/~jnz1568/getInfo.php?workbook=18_08.xlsx&amp;sheet=U0&amp;row=2145&amp;col=6&amp;number=3.1&amp;sourceID=14","3.1")</f>
        <v>3.1</v>
      </c>
      <c r="G2145" s="4" t="str">
        <f>HYPERLINK("http://141.218.60.56/~jnz1568/getInfo.php?workbook=18_08.xlsx&amp;sheet=U0&amp;row=2145&amp;col=7&amp;number=0.00289&amp;sourceID=14","0.00289")</f>
        <v>0.00289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HYPERLINK("http://141.218.60.56/~jnz1568/getInfo.php?workbook=18_08.xlsx&amp;sheet=U0&amp;row=2146&amp;col=6&amp;number=3.2&amp;sourceID=14","3.2")</f>
        <v>3.2</v>
      </c>
      <c r="G2146" s="4" t="str">
        <f>HYPERLINK("http://141.218.60.56/~jnz1568/getInfo.php?workbook=18_08.xlsx&amp;sheet=U0&amp;row=2146&amp;col=7&amp;number=0.00289&amp;sourceID=14","0.00289")</f>
        <v>0.00289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HYPERLINK("http://141.218.60.56/~jnz1568/getInfo.php?workbook=18_08.xlsx&amp;sheet=U0&amp;row=2147&amp;col=6&amp;number=3.3&amp;sourceID=14","3.3")</f>
        <v>3.3</v>
      </c>
      <c r="G2147" s="4" t="str">
        <f>HYPERLINK("http://141.218.60.56/~jnz1568/getInfo.php?workbook=18_08.xlsx&amp;sheet=U0&amp;row=2147&amp;col=7&amp;number=0.00289&amp;sourceID=14","0.00289")</f>
        <v>0.00289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HYPERLINK("http://141.218.60.56/~jnz1568/getInfo.php?workbook=18_08.xlsx&amp;sheet=U0&amp;row=2148&amp;col=6&amp;number=3.4&amp;sourceID=14","3.4")</f>
        <v>3.4</v>
      </c>
      <c r="G2148" s="4" t="str">
        <f>HYPERLINK("http://141.218.60.56/~jnz1568/getInfo.php?workbook=18_08.xlsx&amp;sheet=U0&amp;row=2148&amp;col=7&amp;number=0.00289&amp;sourceID=14","0.00289")</f>
        <v>0.00289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HYPERLINK("http://141.218.60.56/~jnz1568/getInfo.php?workbook=18_08.xlsx&amp;sheet=U0&amp;row=2149&amp;col=6&amp;number=3.5&amp;sourceID=14","3.5")</f>
        <v>3.5</v>
      </c>
      <c r="G2149" s="4" t="str">
        <f>HYPERLINK("http://141.218.60.56/~jnz1568/getInfo.php?workbook=18_08.xlsx&amp;sheet=U0&amp;row=2149&amp;col=7&amp;number=0.00289&amp;sourceID=14","0.00289")</f>
        <v>0.00289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HYPERLINK("http://141.218.60.56/~jnz1568/getInfo.php?workbook=18_08.xlsx&amp;sheet=U0&amp;row=2150&amp;col=6&amp;number=3.6&amp;sourceID=14","3.6")</f>
        <v>3.6</v>
      </c>
      <c r="G2150" s="4" t="str">
        <f>HYPERLINK("http://141.218.60.56/~jnz1568/getInfo.php?workbook=18_08.xlsx&amp;sheet=U0&amp;row=2150&amp;col=7&amp;number=0.00289&amp;sourceID=14","0.00289")</f>
        <v>0.00289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HYPERLINK("http://141.218.60.56/~jnz1568/getInfo.php?workbook=18_08.xlsx&amp;sheet=U0&amp;row=2151&amp;col=6&amp;number=3.7&amp;sourceID=14","3.7")</f>
        <v>3.7</v>
      </c>
      <c r="G2151" s="4" t="str">
        <f>HYPERLINK("http://141.218.60.56/~jnz1568/getInfo.php?workbook=18_08.xlsx&amp;sheet=U0&amp;row=2151&amp;col=7&amp;number=0.00289&amp;sourceID=14","0.00289")</f>
        <v>0.00289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HYPERLINK("http://141.218.60.56/~jnz1568/getInfo.php?workbook=18_08.xlsx&amp;sheet=U0&amp;row=2152&amp;col=6&amp;number=3.8&amp;sourceID=14","3.8")</f>
        <v>3.8</v>
      </c>
      <c r="G2152" s="4" t="str">
        <f>HYPERLINK("http://141.218.60.56/~jnz1568/getInfo.php?workbook=18_08.xlsx&amp;sheet=U0&amp;row=2152&amp;col=7&amp;number=0.00289&amp;sourceID=14","0.00289")</f>
        <v>0.00289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HYPERLINK("http://141.218.60.56/~jnz1568/getInfo.php?workbook=18_08.xlsx&amp;sheet=U0&amp;row=2153&amp;col=6&amp;number=3.9&amp;sourceID=14","3.9")</f>
        <v>3.9</v>
      </c>
      <c r="G2153" s="4" t="str">
        <f>HYPERLINK("http://141.218.60.56/~jnz1568/getInfo.php?workbook=18_08.xlsx&amp;sheet=U0&amp;row=2153&amp;col=7&amp;number=0.00289&amp;sourceID=14","0.00289")</f>
        <v>0.00289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HYPERLINK("http://141.218.60.56/~jnz1568/getInfo.php?workbook=18_08.xlsx&amp;sheet=U0&amp;row=2154&amp;col=6&amp;number=4&amp;sourceID=14","4")</f>
        <v>4</v>
      </c>
      <c r="G2154" s="4" t="str">
        <f>HYPERLINK("http://141.218.60.56/~jnz1568/getInfo.php?workbook=18_08.xlsx&amp;sheet=U0&amp;row=2154&amp;col=7&amp;number=0.00289&amp;sourceID=14","0.00289")</f>
        <v>0.00289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HYPERLINK("http://141.218.60.56/~jnz1568/getInfo.php?workbook=18_08.xlsx&amp;sheet=U0&amp;row=2155&amp;col=6&amp;number=4.1&amp;sourceID=14","4.1")</f>
        <v>4.1</v>
      </c>
      <c r="G2155" s="4" t="str">
        <f>HYPERLINK("http://141.218.60.56/~jnz1568/getInfo.php?workbook=18_08.xlsx&amp;sheet=U0&amp;row=2155&amp;col=7&amp;number=0.0029&amp;sourceID=14","0.0029")</f>
        <v>0.0029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HYPERLINK("http://141.218.60.56/~jnz1568/getInfo.php?workbook=18_08.xlsx&amp;sheet=U0&amp;row=2156&amp;col=6&amp;number=4.2&amp;sourceID=14","4.2")</f>
        <v>4.2</v>
      </c>
      <c r="G2156" s="4" t="str">
        <f>HYPERLINK("http://141.218.60.56/~jnz1568/getInfo.php?workbook=18_08.xlsx&amp;sheet=U0&amp;row=2156&amp;col=7&amp;number=0.0029&amp;sourceID=14","0.0029")</f>
        <v>0.0029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HYPERLINK("http://141.218.60.56/~jnz1568/getInfo.php?workbook=18_08.xlsx&amp;sheet=U0&amp;row=2157&amp;col=6&amp;number=4.3&amp;sourceID=14","4.3")</f>
        <v>4.3</v>
      </c>
      <c r="G2157" s="4" t="str">
        <f>HYPERLINK("http://141.218.60.56/~jnz1568/getInfo.php?workbook=18_08.xlsx&amp;sheet=U0&amp;row=2157&amp;col=7&amp;number=0.0029&amp;sourceID=14","0.0029")</f>
        <v>0.0029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HYPERLINK("http://141.218.60.56/~jnz1568/getInfo.php?workbook=18_08.xlsx&amp;sheet=U0&amp;row=2158&amp;col=6&amp;number=4.4&amp;sourceID=14","4.4")</f>
        <v>4.4</v>
      </c>
      <c r="G2158" s="4" t="str">
        <f>HYPERLINK("http://141.218.60.56/~jnz1568/getInfo.php?workbook=18_08.xlsx&amp;sheet=U0&amp;row=2158&amp;col=7&amp;number=0.00291&amp;sourceID=14","0.00291")</f>
        <v>0.00291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HYPERLINK("http://141.218.60.56/~jnz1568/getInfo.php?workbook=18_08.xlsx&amp;sheet=U0&amp;row=2159&amp;col=6&amp;number=4.5&amp;sourceID=14","4.5")</f>
        <v>4.5</v>
      </c>
      <c r="G2159" s="4" t="str">
        <f>HYPERLINK("http://141.218.60.56/~jnz1568/getInfo.php?workbook=18_08.xlsx&amp;sheet=U0&amp;row=2159&amp;col=7&amp;number=0.00291&amp;sourceID=14","0.00291")</f>
        <v>0.00291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HYPERLINK("http://141.218.60.56/~jnz1568/getInfo.php?workbook=18_08.xlsx&amp;sheet=U0&amp;row=2160&amp;col=6&amp;number=4.6&amp;sourceID=14","4.6")</f>
        <v>4.6</v>
      </c>
      <c r="G2160" s="4" t="str">
        <f>HYPERLINK("http://141.218.60.56/~jnz1568/getInfo.php?workbook=18_08.xlsx&amp;sheet=U0&amp;row=2160&amp;col=7&amp;number=0.00292&amp;sourceID=14","0.00292")</f>
        <v>0.00292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HYPERLINK("http://141.218.60.56/~jnz1568/getInfo.php?workbook=18_08.xlsx&amp;sheet=U0&amp;row=2161&amp;col=6&amp;number=4.7&amp;sourceID=14","4.7")</f>
        <v>4.7</v>
      </c>
      <c r="G2161" s="4" t="str">
        <f>HYPERLINK("http://141.218.60.56/~jnz1568/getInfo.php?workbook=18_08.xlsx&amp;sheet=U0&amp;row=2161&amp;col=7&amp;number=0.00293&amp;sourceID=14","0.00293")</f>
        <v>0.00293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HYPERLINK("http://141.218.60.56/~jnz1568/getInfo.php?workbook=18_08.xlsx&amp;sheet=U0&amp;row=2162&amp;col=6&amp;number=4.8&amp;sourceID=14","4.8")</f>
        <v>4.8</v>
      </c>
      <c r="G2162" s="4" t="str">
        <f>HYPERLINK("http://141.218.60.56/~jnz1568/getInfo.php?workbook=18_08.xlsx&amp;sheet=U0&amp;row=2162&amp;col=7&amp;number=0.00294&amp;sourceID=14","0.00294")</f>
        <v>0.00294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HYPERLINK("http://141.218.60.56/~jnz1568/getInfo.php?workbook=18_08.xlsx&amp;sheet=U0&amp;row=2163&amp;col=6&amp;number=4.9&amp;sourceID=14","4.9")</f>
        <v>4.9</v>
      </c>
      <c r="G2163" s="4" t="str">
        <f>HYPERLINK("http://141.218.60.56/~jnz1568/getInfo.php?workbook=18_08.xlsx&amp;sheet=U0&amp;row=2163&amp;col=7&amp;number=0.00296&amp;sourceID=14","0.00296")</f>
        <v>0.00296</v>
      </c>
    </row>
    <row r="2164" spans="1:7">
      <c r="A2164" s="3">
        <v>18</v>
      </c>
      <c r="B2164" s="3">
        <v>8</v>
      </c>
      <c r="C2164" s="3" t="s">
        <v>55</v>
      </c>
      <c r="D2164" s="3">
        <v>6</v>
      </c>
      <c r="E2164" s="3">
        <v>1</v>
      </c>
      <c r="F2164" s="4" t="str">
        <f>HYPERLINK("http://141.218.60.56/~jnz1568/getInfo.php?workbook=18_08.xlsx&amp;sheet=U0&amp;row=2164&amp;col=6&amp;number=3&amp;sourceID=14","3")</f>
        <v>3</v>
      </c>
      <c r="G2164" s="4" t="str">
        <f>HYPERLINK("http://141.218.60.56/~jnz1568/getInfo.php?workbook=18_08.xlsx&amp;sheet=U0&amp;row=2164&amp;col=7&amp;number=0.00151&amp;sourceID=14","0.00151")</f>
        <v>0.00151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HYPERLINK("http://141.218.60.56/~jnz1568/getInfo.php?workbook=18_08.xlsx&amp;sheet=U0&amp;row=2165&amp;col=6&amp;number=3.1&amp;sourceID=14","3.1")</f>
        <v>3.1</v>
      </c>
      <c r="G2165" s="4" t="str">
        <f>HYPERLINK("http://141.218.60.56/~jnz1568/getInfo.php?workbook=18_08.xlsx&amp;sheet=U0&amp;row=2165&amp;col=7&amp;number=0.00151&amp;sourceID=14","0.00151")</f>
        <v>0.00151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HYPERLINK("http://141.218.60.56/~jnz1568/getInfo.php?workbook=18_08.xlsx&amp;sheet=U0&amp;row=2166&amp;col=6&amp;number=3.2&amp;sourceID=14","3.2")</f>
        <v>3.2</v>
      </c>
      <c r="G2166" s="4" t="str">
        <f>HYPERLINK("http://141.218.60.56/~jnz1568/getInfo.php?workbook=18_08.xlsx&amp;sheet=U0&amp;row=2166&amp;col=7&amp;number=0.00151&amp;sourceID=14","0.00151")</f>
        <v>0.00151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HYPERLINK("http://141.218.60.56/~jnz1568/getInfo.php?workbook=18_08.xlsx&amp;sheet=U0&amp;row=2167&amp;col=6&amp;number=3.3&amp;sourceID=14","3.3")</f>
        <v>3.3</v>
      </c>
      <c r="G2167" s="4" t="str">
        <f>HYPERLINK("http://141.218.60.56/~jnz1568/getInfo.php?workbook=18_08.xlsx&amp;sheet=U0&amp;row=2167&amp;col=7&amp;number=0.00151&amp;sourceID=14","0.00151")</f>
        <v>0.00151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HYPERLINK("http://141.218.60.56/~jnz1568/getInfo.php?workbook=18_08.xlsx&amp;sheet=U0&amp;row=2168&amp;col=6&amp;number=3.4&amp;sourceID=14","3.4")</f>
        <v>3.4</v>
      </c>
      <c r="G2168" s="4" t="str">
        <f>HYPERLINK("http://141.218.60.56/~jnz1568/getInfo.php?workbook=18_08.xlsx&amp;sheet=U0&amp;row=2168&amp;col=7&amp;number=0.00151&amp;sourceID=14","0.00151")</f>
        <v>0.00151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HYPERLINK("http://141.218.60.56/~jnz1568/getInfo.php?workbook=18_08.xlsx&amp;sheet=U0&amp;row=2169&amp;col=6&amp;number=3.5&amp;sourceID=14","3.5")</f>
        <v>3.5</v>
      </c>
      <c r="G2169" s="4" t="str">
        <f>HYPERLINK("http://141.218.60.56/~jnz1568/getInfo.php?workbook=18_08.xlsx&amp;sheet=U0&amp;row=2169&amp;col=7&amp;number=0.00151&amp;sourceID=14","0.00151")</f>
        <v>0.00151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HYPERLINK("http://141.218.60.56/~jnz1568/getInfo.php?workbook=18_08.xlsx&amp;sheet=U0&amp;row=2170&amp;col=6&amp;number=3.6&amp;sourceID=14","3.6")</f>
        <v>3.6</v>
      </c>
      <c r="G2170" s="4" t="str">
        <f>HYPERLINK("http://141.218.60.56/~jnz1568/getInfo.php?workbook=18_08.xlsx&amp;sheet=U0&amp;row=2170&amp;col=7&amp;number=0.00151&amp;sourceID=14","0.00151")</f>
        <v>0.00151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HYPERLINK("http://141.218.60.56/~jnz1568/getInfo.php?workbook=18_08.xlsx&amp;sheet=U0&amp;row=2171&amp;col=6&amp;number=3.7&amp;sourceID=14","3.7")</f>
        <v>3.7</v>
      </c>
      <c r="G2171" s="4" t="str">
        <f>HYPERLINK("http://141.218.60.56/~jnz1568/getInfo.php?workbook=18_08.xlsx&amp;sheet=U0&amp;row=2171&amp;col=7&amp;number=0.00151&amp;sourceID=14","0.00151")</f>
        <v>0.00151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HYPERLINK("http://141.218.60.56/~jnz1568/getInfo.php?workbook=18_08.xlsx&amp;sheet=U0&amp;row=2172&amp;col=6&amp;number=3.8&amp;sourceID=14","3.8")</f>
        <v>3.8</v>
      </c>
      <c r="G2172" s="4" t="str">
        <f>HYPERLINK("http://141.218.60.56/~jnz1568/getInfo.php?workbook=18_08.xlsx&amp;sheet=U0&amp;row=2172&amp;col=7&amp;number=0.00151&amp;sourceID=14","0.00151")</f>
        <v>0.00151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HYPERLINK("http://141.218.60.56/~jnz1568/getInfo.php?workbook=18_08.xlsx&amp;sheet=U0&amp;row=2173&amp;col=6&amp;number=3.9&amp;sourceID=14","3.9")</f>
        <v>3.9</v>
      </c>
      <c r="G2173" s="4" t="str">
        <f>HYPERLINK("http://141.218.60.56/~jnz1568/getInfo.php?workbook=18_08.xlsx&amp;sheet=U0&amp;row=2173&amp;col=7&amp;number=0.00151&amp;sourceID=14","0.00151")</f>
        <v>0.00151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HYPERLINK("http://141.218.60.56/~jnz1568/getInfo.php?workbook=18_08.xlsx&amp;sheet=U0&amp;row=2174&amp;col=6&amp;number=4&amp;sourceID=14","4")</f>
        <v>4</v>
      </c>
      <c r="G2174" s="4" t="str">
        <f>HYPERLINK("http://141.218.60.56/~jnz1568/getInfo.php?workbook=18_08.xlsx&amp;sheet=U0&amp;row=2174&amp;col=7&amp;number=0.00151&amp;sourceID=14","0.00151")</f>
        <v>0.00151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HYPERLINK("http://141.218.60.56/~jnz1568/getInfo.php?workbook=18_08.xlsx&amp;sheet=U0&amp;row=2175&amp;col=6&amp;number=4.1&amp;sourceID=14","4.1")</f>
        <v>4.1</v>
      </c>
      <c r="G2175" s="4" t="str">
        <f>HYPERLINK("http://141.218.60.56/~jnz1568/getInfo.php?workbook=18_08.xlsx&amp;sheet=U0&amp;row=2175&amp;col=7&amp;number=0.00151&amp;sourceID=14","0.00151")</f>
        <v>0.00151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HYPERLINK("http://141.218.60.56/~jnz1568/getInfo.php?workbook=18_08.xlsx&amp;sheet=U0&amp;row=2176&amp;col=6&amp;number=4.2&amp;sourceID=14","4.2")</f>
        <v>4.2</v>
      </c>
      <c r="G2176" s="4" t="str">
        <f>HYPERLINK("http://141.218.60.56/~jnz1568/getInfo.php?workbook=18_08.xlsx&amp;sheet=U0&amp;row=2176&amp;col=7&amp;number=0.00151&amp;sourceID=14","0.00151")</f>
        <v>0.00151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HYPERLINK("http://141.218.60.56/~jnz1568/getInfo.php?workbook=18_08.xlsx&amp;sheet=U0&amp;row=2177&amp;col=6&amp;number=4.3&amp;sourceID=14","4.3")</f>
        <v>4.3</v>
      </c>
      <c r="G2177" s="4" t="str">
        <f>HYPERLINK("http://141.218.60.56/~jnz1568/getInfo.php?workbook=18_08.xlsx&amp;sheet=U0&amp;row=2177&amp;col=7&amp;number=0.00151&amp;sourceID=14","0.00151")</f>
        <v>0.00151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HYPERLINK("http://141.218.60.56/~jnz1568/getInfo.php?workbook=18_08.xlsx&amp;sheet=U0&amp;row=2178&amp;col=6&amp;number=4.4&amp;sourceID=14","4.4")</f>
        <v>4.4</v>
      </c>
      <c r="G2178" s="4" t="str">
        <f>HYPERLINK("http://141.218.60.56/~jnz1568/getInfo.php?workbook=18_08.xlsx&amp;sheet=U0&amp;row=2178&amp;col=7&amp;number=0.0015&amp;sourceID=14","0.0015")</f>
        <v>0.0015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HYPERLINK("http://141.218.60.56/~jnz1568/getInfo.php?workbook=18_08.xlsx&amp;sheet=U0&amp;row=2179&amp;col=6&amp;number=4.5&amp;sourceID=14","4.5")</f>
        <v>4.5</v>
      </c>
      <c r="G2179" s="4" t="str">
        <f>HYPERLINK("http://141.218.60.56/~jnz1568/getInfo.php?workbook=18_08.xlsx&amp;sheet=U0&amp;row=2179&amp;col=7&amp;number=0.0015&amp;sourceID=14","0.0015")</f>
        <v>0.0015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HYPERLINK("http://141.218.60.56/~jnz1568/getInfo.php?workbook=18_08.xlsx&amp;sheet=U0&amp;row=2180&amp;col=6&amp;number=4.6&amp;sourceID=14","4.6")</f>
        <v>4.6</v>
      </c>
      <c r="G2180" s="4" t="str">
        <f>HYPERLINK("http://141.218.60.56/~jnz1568/getInfo.php?workbook=18_08.xlsx&amp;sheet=U0&amp;row=2180&amp;col=7&amp;number=0.0015&amp;sourceID=14","0.0015")</f>
        <v>0.0015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HYPERLINK("http://141.218.60.56/~jnz1568/getInfo.php?workbook=18_08.xlsx&amp;sheet=U0&amp;row=2181&amp;col=6&amp;number=4.7&amp;sourceID=14","4.7")</f>
        <v>4.7</v>
      </c>
      <c r="G2181" s="4" t="str">
        <f>HYPERLINK("http://141.218.60.56/~jnz1568/getInfo.php?workbook=18_08.xlsx&amp;sheet=U0&amp;row=2181&amp;col=7&amp;number=0.0015&amp;sourceID=14","0.0015")</f>
        <v>0.0015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HYPERLINK("http://141.218.60.56/~jnz1568/getInfo.php?workbook=18_08.xlsx&amp;sheet=U0&amp;row=2182&amp;col=6&amp;number=4.8&amp;sourceID=14","4.8")</f>
        <v>4.8</v>
      </c>
      <c r="G2182" s="4" t="str">
        <f>HYPERLINK("http://141.218.60.56/~jnz1568/getInfo.php?workbook=18_08.xlsx&amp;sheet=U0&amp;row=2182&amp;col=7&amp;number=0.00149&amp;sourceID=14","0.00149")</f>
        <v>0.00149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HYPERLINK("http://141.218.60.56/~jnz1568/getInfo.php?workbook=18_08.xlsx&amp;sheet=U0&amp;row=2183&amp;col=6&amp;number=4.9&amp;sourceID=14","4.9")</f>
        <v>4.9</v>
      </c>
      <c r="G2183" s="4" t="str">
        <f>HYPERLINK("http://141.218.60.56/~jnz1568/getInfo.php?workbook=18_08.xlsx&amp;sheet=U0&amp;row=2183&amp;col=7&amp;number=0.00149&amp;sourceID=14","0.00149")</f>
        <v>0.00149</v>
      </c>
    </row>
    <row r="2184" spans="1:7">
      <c r="A2184" s="3">
        <v>18</v>
      </c>
      <c r="B2184" s="3">
        <v>8</v>
      </c>
      <c r="C2184" s="3" t="s">
        <v>55</v>
      </c>
      <c r="D2184" s="3">
        <v>7</v>
      </c>
      <c r="E2184" s="3">
        <v>1</v>
      </c>
      <c r="F2184" s="4" t="str">
        <f>HYPERLINK("http://141.218.60.56/~jnz1568/getInfo.php?workbook=18_08.xlsx&amp;sheet=U0&amp;row=2184&amp;col=6&amp;number=3&amp;sourceID=14","3")</f>
        <v>3</v>
      </c>
      <c r="G2184" s="4" t="str">
        <f>HYPERLINK("http://141.218.60.56/~jnz1568/getInfo.php?workbook=18_08.xlsx&amp;sheet=U0&amp;row=2184&amp;col=7&amp;number=0.0045&amp;sourceID=14","0.0045")</f>
        <v>0.0045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HYPERLINK("http://141.218.60.56/~jnz1568/getInfo.php?workbook=18_08.xlsx&amp;sheet=U0&amp;row=2185&amp;col=6&amp;number=3.1&amp;sourceID=14","3.1")</f>
        <v>3.1</v>
      </c>
      <c r="G2185" s="4" t="str">
        <f>HYPERLINK("http://141.218.60.56/~jnz1568/getInfo.php?workbook=18_08.xlsx&amp;sheet=U0&amp;row=2185&amp;col=7&amp;number=0.0045&amp;sourceID=14","0.0045")</f>
        <v>0.0045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HYPERLINK("http://141.218.60.56/~jnz1568/getInfo.php?workbook=18_08.xlsx&amp;sheet=U0&amp;row=2186&amp;col=6&amp;number=3.2&amp;sourceID=14","3.2")</f>
        <v>3.2</v>
      </c>
      <c r="G2186" s="4" t="str">
        <f>HYPERLINK("http://141.218.60.56/~jnz1568/getInfo.php?workbook=18_08.xlsx&amp;sheet=U0&amp;row=2186&amp;col=7&amp;number=0.0045&amp;sourceID=14","0.0045")</f>
        <v>0.0045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HYPERLINK("http://141.218.60.56/~jnz1568/getInfo.php?workbook=18_08.xlsx&amp;sheet=U0&amp;row=2187&amp;col=6&amp;number=3.3&amp;sourceID=14","3.3")</f>
        <v>3.3</v>
      </c>
      <c r="G2187" s="4" t="str">
        <f>HYPERLINK("http://141.218.60.56/~jnz1568/getInfo.php?workbook=18_08.xlsx&amp;sheet=U0&amp;row=2187&amp;col=7&amp;number=0.0045&amp;sourceID=14","0.0045")</f>
        <v>0.0045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HYPERLINK("http://141.218.60.56/~jnz1568/getInfo.php?workbook=18_08.xlsx&amp;sheet=U0&amp;row=2188&amp;col=6&amp;number=3.4&amp;sourceID=14","3.4")</f>
        <v>3.4</v>
      </c>
      <c r="G2188" s="4" t="str">
        <f>HYPERLINK("http://141.218.60.56/~jnz1568/getInfo.php?workbook=18_08.xlsx&amp;sheet=U0&amp;row=2188&amp;col=7&amp;number=0.0045&amp;sourceID=14","0.0045")</f>
        <v>0.0045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HYPERLINK("http://141.218.60.56/~jnz1568/getInfo.php?workbook=18_08.xlsx&amp;sheet=U0&amp;row=2189&amp;col=6&amp;number=3.5&amp;sourceID=14","3.5")</f>
        <v>3.5</v>
      </c>
      <c r="G2189" s="4" t="str">
        <f>HYPERLINK("http://141.218.60.56/~jnz1568/getInfo.php?workbook=18_08.xlsx&amp;sheet=U0&amp;row=2189&amp;col=7&amp;number=0.0045&amp;sourceID=14","0.0045")</f>
        <v>0.0045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HYPERLINK("http://141.218.60.56/~jnz1568/getInfo.php?workbook=18_08.xlsx&amp;sheet=U0&amp;row=2190&amp;col=6&amp;number=3.6&amp;sourceID=14","3.6")</f>
        <v>3.6</v>
      </c>
      <c r="G2190" s="4" t="str">
        <f>HYPERLINK("http://141.218.60.56/~jnz1568/getInfo.php?workbook=18_08.xlsx&amp;sheet=U0&amp;row=2190&amp;col=7&amp;number=0.0045&amp;sourceID=14","0.0045")</f>
        <v>0.0045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HYPERLINK("http://141.218.60.56/~jnz1568/getInfo.php?workbook=18_08.xlsx&amp;sheet=U0&amp;row=2191&amp;col=6&amp;number=3.7&amp;sourceID=14","3.7")</f>
        <v>3.7</v>
      </c>
      <c r="G2191" s="4" t="str">
        <f>HYPERLINK("http://141.218.60.56/~jnz1568/getInfo.php?workbook=18_08.xlsx&amp;sheet=U0&amp;row=2191&amp;col=7&amp;number=0.0045&amp;sourceID=14","0.0045")</f>
        <v>0.0045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HYPERLINK("http://141.218.60.56/~jnz1568/getInfo.php?workbook=18_08.xlsx&amp;sheet=U0&amp;row=2192&amp;col=6&amp;number=3.8&amp;sourceID=14","3.8")</f>
        <v>3.8</v>
      </c>
      <c r="G2192" s="4" t="str">
        <f>HYPERLINK("http://141.218.60.56/~jnz1568/getInfo.php?workbook=18_08.xlsx&amp;sheet=U0&amp;row=2192&amp;col=7&amp;number=0.0045&amp;sourceID=14","0.0045")</f>
        <v>0.0045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HYPERLINK("http://141.218.60.56/~jnz1568/getInfo.php?workbook=18_08.xlsx&amp;sheet=U0&amp;row=2193&amp;col=6&amp;number=3.9&amp;sourceID=14","3.9")</f>
        <v>3.9</v>
      </c>
      <c r="G2193" s="4" t="str">
        <f>HYPERLINK("http://141.218.60.56/~jnz1568/getInfo.php?workbook=18_08.xlsx&amp;sheet=U0&amp;row=2193&amp;col=7&amp;number=0.00449&amp;sourceID=14","0.00449")</f>
        <v>0.00449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HYPERLINK("http://141.218.60.56/~jnz1568/getInfo.php?workbook=18_08.xlsx&amp;sheet=U0&amp;row=2194&amp;col=6&amp;number=4&amp;sourceID=14","4")</f>
        <v>4</v>
      </c>
      <c r="G2194" s="4" t="str">
        <f>HYPERLINK("http://141.218.60.56/~jnz1568/getInfo.php?workbook=18_08.xlsx&amp;sheet=U0&amp;row=2194&amp;col=7&amp;number=0.00449&amp;sourceID=14","0.00449")</f>
        <v>0.00449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HYPERLINK("http://141.218.60.56/~jnz1568/getInfo.php?workbook=18_08.xlsx&amp;sheet=U0&amp;row=2195&amp;col=6&amp;number=4.1&amp;sourceID=14","4.1")</f>
        <v>4.1</v>
      </c>
      <c r="G2195" s="4" t="str">
        <f>HYPERLINK("http://141.218.60.56/~jnz1568/getInfo.php?workbook=18_08.xlsx&amp;sheet=U0&amp;row=2195&amp;col=7&amp;number=0.00449&amp;sourceID=14","0.00449")</f>
        <v>0.00449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HYPERLINK("http://141.218.60.56/~jnz1568/getInfo.php?workbook=18_08.xlsx&amp;sheet=U0&amp;row=2196&amp;col=6&amp;number=4.2&amp;sourceID=14","4.2")</f>
        <v>4.2</v>
      </c>
      <c r="G2196" s="4" t="str">
        <f>HYPERLINK("http://141.218.60.56/~jnz1568/getInfo.php?workbook=18_08.xlsx&amp;sheet=U0&amp;row=2196&amp;col=7&amp;number=0.00449&amp;sourceID=14","0.00449")</f>
        <v>0.00449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HYPERLINK("http://141.218.60.56/~jnz1568/getInfo.php?workbook=18_08.xlsx&amp;sheet=U0&amp;row=2197&amp;col=6&amp;number=4.3&amp;sourceID=14","4.3")</f>
        <v>4.3</v>
      </c>
      <c r="G2197" s="4" t="str">
        <f>HYPERLINK("http://141.218.60.56/~jnz1568/getInfo.php?workbook=18_08.xlsx&amp;sheet=U0&amp;row=2197&amp;col=7&amp;number=0.00449&amp;sourceID=14","0.00449")</f>
        <v>0.00449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HYPERLINK("http://141.218.60.56/~jnz1568/getInfo.php?workbook=18_08.xlsx&amp;sheet=U0&amp;row=2198&amp;col=6&amp;number=4.4&amp;sourceID=14","4.4")</f>
        <v>4.4</v>
      </c>
      <c r="G2198" s="4" t="str">
        <f>HYPERLINK("http://141.218.60.56/~jnz1568/getInfo.php?workbook=18_08.xlsx&amp;sheet=U0&amp;row=2198&amp;col=7&amp;number=0.00449&amp;sourceID=14","0.00449")</f>
        <v>0.00449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HYPERLINK("http://141.218.60.56/~jnz1568/getInfo.php?workbook=18_08.xlsx&amp;sheet=U0&amp;row=2199&amp;col=6&amp;number=4.5&amp;sourceID=14","4.5")</f>
        <v>4.5</v>
      </c>
      <c r="G2199" s="4" t="str">
        <f>HYPERLINK("http://141.218.60.56/~jnz1568/getInfo.php?workbook=18_08.xlsx&amp;sheet=U0&amp;row=2199&amp;col=7&amp;number=0.00448&amp;sourceID=14","0.00448")</f>
        <v>0.00448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HYPERLINK("http://141.218.60.56/~jnz1568/getInfo.php?workbook=18_08.xlsx&amp;sheet=U0&amp;row=2200&amp;col=6&amp;number=4.6&amp;sourceID=14","4.6")</f>
        <v>4.6</v>
      </c>
      <c r="G2200" s="4" t="str">
        <f>HYPERLINK("http://141.218.60.56/~jnz1568/getInfo.php?workbook=18_08.xlsx&amp;sheet=U0&amp;row=2200&amp;col=7&amp;number=0.00448&amp;sourceID=14","0.00448")</f>
        <v>0.00448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HYPERLINK("http://141.218.60.56/~jnz1568/getInfo.php?workbook=18_08.xlsx&amp;sheet=U0&amp;row=2201&amp;col=6&amp;number=4.7&amp;sourceID=14","4.7")</f>
        <v>4.7</v>
      </c>
      <c r="G2201" s="4" t="str">
        <f>HYPERLINK("http://141.218.60.56/~jnz1568/getInfo.php?workbook=18_08.xlsx&amp;sheet=U0&amp;row=2201&amp;col=7&amp;number=0.00447&amp;sourceID=14","0.00447")</f>
        <v>0.00447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HYPERLINK("http://141.218.60.56/~jnz1568/getInfo.php?workbook=18_08.xlsx&amp;sheet=U0&amp;row=2202&amp;col=6&amp;number=4.8&amp;sourceID=14","4.8")</f>
        <v>4.8</v>
      </c>
      <c r="G2202" s="4" t="str">
        <f>HYPERLINK("http://141.218.60.56/~jnz1568/getInfo.php?workbook=18_08.xlsx&amp;sheet=U0&amp;row=2202&amp;col=7&amp;number=0.00447&amp;sourceID=14","0.00447")</f>
        <v>0.00447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HYPERLINK("http://141.218.60.56/~jnz1568/getInfo.php?workbook=18_08.xlsx&amp;sheet=U0&amp;row=2203&amp;col=6&amp;number=4.9&amp;sourceID=14","4.9")</f>
        <v>4.9</v>
      </c>
      <c r="G2203" s="4" t="str">
        <f>HYPERLINK("http://141.218.60.56/~jnz1568/getInfo.php?workbook=18_08.xlsx&amp;sheet=U0&amp;row=2203&amp;col=7&amp;number=0.00446&amp;sourceID=14","0.00446")</f>
        <v>0.00446</v>
      </c>
    </row>
    <row r="2204" spans="1:7">
      <c r="A2204" s="3">
        <v>18</v>
      </c>
      <c r="B2204" s="3">
        <v>8</v>
      </c>
      <c r="C2204" s="3" t="s">
        <v>55</v>
      </c>
      <c r="D2204" s="3">
        <v>8</v>
      </c>
      <c r="E2204" s="3">
        <v>1</v>
      </c>
      <c r="F2204" s="4" t="str">
        <f>HYPERLINK("http://141.218.60.56/~jnz1568/getInfo.php?workbook=18_08.xlsx&amp;sheet=U0&amp;row=2204&amp;col=6&amp;number=3&amp;sourceID=14","3")</f>
        <v>3</v>
      </c>
      <c r="G2204" s="4" t="str">
        <f>HYPERLINK("http://141.218.60.56/~jnz1568/getInfo.php?workbook=18_08.xlsx&amp;sheet=U0&amp;row=2204&amp;col=7&amp;number=0.00388&amp;sourceID=14","0.00388")</f>
        <v>0.00388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HYPERLINK("http://141.218.60.56/~jnz1568/getInfo.php?workbook=18_08.xlsx&amp;sheet=U0&amp;row=2205&amp;col=6&amp;number=3.1&amp;sourceID=14","3.1")</f>
        <v>3.1</v>
      </c>
      <c r="G2205" s="4" t="str">
        <f>HYPERLINK("http://141.218.60.56/~jnz1568/getInfo.php?workbook=18_08.xlsx&amp;sheet=U0&amp;row=2205&amp;col=7&amp;number=0.00388&amp;sourceID=14","0.00388")</f>
        <v>0.00388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HYPERLINK("http://141.218.60.56/~jnz1568/getInfo.php?workbook=18_08.xlsx&amp;sheet=U0&amp;row=2206&amp;col=6&amp;number=3.2&amp;sourceID=14","3.2")</f>
        <v>3.2</v>
      </c>
      <c r="G2206" s="4" t="str">
        <f>HYPERLINK("http://141.218.60.56/~jnz1568/getInfo.php?workbook=18_08.xlsx&amp;sheet=U0&amp;row=2206&amp;col=7&amp;number=0.00388&amp;sourceID=14","0.00388")</f>
        <v>0.00388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HYPERLINK("http://141.218.60.56/~jnz1568/getInfo.php?workbook=18_08.xlsx&amp;sheet=U0&amp;row=2207&amp;col=6&amp;number=3.3&amp;sourceID=14","3.3")</f>
        <v>3.3</v>
      </c>
      <c r="G2207" s="4" t="str">
        <f>HYPERLINK("http://141.218.60.56/~jnz1568/getInfo.php?workbook=18_08.xlsx&amp;sheet=U0&amp;row=2207&amp;col=7&amp;number=0.00388&amp;sourceID=14","0.00388")</f>
        <v>0.00388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HYPERLINK("http://141.218.60.56/~jnz1568/getInfo.php?workbook=18_08.xlsx&amp;sheet=U0&amp;row=2208&amp;col=6&amp;number=3.4&amp;sourceID=14","3.4")</f>
        <v>3.4</v>
      </c>
      <c r="G2208" s="4" t="str">
        <f>HYPERLINK("http://141.218.60.56/~jnz1568/getInfo.php?workbook=18_08.xlsx&amp;sheet=U0&amp;row=2208&amp;col=7&amp;number=0.00388&amp;sourceID=14","0.00388")</f>
        <v>0.00388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HYPERLINK("http://141.218.60.56/~jnz1568/getInfo.php?workbook=18_08.xlsx&amp;sheet=U0&amp;row=2209&amp;col=6&amp;number=3.5&amp;sourceID=14","3.5")</f>
        <v>3.5</v>
      </c>
      <c r="G2209" s="4" t="str">
        <f>HYPERLINK("http://141.218.60.56/~jnz1568/getInfo.php?workbook=18_08.xlsx&amp;sheet=U0&amp;row=2209&amp;col=7&amp;number=0.00388&amp;sourceID=14","0.00388")</f>
        <v>0.00388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HYPERLINK("http://141.218.60.56/~jnz1568/getInfo.php?workbook=18_08.xlsx&amp;sheet=U0&amp;row=2210&amp;col=6&amp;number=3.6&amp;sourceID=14","3.6")</f>
        <v>3.6</v>
      </c>
      <c r="G2210" s="4" t="str">
        <f>HYPERLINK("http://141.218.60.56/~jnz1568/getInfo.php?workbook=18_08.xlsx&amp;sheet=U0&amp;row=2210&amp;col=7&amp;number=0.00388&amp;sourceID=14","0.00388")</f>
        <v>0.00388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HYPERLINK("http://141.218.60.56/~jnz1568/getInfo.php?workbook=18_08.xlsx&amp;sheet=U0&amp;row=2211&amp;col=6&amp;number=3.7&amp;sourceID=14","3.7")</f>
        <v>3.7</v>
      </c>
      <c r="G2211" s="4" t="str">
        <f>HYPERLINK("http://141.218.60.56/~jnz1568/getInfo.php?workbook=18_08.xlsx&amp;sheet=U0&amp;row=2211&amp;col=7&amp;number=0.00388&amp;sourceID=14","0.00388")</f>
        <v>0.00388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HYPERLINK("http://141.218.60.56/~jnz1568/getInfo.php?workbook=18_08.xlsx&amp;sheet=U0&amp;row=2212&amp;col=6&amp;number=3.8&amp;sourceID=14","3.8")</f>
        <v>3.8</v>
      </c>
      <c r="G2212" s="4" t="str">
        <f>HYPERLINK("http://141.218.60.56/~jnz1568/getInfo.php?workbook=18_08.xlsx&amp;sheet=U0&amp;row=2212&amp;col=7&amp;number=0.00388&amp;sourceID=14","0.00388")</f>
        <v>0.00388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HYPERLINK("http://141.218.60.56/~jnz1568/getInfo.php?workbook=18_08.xlsx&amp;sheet=U0&amp;row=2213&amp;col=6&amp;number=3.9&amp;sourceID=14","3.9")</f>
        <v>3.9</v>
      </c>
      <c r="G2213" s="4" t="str">
        <f>HYPERLINK("http://141.218.60.56/~jnz1568/getInfo.php?workbook=18_08.xlsx&amp;sheet=U0&amp;row=2213&amp;col=7&amp;number=0.00388&amp;sourceID=14","0.00388")</f>
        <v>0.00388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HYPERLINK("http://141.218.60.56/~jnz1568/getInfo.php?workbook=18_08.xlsx&amp;sheet=U0&amp;row=2214&amp;col=6&amp;number=4&amp;sourceID=14","4")</f>
        <v>4</v>
      </c>
      <c r="G2214" s="4" t="str">
        <f>HYPERLINK("http://141.218.60.56/~jnz1568/getInfo.php?workbook=18_08.xlsx&amp;sheet=U0&amp;row=2214&amp;col=7&amp;number=0.00387&amp;sourceID=14","0.00387")</f>
        <v>0.00387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HYPERLINK("http://141.218.60.56/~jnz1568/getInfo.php?workbook=18_08.xlsx&amp;sheet=U0&amp;row=2215&amp;col=6&amp;number=4.1&amp;sourceID=14","4.1")</f>
        <v>4.1</v>
      </c>
      <c r="G2215" s="4" t="str">
        <f>HYPERLINK("http://141.218.60.56/~jnz1568/getInfo.php?workbook=18_08.xlsx&amp;sheet=U0&amp;row=2215&amp;col=7&amp;number=0.00387&amp;sourceID=14","0.00387")</f>
        <v>0.00387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HYPERLINK("http://141.218.60.56/~jnz1568/getInfo.php?workbook=18_08.xlsx&amp;sheet=U0&amp;row=2216&amp;col=6&amp;number=4.2&amp;sourceID=14","4.2")</f>
        <v>4.2</v>
      </c>
      <c r="G2216" s="4" t="str">
        <f>HYPERLINK("http://141.218.60.56/~jnz1568/getInfo.php?workbook=18_08.xlsx&amp;sheet=U0&amp;row=2216&amp;col=7&amp;number=0.00387&amp;sourceID=14","0.00387")</f>
        <v>0.00387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HYPERLINK("http://141.218.60.56/~jnz1568/getInfo.php?workbook=18_08.xlsx&amp;sheet=U0&amp;row=2217&amp;col=6&amp;number=4.3&amp;sourceID=14","4.3")</f>
        <v>4.3</v>
      </c>
      <c r="G2217" s="4" t="str">
        <f>HYPERLINK("http://141.218.60.56/~jnz1568/getInfo.php?workbook=18_08.xlsx&amp;sheet=U0&amp;row=2217&amp;col=7&amp;number=0.00387&amp;sourceID=14","0.00387")</f>
        <v>0.00387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HYPERLINK("http://141.218.60.56/~jnz1568/getInfo.php?workbook=18_08.xlsx&amp;sheet=U0&amp;row=2218&amp;col=6&amp;number=4.4&amp;sourceID=14","4.4")</f>
        <v>4.4</v>
      </c>
      <c r="G2218" s="4" t="str">
        <f>HYPERLINK("http://141.218.60.56/~jnz1568/getInfo.php?workbook=18_08.xlsx&amp;sheet=U0&amp;row=2218&amp;col=7&amp;number=0.00387&amp;sourceID=14","0.00387")</f>
        <v>0.00387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HYPERLINK("http://141.218.60.56/~jnz1568/getInfo.php?workbook=18_08.xlsx&amp;sheet=U0&amp;row=2219&amp;col=6&amp;number=4.5&amp;sourceID=14","4.5")</f>
        <v>4.5</v>
      </c>
      <c r="G2219" s="4" t="str">
        <f>HYPERLINK("http://141.218.60.56/~jnz1568/getInfo.php?workbook=18_08.xlsx&amp;sheet=U0&amp;row=2219&amp;col=7&amp;number=0.00387&amp;sourceID=14","0.00387")</f>
        <v>0.00387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HYPERLINK("http://141.218.60.56/~jnz1568/getInfo.php?workbook=18_08.xlsx&amp;sheet=U0&amp;row=2220&amp;col=6&amp;number=4.6&amp;sourceID=14","4.6")</f>
        <v>4.6</v>
      </c>
      <c r="G2220" s="4" t="str">
        <f>HYPERLINK("http://141.218.60.56/~jnz1568/getInfo.php?workbook=18_08.xlsx&amp;sheet=U0&amp;row=2220&amp;col=7&amp;number=0.00386&amp;sourceID=14","0.00386")</f>
        <v>0.00386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HYPERLINK("http://141.218.60.56/~jnz1568/getInfo.php?workbook=18_08.xlsx&amp;sheet=U0&amp;row=2221&amp;col=6&amp;number=4.7&amp;sourceID=14","4.7")</f>
        <v>4.7</v>
      </c>
      <c r="G2221" s="4" t="str">
        <f>HYPERLINK("http://141.218.60.56/~jnz1568/getInfo.php?workbook=18_08.xlsx&amp;sheet=U0&amp;row=2221&amp;col=7&amp;number=0.00386&amp;sourceID=14","0.00386")</f>
        <v>0.00386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HYPERLINK("http://141.218.60.56/~jnz1568/getInfo.php?workbook=18_08.xlsx&amp;sheet=U0&amp;row=2222&amp;col=6&amp;number=4.8&amp;sourceID=14","4.8")</f>
        <v>4.8</v>
      </c>
      <c r="G2222" s="4" t="str">
        <f>HYPERLINK("http://141.218.60.56/~jnz1568/getInfo.php?workbook=18_08.xlsx&amp;sheet=U0&amp;row=2222&amp;col=7&amp;number=0.00385&amp;sourceID=14","0.00385")</f>
        <v>0.00385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HYPERLINK("http://141.218.60.56/~jnz1568/getInfo.php?workbook=18_08.xlsx&amp;sheet=U0&amp;row=2223&amp;col=6&amp;number=4.9&amp;sourceID=14","4.9")</f>
        <v>4.9</v>
      </c>
      <c r="G2223" s="4" t="str">
        <f>HYPERLINK("http://141.218.60.56/~jnz1568/getInfo.php?workbook=18_08.xlsx&amp;sheet=U0&amp;row=2223&amp;col=7&amp;number=0.00385&amp;sourceID=14","0.00385")</f>
        <v>0.00385</v>
      </c>
    </row>
    <row r="2224" spans="1:7">
      <c r="A2224" s="3">
        <v>18</v>
      </c>
      <c r="B2224" s="3">
        <v>8</v>
      </c>
      <c r="C2224" s="3" t="s">
        <v>55</v>
      </c>
      <c r="D2224" s="3">
        <v>9</v>
      </c>
      <c r="E2224" s="3">
        <v>1</v>
      </c>
      <c r="F2224" s="4" t="str">
        <f>HYPERLINK("http://141.218.60.56/~jnz1568/getInfo.php?workbook=18_08.xlsx&amp;sheet=U0&amp;row=2224&amp;col=6&amp;number=3&amp;sourceID=14","3")</f>
        <v>3</v>
      </c>
      <c r="G2224" s="4" t="str">
        <f>HYPERLINK("http://141.218.60.56/~jnz1568/getInfo.php?workbook=18_08.xlsx&amp;sheet=U0&amp;row=2224&amp;col=7&amp;number=0.00257&amp;sourceID=14","0.00257")</f>
        <v>0.00257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HYPERLINK("http://141.218.60.56/~jnz1568/getInfo.php?workbook=18_08.xlsx&amp;sheet=U0&amp;row=2225&amp;col=6&amp;number=3.1&amp;sourceID=14","3.1")</f>
        <v>3.1</v>
      </c>
      <c r="G2225" s="4" t="str">
        <f>HYPERLINK("http://141.218.60.56/~jnz1568/getInfo.php?workbook=18_08.xlsx&amp;sheet=U0&amp;row=2225&amp;col=7&amp;number=0.00257&amp;sourceID=14","0.00257")</f>
        <v>0.00257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HYPERLINK("http://141.218.60.56/~jnz1568/getInfo.php?workbook=18_08.xlsx&amp;sheet=U0&amp;row=2226&amp;col=6&amp;number=3.2&amp;sourceID=14","3.2")</f>
        <v>3.2</v>
      </c>
      <c r="G2226" s="4" t="str">
        <f>HYPERLINK("http://141.218.60.56/~jnz1568/getInfo.php?workbook=18_08.xlsx&amp;sheet=U0&amp;row=2226&amp;col=7&amp;number=0.00257&amp;sourceID=14","0.00257")</f>
        <v>0.00257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HYPERLINK("http://141.218.60.56/~jnz1568/getInfo.php?workbook=18_08.xlsx&amp;sheet=U0&amp;row=2227&amp;col=6&amp;number=3.3&amp;sourceID=14","3.3")</f>
        <v>3.3</v>
      </c>
      <c r="G2227" s="4" t="str">
        <f>HYPERLINK("http://141.218.60.56/~jnz1568/getInfo.php?workbook=18_08.xlsx&amp;sheet=U0&amp;row=2227&amp;col=7&amp;number=0.00257&amp;sourceID=14","0.00257")</f>
        <v>0.00257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HYPERLINK("http://141.218.60.56/~jnz1568/getInfo.php?workbook=18_08.xlsx&amp;sheet=U0&amp;row=2228&amp;col=6&amp;number=3.4&amp;sourceID=14","3.4")</f>
        <v>3.4</v>
      </c>
      <c r="G2228" s="4" t="str">
        <f>HYPERLINK("http://141.218.60.56/~jnz1568/getInfo.php?workbook=18_08.xlsx&amp;sheet=U0&amp;row=2228&amp;col=7&amp;number=0.00256&amp;sourceID=14","0.00256")</f>
        <v>0.00256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HYPERLINK("http://141.218.60.56/~jnz1568/getInfo.php?workbook=18_08.xlsx&amp;sheet=U0&amp;row=2229&amp;col=6&amp;number=3.5&amp;sourceID=14","3.5")</f>
        <v>3.5</v>
      </c>
      <c r="G2229" s="4" t="str">
        <f>HYPERLINK("http://141.218.60.56/~jnz1568/getInfo.php?workbook=18_08.xlsx&amp;sheet=U0&amp;row=2229&amp;col=7&amp;number=0.00256&amp;sourceID=14","0.00256")</f>
        <v>0.00256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HYPERLINK("http://141.218.60.56/~jnz1568/getInfo.php?workbook=18_08.xlsx&amp;sheet=U0&amp;row=2230&amp;col=6&amp;number=3.6&amp;sourceID=14","3.6")</f>
        <v>3.6</v>
      </c>
      <c r="G2230" s="4" t="str">
        <f>HYPERLINK("http://141.218.60.56/~jnz1568/getInfo.php?workbook=18_08.xlsx&amp;sheet=U0&amp;row=2230&amp;col=7&amp;number=0.00256&amp;sourceID=14","0.00256")</f>
        <v>0.00256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HYPERLINK("http://141.218.60.56/~jnz1568/getInfo.php?workbook=18_08.xlsx&amp;sheet=U0&amp;row=2231&amp;col=6&amp;number=3.7&amp;sourceID=14","3.7")</f>
        <v>3.7</v>
      </c>
      <c r="G2231" s="4" t="str">
        <f>HYPERLINK("http://141.218.60.56/~jnz1568/getInfo.php?workbook=18_08.xlsx&amp;sheet=U0&amp;row=2231&amp;col=7&amp;number=0.00256&amp;sourceID=14","0.00256")</f>
        <v>0.00256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HYPERLINK("http://141.218.60.56/~jnz1568/getInfo.php?workbook=18_08.xlsx&amp;sheet=U0&amp;row=2232&amp;col=6&amp;number=3.8&amp;sourceID=14","3.8")</f>
        <v>3.8</v>
      </c>
      <c r="G2232" s="4" t="str">
        <f>HYPERLINK("http://141.218.60.56/~jnz1568/getInfo.php?workbook=18_08.xlsx&amp;sheet=U0&amp;row=2232&amp;col=7&amp;number=0.00256&amp;sourceID=14","0.00256")</f>
        <v>0.00256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HYPERLINK("http://141.218.60.56/~jnz1568/getInfo.php?workbook=18_08.xlsx&amp;sheet=U0&amp;row=2233&amp;col=6&amp;number=3.9&amp;sourceID=14","3.9")</f>
        <v>3.9</v>
      </c>
      <c r="G2233" s="4" t="str">
        <f>HYPERLINK("http://141.218.60.56/~jnz1568/getInfo.php?workbook=18_08.xlsx&amp;sheet=U0&amp;row=2233&amp;col=7&amp;number=0.00256&amp;sourceID=14","0.00256")</f>
        <v>0.00256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HYPERLINK("http://141.218.60.56/~jnz1568/getInfo.php?workbook=18_08.xlsx&amp;sheet=U0&amp;row=2234&amp;col=6&amp;number=4&amp;sourceID=14","4")</f>
        <v>4</v>
      </c>
      <c r="G2234" s="4" t="str">
        <f>HYPERLINK("http://141.218.60.56/~jnz1568/getInfo.php?workbook=18_08.xlsx&amp;sheet=U0&amp;row=2234&amp;col=7&amp;number=0.00256&amp;sourceID=14","0.00256")</f>
        <v>0.00256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HYPERLINK("http://141.218.60.56/~jnz1568/getInfo.php?workbook=18_08.xlsx&amp;sheet=U0&amp;row=2235&amp;col=6&amp;number=4.1&amp;sourceID=14","4.1")</f>
        <v>4.1</v>
      </c>
      <c r="G2235" s="4" t="str">
        <f>HYPERLINK("http://141.218.60.56/~jnz1568/getInfo.php?workbook=18_08.xlsx&amp;sheet=U0&amp;row=2235&amp;col=7&amp;number=0.00256&amp;sourceID=14","0.00256")</f>
        <v>0.00256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HYPERLINK("http://141.218.60.56/~jnz1568/getInfo.php?workbook=18_08.xlsx&amp;sheet=U0&amp;row=2236&amp;col=6&amp;number=4.2&amp;sourceID=14","4.2")</f>
        <v>4.2</v>
      </c>
      <c r="G2236" s="4" t="str">
        <f>HYPERLINK("http://141.218.60.56/~jnz1568/getInfo.php?workbook=18_08.xlsx&amp;sheet=U0&amp;row=2236&amp;col=7&amp;number=0.00256&amp;sourceID=14","0.00256")</f>
        <v>0.00256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HYPERLINK("http://141.218.60.56/~jnz1568/getInfo.php?workbook=18_08.xlsx&amp;sheet=U0&amp;row=2237&amp;col=6&amp;number=4.3&amp;sourceID=14","4.3")</f>
        <v>4.3</v>
      </c>
      <c r="G2237" s="4" t="str">
        <f>HYPERLINK("http://141.218.60.56/~jnz1568/getInfo.php?workbook=18_08.xlsx&amp;sheet=U0&amp;row=2237&amp;col=7&amp;number=0.00256&amp;sourceID=14","0.00256")</f>
        <v>0.00256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HYPERLINK("http://141.218.60.56/~jnz1568/getInfo.php?workbook=18_08.xlsx&amp;sheet=U0&amp;row=2238&amp;col=6&amp;number=4.4&amp;sourceID=14","4.4")</f>
        <v>4.4</v>
      </c>
      <c r="G2238" s="4" t="str">
        <f>HYPERLINK("http://141.218.60.56/~jnz1568/getInfo.php?workbook=18_08.xlsx&amp;sheet=U0&amp;row=2238&amp;col=7&amp;number=0.00255&amp;sourceID=14","0.00255")</f>
        <v>0.00255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HYPERLINK("http://141.218.60.56/~jnz1568/getInfo.php?workbook=18_08.xlsx&amp;sheet=U0&amp;row=2239&amp;col=6&amp;number=4.5&amp;sourceID=14","4.5")</f>
        <v>4.5</v>
      </c>
      <c r="G2239" s="4" t="str">
        <f>HYPERLINK("http://141.218.60.56/~jnz1568/getInfo.php?workbook=18_08.xlsx&amp;sheet=U0&amp;row=2239&amp;col=7&amp;number=0.00255&amp;sourceID=14","0.00255")</f>
        <v>0.00255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HYPERLINK("http://141.218.60.56/~jnz1568/getInfo.php?workbook=18_08.xlsx&amp;sheet=U0&amp;row=2240&amp;col=6&amp;number=4.6&amp;sourceID=14","4.6")</f>
        <v>4.6</v>
      </c>
      <c r="G2240" s="4" t="str">
        <f>HYPERLINK("http://141.218.60.56/~jnz1568/getInfo.php?workbook=18_08.xlsx&amp;sheet=U0&amp;row=2240&amp;col=7&amp;number=0.00255&amp;sourceID=14","0.00255")</f>
        <v>0.00255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HYPERLINK("http://141.218.60.56/~jnz1568/getInfo.php?workbook=18_08.xlsx&amp;sheet=U0&amp;row=2241&amp;col=6&amp;number=4.7&amp;sourceID=14","4.7")</f>
        <v>4.7</v>
      </c>
      <c r="G2241" s="4" t="str">
        <f>HYPERLINK("http://141.218.60.56/~jnz1568/getInfo.php?workbook=18_08.xlsx&amp;sheet=U0&amp;row=2241&amp;col=7&amp;number=0.00254&amp;sourceID=14","0.00254")</f>
        <v>0.00254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HYPERLINK("http://141.218.60.56/~jnz1568/getInfo.php?workbook=18_08.xlsx&amp;sheet=U0&amp;row=2242&amp;col=6&amp;number=4.8&amp;sourceID=14","4.8")</f>
        <v>4.8</v>
      </c>
      <c r="G2242" s="4" t="str">
        <f>HYPERLINK("http://141.218.60.56/~jnz1568/getInfo.php?workbook=18_08.xlsx&amp;sheet=U0&amp;row=2242&amp;col=7&amp;number=0.00254&amp;sourceID=14","0.00254")</f>
        <v>0.00254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HYPERLINK("http://141.218.60.56/~jnz1568/getInfo.php?workbook=18_08.xlsx&amp;sheet=U0&amp;row=2243&amp;col=6&amp;number=4.9&amp;sourceID=14","4.9")</f>
        <v>4.9</v>
      </c>
      <c r="G2243" s="4" t="str">
        <f>HYPERLINK("http://141.218.60.56/~jnz1568/getInfo.php?workbook=18_08.xlsx&amp;sheet=U0&amp;row=2243&amp;col=7&amp;number=0.00253&amp;sourceID=14","0.00253")</f>
        <v>0.00253</v>
      </c>
    </row>
    <row r="2244" spans="1:7">
      <c r="A2244" s="3">
        <v>18</v>
      </c>
      <c r="B2244" s="3">
        <v>8</v>
      </c>
      <c r="C2244" s="3" t="s">
        <v>56</v>
      </c>
      <c r="D2244" s="3">
        <v>0</v>
      </c>
      <c r="E2244" s="3">
        <v>1</v>
      </c>
      <c r="F2244" s="4" t="str">
        <f>HYPERLINK("http://141.218.60.56/~jnz1568/getInfo.php?workbook=18_08.xlsx&amp;sheet=U0&amp;row=2244&amp;col=6&amp;number=3&amp;sourceID=14","3")</f>
        <v>3</v>
      </c>
      <c r="G2244" s="4" t="str">
        <f>HYPERLINK("http://141.218.60.56/~jnz1568/getInfo.php?workbook=18_08.xlsx&amp;sheet=U0&amp;row=2244&amp;col=7&amp;number=0.00336&amp;sourceID=14","0.00336")</f>
        <v>0.00336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HYPERLINK("http://141.218.60.56/~jnz1568/getInfo.php?workbook=18_08.xlsx&amp;sheet=U0&amp;row=2245&amp;col=6&amp;number=3.1&amp;sourceID=14","3.1")</f>
        <v>3.1</v>
      </c>
      <c r="G2245" s="4" t="str">
        <f>HYPERLINK("http://141.218.60.56/~jnz1568/getInfo.php?workbook=18_08.xlsx&amp;sheet=U0&amp;row=2245&amp;col=7&amp;number=0.00336&amp;sourceID=14","0.00336")</f>
        <v>0.00336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HYPERLINK("http://141.218.60.56/~jnz1568/getInfo.php?workbook=18_08.xlsx&amp;sheet=U0&amp;row=2246&amp;col=6&amp;number=3.2&amp;sourceID=14","3.2")</f>
        <v>3.2</v>
      </c>
      <c r="G2246" s="4" t="str">
        <f>HYPERLINK("http://141.218.60.56/~jnz1568/getInfo.php?workbook=18_08.xlsx&amp;sheet=U0&amp;row=2246&amp;col=7&amp;number=0.00336&amp;sourceID=14","0.00336")</f>
        <v>0.00336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HYPERLINK("http://141.218.60.56/~jnz1568/getInfo.php?workbook=18_08.xlsx&amp;sheet=U0&amp;row=2247&amp;col=6&amp;number=3.3&amp;sourceID=14","3.3")</f>
        <v>3.3</v>
      </c>
      <c r="G2247" s="4" t="str">
        <f>HYPERLINK("http://141.218.60.56/~jnz1568/getInfo.php?workbook=18_08.xlsx&amp;sheet=U0&amp;row=2247&amp;col=7&amp;number=0.00336&amp;sourceID=14","0.00336")</f>
        <v>0.00336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HYPERLINK("http://141.218.60.56/~jnz1568/getInfo.php?workbook=18_08.xlsx&amp;sheet=U0&amp;row=2248&amp;col=6&amp;number=3.4&amp;sourceID=14","3.4")</f>
        <v>3.4</v>
      </c>
      <c r="G2248" s="4" t="str">
        <f>HYPERLINK("http://141.218.60.56/~jnz1568/getInfo.php?workbook=18_08.xlsx&amp;sheet=U0&amp;row=2248&amp;col=7&amp;number=0.00336&amp;sourceID=14","0.00336")</f>
        <v>0.00336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HYPERLINK("http://141.218.60.56/~jnz1568/getInfo.php?workbook=18_08.xlsx&amp;sheet=U0&amp;row=2249&amp;col=6&amp;number=3.5&amp;sourceID=14","3.5")</f>
        <v>3.5</v>
      </c>
      <c r="G2249" s="4" t="str">
        <f>HYPERLINK("http://141.218.60.56/~jnz1568/getInfo.php?workbook=18_08.xlsx&amp;sheet=U0&amp;row=2249&amp;col=7&amp;number=0.00336&amp;sourceID=14","0.00336")</f>
        <v>0.00336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HYPERLINK("http://141.218.60.56/~jnz1568/getInfo.php?workbook=18_08.xlsx&amp;sheet=U0&amp;row=2250&amp;col=6&amp;number=3.6&amp;sourceID=14","3.6")</f>
        <v>3.6</v>
      </c>
      <c r="G2250" s="4" t="str">
        <f>HYPERLINK("http://141.218.60.56/~jnz1568/getInfo.php?workbook=18_08.xlsx&amp;sheet=U0&amp;row=2250&amp;col=7&amp;number=0.00336&amp;sourceID=14","0.00336")</f>
        <v>0.00336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HYPERLINK("http://141.218.60.56/~jnz1568/getInfo.php?workbook=18_08.xlsx&amp;sheet=U0&amp;row=2251&amp;col=6&amp;number=3.7&amp;sourceID=14","3.7")</f>
        <v>3.7</v>
      </c>
      <c r="G2251" s="4" t="str">
        <f>HYPERLINK("http://141.218.60.56/~jnz1568/getInfo.php?workbook=18_08.xlsx&amp;sheet=U0&amp;row=2251&amp;col=7&amp;number=0.00336&amp;sourceID=14","0.00336")</f>
        <v>0.00336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HYPERLINK("http://141.218.60.56/~jnz1568/getInfo.php?workbook=18_08.xlsx&amp;sheet=U0&amp;row=2252&amp;col=6&amp;number=3.8&amp;sourceID=14","3.8")</f>
        <v>3.8</v>
      </c>
      <c r="G2252" s="4" t="str">
        <f>HYPERLINK("http://141.218.60.56/~jnz1568/getInfo.php?workbook=18_08.xlsx&amp;sheet=U0&amp;row=2252&amp;col=7&amp;number=0.00336&amp;sourceID=14","0.00336")</f>
        <v>0.00336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HYPERLINK("http://141.218.60.56/~jnz1568/getInfo.php?workbook=18_08.xlsx&amp;sheet=U0&amp;row=2253&amp;col=6&amp;number=3.9&amp;sourceID=14","3.9")</f>
        <v>3.9</v>
      </c>
      <c r="G2253" s="4" t="str">
        <f>HYPERLINK("http://141.218.60.56/~jnz1568/getInfo.php?workbook=18_08.xlsx&amp;sheet=U0&amp;row=2253&amp;col=7&amp;number=0.00335&amp;sourceID=14","0.00335")</f>
        <v>0.00335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HYPERLINK("http://141.218.60.56/~jnz1568/getInfo.php?workbook=18_08.xlsx&amp;sheet=U0&amp;row=2254&amp;col=6&amp;number=4&amp;sourceID=14","4")</f>
        <v>4</v>
      </c>
      <c r="G2254" s="4" t="str">
        <f>HYPERLINK("http://141.218.60.56/~jnz1568/getInfo.php?workbook=18_08.xlsx&amp;sheet=U0&amp;row=2254&amp;col=7&amp;number=0.00335&amp;sourceID=14","0.00335")</f>
        <v>0.00335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HYPERLINK("http://141.218.60.56/~jnz1568/getInfo.php?workbook=18_08.xlsx&amp;sheet=U0&amp;row=2255&amp;col=6&amp;number=4.1&amp;sourceID=14","4.1")</f>
        <v>4.1</v>
      </c>
      <c r="G2255" s="4" t="str">
        <f>HYPERLINK("http://141.218.60.56/~jnz1568/getInfo.php?workbook=18_08.xlsx&amp;sheet=U0&amp;row=2255&amp;col=7&amp;number=0.00335&amp;sourceID=14","0.00335")</f>
        <v>0.00335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HYPERLINK("http://141.218.60.56/~jnz1568/getInfo.php?workbook=18_08.xlsx&amp;sheet=U0&amp;row=2256&amp;col=6&amp;number=4.2&amp;sourceID=14","4.2")</f>
        <v>4.2</v>
      </c>
      <c r="G2256" s="4" t="str">
        <f>HYPERLINK("http://141.218.60.56/~jnz1568/getInfo.php?workbook=18_08.xlsx&amp;sheet=U0&amp;row=2256&amp;col=7&amp;number=0.00335&amp;sourceID=14","0.00335")</f>
        <v>0.00335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HYPERLINK("http://141.218.60.56/~jnz1568/getInfo.php?workbook=18_08.xlsx&amp;sheet=U0&amp;row=2257&amp;col=6&amp;number=4.3&amp;sourceID=14","4.3")</f>
        <v>4.3</v>
      </c>
      <c r="G2257" s="4" t="str">
        <f>HYPERLINK("http://141.218.60.56/~jnz1568/getInfo.php?workbook=18_08.xlsx&amp;sheet=U0&amp;row=2257&amp;col=7&amp;number=0.00335&amp;sourceID=14","0.00335")</f>
        <v>0.00335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HYPERLINK("http://141.218.60.56/~jnz1568/getInfo.php?workbook=18_08.xlsx&amp;sheet=U0&amp;row=2258&amp;col=6&amp;number=4.4&amp;sourceID=14","4.4")</f>
        <v>4.4</v>
      </c>
      <c r="G2258" s="4" t="str">
        <f>HYPERLINK("http://141.218.60.56/~jnz1568/getInfo.php?workbook=18_08.xlsx&amp;sheet=U0&amp;row=2258&amp;col=7&amp;number=0.00335&amp;sourceID=14","0.00335")</f>
        <v>0.00335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HYPERLINK("http://141.218.60.56/~jnz1568/getInfo.php?workbook=18_08.xlsx&amp;sheet=U0&amp;row=2259&amp;col=6&amp;number=4.5&amp;sourceID=14","4.5")</f>
        <v>4.5</v>
      </c>
      <c r="G2259" s="4" t="str">
        <f>HYPERLINK("http://141.218.60.56/~jnz1568/getInfo.php?workbook=18_08.xlsx&amp;sheet=U0&amp;row=2259&amp;col=7&amp;number=0.00335&amp;sourceID=14","0.00335")</f>
        <v>0.00335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HYPERLINK("http://141.218.60.56/~jnz1568/getInfo.php?workbook=18_08.xlsx&amp;sheet=U0&amp;row=2260&amp;col=6&amp;number=4.6&amp;sourceID=14","4.6")</f>
        <v>4.6</v>
      </c>
      <c r="G2260" s="4" t="str">
        <f>HYPERLINK("http://141.218.60.56/~jnz1568/getInfo.php?workbook=18_08.xlsx&amp;sheet=U0&amp;row=2260&amp;col=7&amp;number=0.00334&amp;sourceID=14","0.00334")</f>
        <v>0.00334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HYPERLINK("http://141.218.60.56/~jnz1568/getInfo.php?workbook=18_08.xlsx&amp;sheet=U0&amp;row=2261&amp;col=6&amp;number=4.7&amp;sourceID=14","4.7")</f>
        <v>4.7</v>
      </c>
      <c r="G2261" s="4" t="str">
        <f>HYPERLINK("http://141.218.60.56/~jnz1568/getInfo.php?workbook=18_08.xlsx&amp;sheet=U0&amp;row=2261&amp;col=7&amp;number=0.00334&amp;sourceID=14","0.00334")</f>
        <v>0.00334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HYPERLINK("http://141.218.60.56/~jnz1568/getInfo.php?workbook=18_08.xlsx&amp;sheet=U0&amp;row=2262&amp;col=6&amp;number=4.8&amp;sourceID=14","4.8")</f>
        <v>4.8</v>
      </c>
      <c r="G2262" s="4" t="str">
        <f>HYPERLINK("http://141.218.60.56/~jnz1568/getInfo.php?workbook=18_08.xlsx&amp;sheet=U0&amp;row=2262&amp;col=7&amp;number=0.00333&amp;sourceID=14","0.00333")</f>
        <v>0.00333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HYPERLINK("http://141.218.60.56/~jnz1568/getInfo.php?workbook=18_08.xlsx&amp;sheet=U0&amp;row=2263&amp;col=6&amp;number=4.9&amp;sourceID=14","4.9")</f>
        <v>4.9</v>
      </c>
      <c r="G2263" s="4" t="str">
        <f>HYPERLINK("http://141.218.60.56/~jnz1568/getInfo.php?workbook=18_08.xlsx&amp;sheet=U0&amp;row=2263&amp;col=7&amp;number=0.00333&amp;sourceID=14","0.00333")</f>
        <v>0.00333</v>
      </c>
    </row>
    <row r="2264" spans="1:7">
      <c r="A2264" s="3">
        <v>18</v>
      </c>
      <c r="B2264" s="3">
        <v>8</v>
      </c>
      <c r="C2264" s="3" t="s">
        <v>56</v>
      </c>
      <c r="D2264" s="3">
        <v>1</v>
      </c>
      <c r="E2264" s="3">
        <v>1</v>
      </c>
      <c r="F2264" s="4" t="str">
        <f>HYPERLINK("http://141.218.60.56/~jnz1568/getInfo.php?workbook=18_08.xlsx&amp;sheet=U0&amp;row=2264&amp;col=6&amp;number=3&amp;sourceID=14","3")</f>
        <v>3</v>
      </c>
      <c r="G2264" s="4" t="str">
        <f>HYPERLINK("http://141.218.60.56/~jnz1568/getInfo.php?workbook=18_08.xlsx&amp;sheet=U0&amp;row=2264&amp;col=7&amp;number=0.00708&amp;sourceID=14","0.00708")</f>
        <v>0.00708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HYPERLINK("http://141.218.60.56/~jnz1568/getInfo.php?workbook=18_08.xlsx&amp;sheet=U0&amp;row=2265&amp;col=6&amp;number=3.1&amp;sourceID=14","3.1")</f>
        <v>3.1</v>
      </c>
      <c r="G2265" s="4" t="str">
        <f>HYPERLINK("http://141.218.60.56/~jnz1568/getInfo.php?workbook=18_08.xlsx&amp;sheet=U0&amp;row=2265&amp;col=7&amp;number=0.00708&amp;sourceID=14","0.00708")</f>
        <v>0.00708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HYPERLINK("http://141.218.60.56/~jnz1568/getInfo.php?workbook=18_08.xlsx&amp;sheet=U0&amp;row=2266&amp;col=6&amp;number=3.2&amp;sourceID=14","3.2")</f>
        <v>3.2</v>
      </c>
      <c r="G2266" s="4" t="str">
        <f>HYPERLINK("http://141.218.60.56/~jnz1568/getInfo.php?workbook=18_08.xlsx&amp;sheet=U0&amp;row=2266&amp;col=7&amp;number=0.00708&amp;sourceID=14","0.00708")</f>
        <v>0.00708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HYPERLINK("http://141.218.60.56/~jnz1568/getInfo.php?workbook=18_08.xlsx&amp;sheet=U0&amp;row=2267&amp;col=6&amp;number=3.3&amp;sourceID=14","3.3")</f>
        <v>3.3</v>
      </c>
      <c r="G2267" s="4" t="str">
        <f>HYPERLINK("http://141.218.60.56/~jnz1568/getInfo.php?workbook=18_08.xlsx&amp;sheet=U0&amp;row=2267&amp;col=7&amp;number=0.00708&amp;sourceID=14","0.00708")</f>
        <v>0.00708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HYPERLINK("http://141.218.60.56/~jnz1568/getInfo.php?workbook=18_08.xlsx&amp;sheet=U0&amp;row=2268&amp;col=6&amp;number=3.4&amp;sourceID=14","3.4")</f>
        <v>3.4</v>
      </c>
      <c r="G2268" s="4" t="str">
        <f>HYPERLINK("http://141.218.60.56/~jnz1568/getInfo.php?workbook=18_08.xlsx&amp;sheet=U0&amp;row=2268&amp;col=7&amp;number=0.00708&amp;sourceID=14","0.00708")</f>
        <v>0.00708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HYPERLINK("http://141.218.60.56/~jnz1568/getInfo.php?workbook=18_08.xlsx&amp;sheet=U0&amp;row=2269&amp;col=6&amp;number=3.5&amp;sourceID=14","3.5")</f>
        <v>3.5</v>
      </c>
      <c r="G2269" s="4" t="str">
        <f>HYPERLINK("http://141.218.60.56/~jnz1568/getInfo.php?workbook=18_08.xlsx&amp;sheet=U0&amp;row=2269&amp;col=7&amp;number=0.00708&amp;sourceID=14","0.00708")</f>
        <v>0.00708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HYPERLINK("http://141.218.60.56/~jnz1568/getInfo.php?workbook=18_08.xlsx&amp;sheet=U0&amp;row=2270&amp;col=6&amp;number=3.6&amp;sourceID=14","3.6")</f>
        <v>3.6</v>
      </c>
      <c r="G2270" s="4" t="str">
        <f>HYPERLINK("http://141.218.60.56/~jnz1568/getInfo.php?workbook=18_08.xlsx&amp;sheet=U0&amp;row=2270&amp;col=7&amp;number=0.00708&amp;sourceID=14","0.00708")</f>
        <v>0.00708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HYPERLINK("http://141.218.60.56/~jnz1568/getInfo.php?workbook=18_08.xlsx&amp;sheet=U0&amp;row=2271&amp;col=6&amp;number=3.7&amp;sourceID=14","3.7")</f>
        <v>3.7</v>
      </c>
      <c r="G2271" s="4" t="str">
        <f>HYPERLINK("http://141.218.60.56/~jnz1568/getInfo.php?workbook=18_08.xlsx&amp;sheet=U0&amp;row=2271&amp;col=7&amp;number=0.00708&amp;sourceID=14","0.00708")</f>
        <v>0.00708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HYPERLINK("http://141.218.60.56/~jnz1568/getInfo.php?workbook=18_08.xlsx&amp;sheet=U0&amp;row=2272&amp;col=6&amp;number=3.8&amp;sourceID=14","3.8")</f>
        <v>3.8</v>
      </c>
      <c r="G2272" s="4" t="str">
        <f>HYPERLINK("http://141.218.60.56/~jnz1568/getInfo.php?workbook=18_08.xlsx&amp;sheet=U0&amp;row=2272&amp;col=7&amp;number=0.00708&amp;sourceID=14","0.00708")</f>
        <v>0.00708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HYPERLINK("http://141.218.60.56/~jnz1568/getInfo.php?workbook=18_08.xlsx&amp;sheet=U0&amp;row=2273&amp;col=6&amp;number=3.9&amp;sourceID=14","3.9")</f>
        <v>3.9</v>
      </c>
      <c r="G2273" s="4" t="str">
        <f>HYPERLINK("http://141.218.60.56/~jnz1568/getInfo.php?workbook=18_08.xlsx&amp;sheet=U0&amp;row=2273&amp;col=7&amp;number=0.00707&amp;sourceID=14","0.00707")</f>
        <v>0.00707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HYPERLINK("http://141.218.60.56/~jnz1568/getInfo.php?workbook=18_08.xlsx&amp;sheet=U0&amp;row=2274&amp;col=6&amp;number=4&amp;sourceID=14","4")</f>
        <v>4</v>
      </c>
      <c r="G2274" s="4" t="str">
        <f>HYPERLINK("http://141.218.60.56/~jnz1568/getInfo.php?workbook=18_08.xlsx&amp;sheet=U0&amp;row=2274&amp;col=7&amp;number=0.00707&amp;sourceID=14","0.00707")</f>
        <v>0.00707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HYPERLINK("http://141.218.60.56/~jnz1568/getInfo.php?workbook=18_08.xlsx&amp;sheet=U0&amp;row=2275&amp;col=6&amp;number=4.1&amp;sourceID=14","4.1")</f>
        <v>4.1</v>
      </c>
      <c r="G2275" s="4" t="str">
        <f>HYPERLINK("http://141.218.60.56/~jnz1568/getInfo.php?workbook=18_08.xlsx&amp;sheet=U0&amp;row=2275&amp;col=7&amp;number=0.00707&amp;sourceID=14","0.00707")</f>
        <v>0.00707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HYPERLINK("http://141.218.60.56/~jnz1568/getInfo.php?workbook=18_08.xlsx&amp;sheet=U0&amp;row=2276&amp;col=6&amp;number=4.2&amp;sourceID=14","4.2")</f>
        <v>4.2</v>
      </c>
      <c r="G2276" s="4" t="str">
        <f>HYPERLINK("http://141.218.60.56/~jnz1568/getInfo.php?workbook=18_08.xlsx&amp;sheet=U0&amp;row=2276&amp;col=7&amp;number=0.00707&amp;sourceID=14","0.00707")</f>
        <v>0.00707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HYPERLINK("http://141.218.60.56/~jnz1568/getInfo.php?workbook=18_08.xlsx&amp;sheet=U0&amp;row=2277&amp;col=6&amp;number=4.3&amp;sourceID=14","4.3")</f>
        <v>4.3</v>
      </c>
      <c r="G2277" s="4" t="str">
        <f>HYPERLINK("http://141.218.60.56/~jnz1568/getInfo.php?workbook=18_08.xlsx&amp;sheet=U0&amp;row=2277&amp;col=7&amp;number=0.00707&amp;sourceID=14","0.00707")</f>
        <v>0.00707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HYPERLINK("http://141.218.60.56/~jnz1568/getInfo.php?workbook=18_08.xlsx&amp;sheet=U0&amp;row=2278&amp;col=6&amp;number=4.4&amp;sourceID=14","4.4")</f>
        <v>4.4</v>
      </c>
      <c r="G2278" s="4" t="str">
        <f>HYPERLINK("http://141.218.60.56/~jnz1568/getInfo.php?workbook=18_08.xlsx&amp;sheet=U0&amp;row=2278&amp;col=7&amp;number=0.00706&amp;sourceID=14","0.00706")</f>
        <v>0.00706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HYPERLINK("http://141.218.60.56/~jnz1568/getInfo.php?workbook=18_08.xlsx&amp;sheet=U0&amp;row=2279&amp;col=6&amp;number=4.5&amp;sourceID=14","4.5")</f>
        <v>4.5</v>
      </c>
      <c r="G2279" s="4" t="str">
        <f>HYPERLINK("http://141.218.60.56/~jnz1568/getInfo.php?workbook=18_08.xlsx&amp;sheet=U0&amp;row=2279&amp;col=7&amp;number=0.00706&amp;sourceID=14","0.00706")</f>
        <v>0.00706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HYPERLINK("http://141.218.60.56/~jnz1568/getInfo.php?workbook=18_08.xlsx&amp;sheet=U0&amp;row=2280&amp;col=6&amp;number=4.6&amp;sourceID=14","4.6")</f>
        <v>4.6</v>
      </c>
      <c r="G2280" s="4" t="str">
        <f>HYPERLINK("http://141.218.60.56/~jnz1568/getInfo.php?workbook=18_08.xlsx&amp;sheet=U0&amp;row=2280&amp;col=7&amp;number=0.00705&amp;sourceID=14","0.00705")</f>
        <v>0.00705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HYPERLINK("http://141.218.60.56/~jnz1568/getInfo.php?workbook=18_08.xlsx&amp;sheet=U0&amp;row=2281&amp;col=6&amp;number=4.7&amp;sourceID=14","4.7")</f>
        <v>4.7</v>
      </c>
      <c r="G2281" s="4" t="str">
        <f>HYPERLINK("http://141.218.60.56/~jnz1568/getInfo.php?workbook=18_08.xlsx&amp;sheet=U0&amp;row=2281&amp;col=7&amp;number=0.00705&amp;sourceID=14","0.00705")</f>
        <v>0.00705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HYPERLINK("http://141.218.60.56/~jnz1568/getInfo.php?workbook=18_08.xlsx&amp;sheet=U0&amp;row=2282&amp;col=6&amp;number=4.8&amp;sourceID=14","4.8")</f>
        <v>4.8</v>
      </c>
      <c r="G2282" s="4" t="str">
        <f>HYPERLINK("http://141.218.60.56/~jnz1568/getInfo.php?workbook=18_08.xlsx&amp;sheet=U0&amp;row=2282&amp;col=7&amp;number=0.00704&amp;sourceID=14","0.00704")</f>
        <v>0.00704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HYPERLINK("http://141.218.60.56/~jnz1568/getInfo.php?workbook=18_08.xlsx&amp;sheet=U0&amp;row=2283&amp;col=6&amp;number=4.9&amp;sourceID=14","4.9")</f>
        <v>4.9</v>
      </c>
      <c r="G2283" s="4" t="str">
        <f>HYPERLINK("http://141.218.60.56/~jnz1568/getInfo.php?workbook=18_08.xlsx&amp;sheet=U0&amp;row=2283&amp;col=7&amp;number=0.00703&amp;sourceID=14","0.00703")</f>
        <v>0.00703</v>
      </c>
    </row>
    <row r="2284" spans="1:7">
      <c r="A2284" s="3">
        <v>18</v>
      </c>
      <c r="B2284" s="3">
        <v>8</v>
      </c>
      <c r="C2284" s="3" t="s">
        <v>56</v>
      </c>
      <c r="D2284" s="3">
        <v>2</v>
      </c>
      <c r="E2284" s="3">
        <v>1</v>
      </c>
      <c r="F2284" s="4" t="str">
        <f>HYPERLINK("http://141.218.60.56/~jnz1568/getInfo.php?workbook=18_08.xlsx&amp;sheet=U0&amp;row=2284&amp;col=6&amp;number=3&amp;sourceID=14","3")</f>
        <v>3</v>
      </c>
      <c r="G2284" s="4" t="str">
        <f>HYPERLINK("http://141.218.60.56/~jnz1568/getInfo.php?workbook=18_08.xlsx&amp;sheet=U0&amp;row=2284&amp;col=7&amp;number=0.00722&amp;sourceID=14","0.00722")</f>
        <v>0.00722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HYPERLINK("http://141.218.60.56/~jnz1568/getInfo.php?workbook=18_08.xlsx&amp;sheet=U0&amp;row=2285&amp;col=6&amp;number=3.1&amp;sourceID=14","3.1")</f>
        <v>3.1</v>
      </c>
      <c r="G2285" s="4" t="str">
        <f>HYPERLINK("http://141.218.60.56/~jnz1568/getInfo.php?workbook=18_08.xlsx&amp;sheet=U0&amp;row=2285&amp;col=7&amp;number=0.00722&amp;sourceID=14","0.00722")</f>
        <v>0.00722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HYPERLINK("http://141.218.60.56/~jnz1568/getInfo.php?workbook=18_08.xlsx&amp;sheet=U0&amp;row=2286&amp;col=6&amp;number=3.2&amp;sourceID=14","3.2")</f>
        <v>3.2</v>
      </c>
      <c r="G2286" s="4" t="str">
        <f>HYPERLINK("http://141.218.60.56/~jnz1568/getInfo.php?workbook=18_08.xlsx&amp;sheet=U0&amp;row=2286&amp;col=7&amp;number=0.00722&amp;sourceID=14","0.00722")</f>
        <v>0.00722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HYPERLINK("http://141.218.60.56/~jnz1568/getInfo.php?workbook=18_08.xlsx&amp;sheet=U0&amp;row=2287&amp;col=6&amp;number=3.3&amp;sourceID=14","3.3")</f>
        <v>3.3</v>
      </c>
      <c r="G2287" s="4" t="str">
        <f>HYPERLINK("http://141.218.60.56/~jnz1568/getInfo.php?workbook=18_08.xlsx&amp;sheet=U0&amp;row=2287&amp;col=7&amp;number=0.00722&amp;sourceID=14","0.00722")</f>
        <v>0.00722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HYPERLINK("http://141.218.60.56/~jnz1568/getInfo.php?workbook=18_08.xlsx&amp;sheet=U0&amp;row=2288&amp;col=6&amp;number=3.4&amp;sourceID=14","3.4")</f>
        <v>3.4</v>
      </c>
      <c r="G2288" s="4" t="str">
        <f>HYPERLINK("http://141.218.60.56/~jnz1568/getInfo.php?workbook=18_08.xlsx&amp;sheet=U0&amp;row=2288&amp;col=7&amp;number=0.00722&amp;sourceID=14","0.00722")</f>
        <v>0.00722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HYPERLINK("http://141.218.60.56/~jnz1568/getInfo.php?workbook=18_08.xlsx&amp;sheet=U0&amp;row=2289&amp;col=6&amp;number=3.5&amp;sourceID=14","3.5")</f>
        <v>3.5</v>
      </c>
      <c r="G2289" s="4" t="str">
        <f>HYPERLINK("http://141.218.60.56/~jnz1568/getInfo.php?workbook=18_08.xlsx&amp;sheet=U0&amp;row=2289&amp;col=7&amp;number=0.00722&amp;sourceID=14","0.00722")</f>
        <v>0.00722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HYPERLINK("http://141.218.60.56/~jnz1568/getInfo.php?workbook=18_08.xlsx&amp;sheet=U0&amp;row=2290&amp;col=6&amp;number=3.6&amp;sourceID=14","3.6")</f>
        <v>3.6</v>
      </c>
      <c r="G2290" s="4" t="str">
        <f>HYPERLINK("http://141.218.60.56/~jnz1568/getInfo.php?workbook=18_08.xlsx&amp;sheet=U0&amp;row=2290&amp;col=7&amp;number=0.00722&amp;sourceID=14","0.00722")</f>
        <v>0.00722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HYPERLINK("http://141.218.60.56/~jnz1568/getInfo.php?workbook=18_08.xlsx&amp;sheet=U0&amp;row=2291&amp;col=6&amp;number=3.7&amp;sourceID=14","3.7")</f>
        <v>3.7</v>
      </c>
      <c r="G2291" s="4" t="str">
        <f>HYPERLINK("http://141.218.60.56/~jnz1568/getInfo.php?workbook=18_08.xlsx&amp;sheet=U0&amp;row=2291&amp;col=7&amp;number=0.00723&amp;sourceID=14","0.00723")</f>
        <v>0.00723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HYPERLINK("http://141.218.60.56/~jnz1568/getInfo.php?workbook=18_08.xlsx&amp;sheet=U0&amp;row=2292&amp;col=6&amp;number=3.8&amp;sourceID=14","3.8")</f>
        <v>3.8</v>
      </c>
      <c r="G2292" s="4" t="str">
        <f>HYPERLINK("http://141.218.60.56/~jnz1568/getInfo.php?workbook=18_08.xlsx&amp;sheet=U0&amp;row=2292&amp;col=7&amp;number=0.00723&amp;sourceID=14","0.00723")</f>
        <v>0.00723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HYPERLINK("http://141.218.60.56/~jnz1568/getInfo.php?workbook=18_08.xlsx&amp;sheet=U0&amp;row=2293&amp;col=6&amp;number=3.9&amp;sourceID=14","3.9")</f>
        <v>3.9</v>
      </c>
      <c r="G2293" s="4" t="str">
        <f>HYPERLINK("http://141.218.60.56/~jnz1568/getInfo.php?workbook=18_08.xlsx&amp;sheet=U0&amp;row=2293&amp;col=7&amp;number=0.00723&amp;sourceID=14","0.00723")</f>
        <v>0.00723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HYPERLINK("http://141.218.60.56/~jnz1568/getInfo.php?workbook=18_08.xlsx&amp;sheet=U0&amp;row=2294&amp;col=6&amp;number=4&amp;sourceID=14","4")</f>
        <v>4</v>
      </c>
      <c r="G2294" s="4" t="str">
        <f>HYPERLINK("http://141.218.60.56/~jnz1568/getInfo.php?workbook=18_08.xlsx&amp;sheet=U0&amp;row=2294&amp;col=7&amp;number=0.00723&amp;sourceID=14","0.00723")</f>
        <v>0.00723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HYPERLINK("http://141.218.60.56/~jnz1568/getInfo.php?workbook=18_08.xlsx&amp;sheet=U0&amp;row=2295&amp;col=6&amp;number=4.1&amp;sourceID=14","4.1")</f>
        <v>4.1</v>
      </c>
      <c r="G2295" s="4" t="str">
        <f>HYPERLINK("http://141.218.60.56/~jnz1568/getInfo.php?workbook=18_08.xlsx&amp;sheet=U0&amp;row=2295&amp;col=7&amp;number=0.00723&amp;sourceID=14","0.00723")</f>
        <v>0.00723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HYPERLINK("http://141.218.60.56/~jnz1568/getInfo.php?workbook=18_08.xlsx&amp;sheet=U0&amp;row=2296&amp;col=6&amp;number=4.2&amp;sourceID=14","4.2")</f>
        <v>4.2</v>
      </c>
      <c r="G2296" s="4" t="str">
        <f>HYPERLINK("http://141.218.60.56/~jnz1568/getInfo.php?workbook=18_08.xlsx&amp;sheet=U0&amp;row=2296&amp;col=7&amp;number=0.00723&amp;sourceID=14","0.00723")</f>
        <v>0.00723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HYPERLINK("http://141.218.60.56/~jnz1568/getInfo.php?workbook=18_08.xlsx&amp;sheet=U0&amp;row=2297&amp;col=6&amp;number=4.3&amp;sourceID=14","4.3")</f>
        <v>4.3</v>
      </c>
      <c r="G2297" s="4" t="str">
        <f>HYPERLINK("http://141.218.60.56/~jnz1568/getInfo.php?workbook=18_08.xlsx&amp;sheet=U0&amp;row=2297&amp;col=7&amp;number=0.00723&amp;sourceID=14","0.00723")</f>
        <v>0.00723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HYPERLINK("http://141.218.60.56/~jnz1568/getInfo.php?workbook=18_08.xlsx&amp;sheet=U0&amp;row=2298&amp;col=6&amp;number=4.4&amp;sourceID=14","4.4")</f>
        <v>4.4</v>
      </c>
      <c r="G2298" s="4" t="str">
        <f>HYPERLINK("http://141.218.60.56/~jnz1568/getInfo.php?workbook=18_08.xlsx&amp;sheet=U0&amp;row=2298&amp;col=7&amp;number=0.00723&amp;sourceID=14","0.00723")</f>
        <v>0.00723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HYPERLINK("http://141.218.60.56/~jnz1568/getInfo.php?workbook=18_08.xlsx&amp;sheet=U0&amp;row=2299&amp;col=6&amp;number=4.5&amp;sourceID=14","4.5")</f>
        <v>4.5</v>
      </c>
      <c r="G2299" s="4" t="str">
        <f>HYPERLINK("http://141.218.60.56/~jnz1568/getInfo.php?workbook=18_08.xlsx&amp;sheet=U0&amp;row=2299&amp;col=7&amp;number=0.00723&amp;sourceID=14","0.00723")</f>
        <v>0.00723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HYPERLINK("http://141.218.60.56/~jnz1568/getInfo.php?workbook=18_08.xlsx&amp;sheet=U0&amp;row=2300&amp;col=6&amp;number=4.6&amp;sourceID=14","4.6")</f>
        <v>4.6</v>
      </c>
      <c r="G2300" s="4" t="str">
        <f>HYPERLINK("http://141.218.60.56/~jnz1568/getInfo.php?workbook=18_08.xlsx&amp;sheet=U0&amp;row=2300&amp;col=7&amp;number=0.00723&amp;sourceID=14","0.00723")</f>
        <v>0.00723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HYPERLINK("http://141.218.60.56/~jnz1568/getInfo.php?workbook=18_08.xlsx&amp;sheet=U0&amp;row=2301&amp;col=6&amp;number=4.7&amp;sourceID=14","4.7")</f>
        <v>4.7</v>
      </c>
      <c r="G2301" s="4" t="str">
        <f>HYPERLINK("http://141.218.60.56/~jnz1568/getInfo.php?workbook=18_08.xlsx&amp;sheet=U0&amp;row=2301&amp;col=7&amp;number=0.00724&amp;sourceID=14","0.00724")</f>
        <v>0.00724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HYPERLINK("http://141.218.60.56/~jnz1568/getInfo.php?workbook=18_08.xlsx&amp;sheet=U0&amp;row=2302&amp;col=6&amp;number=4.8&amp;sourceID=14","4.8")</f>
        <v>4.8</v>
      </c>
      <c r="G2302" s="4" t="str">
        <f>HYPERLINK("http://141.218.60.56/~jnz1568/getInfo.php?workbook=18_08.xlsx&amp;sheet=U0&amp;row=2302&amp;col=7&amp;number=0.00724&amp;sourceID=14","0.00724")</f>
        <v>0.00724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HYPERLINK("http://141.218.60.56/~jnz1568/getInfo.php?workbook=18_08.xlsx&amp;sheet=U0&amp;row=2303&amp;col=6&amp;number=4.9&amp;sourceID=14","4.9")</f>
        <v>4.9</v>
      </c>
      <c r="G2303" s="4" t="str">
        <f>HYPERLINK("http://141.218.60.56/~jnz1568/getInfo.php?workbook=18_08.xlsx&amp;sheet=U0&amp;row=2303&amp;col=7&amp;number=0.00724&amp;sourceID=14","0.00724")</f>
        <v>0.00724</v>
      </c>
    </row>
    <row r="2304" spans="1:7">
      <c r="A2304" s="3">
        <v>18</v>
      </c>
      <c r="B2304" s="3">
        <v>8</v>
      </c>
      <c r="C2304" s="3" t="s">
        <v>56</v>
      </c>
      <c r="D2304" s="3">
        <v>3</v>
      </c>
      <c r="E2304" s="3">
        <v>1</v>
      </c>
      <c r="F2304" s="4" t="str">
        <f>HYPERLINK("http://141.218.60.56/~jnz1568/getInfo.php?workbook=18_08.xlsx&amp;sheet=U0&amp;row=2304&amp;col=6&amp;number=3&amp;sourceID=14","3")</f>
        <v>3</v>
      </c>
      <c r="G2304" s="4" t="str">
        <f>HYPERLINK("http://141.218.60.56/~jnz1568/getInfo.php?workbook=18_08.xlsx&amp;sheet=U0&amp;row=2304&amp;col=7&amp;number=0.00404&amp;sourceID=14","0.00404")</f>
        <v>0.00404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HYPERLINK("http://141.218.60.56/~jnz1568/getInfo.php?workbook=18_08.xlsx&amp;sheet=U0&amp;row=2305&amp;col=6&amp;number=3.1&amp;sourceID=14","3.1")</f>
        <v>3.1</v>
      </c>
      <c r="G2305" s="4" t="str">
        <f>HYPERLINK("http://141.218.60.56/~jnz1568/getInfo.php?workbook=18_08.xlsx&amp;sheet=U0&amp;row=2305&amp;col=7&amp;number=0.00404&amp;sourceID=14","0.00404")</f>
        <v>0.00404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HYPERLINK("http://141.218.60.56/~jnz1568/getInfo.php?workbook=18_08.xlsx&amp;sheet=U0&amp;row=2306&amp;col=6&amp;number=3.2&amp;sourceID=14","3.2")</f>
        <v>3.2</v>
      </c>
      <c r="G2306" s="4" t="str">
        <f>HYPERLINK("http://141.218.60.56/~jnz1568/getInfo.php?workbook=18_08.xlsx&amp;sheet=U0&amp;row=2306&amp;col=7&amp;number=0.00404&amp;sourceID=14","0.00404")</f>
        <v>0.00404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HYPERLINK("http://141.218.60.56/~jnz1568/getInfo.php?workbook=18_08.xlsx&amp;sheet=U0&amp;row=2307&amp;col=6&amp;number=3.3&amp;sourceID=14","3.3")</f>
        <v>3.3</v>
      </c>
      <c r="G2307" s="4" t="str">
        <f>HYPERLINK("http://141.218.60.56/~jnz1568/getInfo.php?workbook=18_08.xlsx&amp;sheet=U0&amp;row=2307&amp;col=7&amp;number=0.00404&amp;sourceID=14","0.00404")</f>
        <v>0.00404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HYPERLINK("http://141.218.60.56/~jnz1568/getInfo.php?workbook=18_08.xlsx&amp;sheet=U0&amp;row=2308&amp;col=6&amp;number=3.4&amp;sourceID=14","3.4")</f>
        <v>3.4</v>
      </c>
      <c r="G2308" s="4" t="str">
        <f>HYPERLINK("http://141.218.60.56/~jnz1568/getInfo.php?workbook=18_08.xlsx&amp;sheet=U0&amp;row=2308&amp;col=7&amp;number=0.00404&amp;sourceID=14","0.00404")</f>
        <v>0.00404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HYPERLINK("http://141.218.60.56/~jnz1568/getInfo.php?workbook=18_08.xlsx&amp;sheet=U0&amp;row=2309&amp;col=6&amp;number=3.5&amp;sourceID=14","3.5")</f>
        <v>3.5</v>
      </c>
      <c r="G2309" s="4" t="str">
        <f>HYPERLINK("http://141.218.60.56/~jnz1568/getInfo.php?workbook=18_08.xlsx&amp;sheet=U0&amp;row=2309&amp;col=7&amp;number=0.00404&amp;sourceID=14","0.00404")</f>
        <v>0.00404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HYPERLINK("http://141.218.60.56/~jnz1568/getInfo.php?workbook=18_08.xlsx&amp;sheet=U0&amp;row=2310&amp;col=6&amp;number=3.6&amp;sourceID=14","3.6")</f>
        <v>3.6</v>
      </c>
      <c r="G2310" s="4" t="str">
        <f>HYPERLINK("http://141.218.60.56/~jnz1568/getInfo.php?workbook=18_08.xlsx&amp;sheet=U0&amp;row=2310&amp;col=7&amp;number=0.00404&amp;sourceID=14","0.00404")</f>
        <v>0.00404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HYPERLINK("http://141.218.60.56/~jnz1568/getInfo.php?workbook=18_08.xlsx&amp;sheet=U0&amp;row=2311&amp;col=6&amp;number=3.7&amp;sourceID=14","3.7")</f>
        <v>3.7</v>
      </c>
      <c r="G2311" s="4" t="str">
        <f>HYPERLINK("http://141.218.60.56/~jnz1568/getInfo.php?workbook=18_08.xlsx&amp;sheet=U0&amp;row=2311&amp;col=7&amp;number=0.00404&amp;sourceID=14","0.00404")</f>
        <v>0.00404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HYPERLINK("http://141.218.60.56/~jnz1568/getInfo.php?workbook=18_08.xlsx&amp;sheet=U0&amp;row=2312&amp;col=6&amp;number=3.8&amp;sourceID=14","3.8")</f>
        <v>3.8</v>
      </c>
      <c r="G2312" s="4" t="str">
        <f>HYPERLINK("http://141.218.60.56/~jnz1568/getInfo.php?workbook=18_08.xlsx&amp;sheet=U0&amp;row=2312&amp;col=7&amp;number=0.00404&amp;sourceID=14","0.00404")</f>
        <v>0.00404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HYPERLINK("http://141.218.60.56/~jnz1568/getInfo.php?workbook=18_08.xlsx&amp;sheet=U0&amp;row=2313&amp;col=6&amp;number=3.9&amp;sourceID=14","3.9")</f>
        <v>3.9</v>
      </c>
      <c r="G2313" s="4" t="str">
        <f>HYPERLINK("http://141.218.60.56/~jnz1568/getInfo.php?workbook=18_08.xlsx&amp;sheet=U0&amp;row=2313&amp;col=7&amp;number=0.00404&amp;sourceID=14","0.00404")</f>
        <v>0.00404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HYPERLINK("http://141.218.60.56/~jnz1568/getInfo.php?workbook=18_08.xlsx&amp;sheet=U0&amp;row=2314&amp;col=6&amp;number=4&amp;sourceID=14","4")</f>
        <v>4</v>
      </c>
      <c r="G2314" s="4" t="str">
        <f>HYPERLINK("http://141.218.60.56/~jnz1568/getInfo.php?workbook=18_08.xlsx&amp;sheet=U0&amp;row=2314&amp;col=7&amp;number=0.00404&amp;sourceID=14","0.00404")</f>
        <v>0.00404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HYPERLINK("http://141.218.60.56/~jnz1568/getInfo.php?workbook=18_08.xlsx&amp;sheet=U0&amp;row=2315&amp;col=6&amp;number=4.1&amp;sourceID=14","4.1")</f>
        <v>4.1</v>
      </c>
      <c r="G2315" s="4" t="str">
        <f>HYPERLINK("http://141.218.60.56/~jnz1568/getInfo.php?workbook=18_08.xlsx&amp;sheet=U0&amp;row=2315&amp;col=7&amp;number=0.00403&amp;sourceID=14","0.00403")</f>
        <v>0.00403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HYPERLINK("http://141.218.60.56/~jnz1568/getInfo.php?workbook=18_08.xlsx&amp;sheet=U0&amp;row=2316&amp;col=6&amp;number=4.2&amp;sourceID=14","4.2")</f>
        <v>4.2</v>
      </c>
      <c r="G2316" s="4" t="str">
        <f>HYPERLINK("http://141.218.60.56/~jnz1568/getInfo.php?workbook=18_08.xlsx&amp;sheet=U0&amp;row=2316&amp;col=7&amp;number=0.00403&amp;sourceID=14","0.00403")</f>
        <v>0.00403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HYPERLINK("http://141.218.60.56/~jnz1568/getInfo.php?workbook=18_08.xlsx&amp;sheet=U0&amp;row=2317&amp;col=6&amp;number=4.3&amp;sourceID=14","4.3")</f>
        <v>4.3</v>
      </c>
      <c r="G2317" s="4" t="str">
        <f>HYPERLINK("http://141.218.60.56/~jnz1568/getInfo.php?workbook=18_08.xlsx&amp;sheet=U0&amp;row=2317&amp;col=7&amp;number=0.00403&amp;sourceID=14","0.00403")</f>
        <v>0.00403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HYPERLINK("http://141.218.60.56/~jnz1568/getInfo.php?workbook=18_08.xlsx&amp;sheet=U0&amp;row=2318&amp;col=6&amp;number=4.4&amp;sourceID=14","4.4")</f>
        <v>4.4</v>
      </c>
      <c r="G2318" s="4" t="str">
        <f>HYPERLINK("http://141.218.60.56/~jnz1568/getInfo.php?workbook=18_08.xlsx&amp;sheet=U0&amp;row=2318&amp;col=7&amp;number=0.00403&amp;sourceID=14","0.00403")</f>
        <v>0.00403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HYPERLINK("http://141.218.60.56/~jnz1568/getInfo.php?workbook=18_08.xlsx&amp;sheet=U0&amp;row=2319&amp;col=6&amp;number=4.5&amp;sourceID=14","4.5")</f>
        <v>4.5</v>
      </c>
      <c r="G2319" s="4" t="str">
        <f>HYPERLINK("http://141.218.60.56/~jnz1568/getInfo.php?workbook=18_08.xlsx&amp;sheet=U0&amp;row=2319&amp;col=7&amp;number=0.00402&amp;sourceID=14","0.00402")</f>
        <v>0.00402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HYPERLINK("http://141.218.60.56/~jnz1568/getInfo.php?workbook=18_08.xlsx&amp;sheet=U0&amp;row=2320&amp;col=6&amp;number=4.6&amp;sourceID=14","4.6")</f>
        <v>4.6</v>
      </c>
      <c r="G2320" s="4" t="str">
        <f>HYPERLINK("http://141.218.60.56/~jnz1568/getInfo.php?workbook=18_08.xlsx&amp;sheet=U0&amp;row=2320&amp;col=7&amp;number=0.00401&amp;sourceID=14","0.00401")</f>
        <v>0.00401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HYPERLINK("http://141.218.60.56/~jnz1568/getInfo.php?workbook=18_08.xlsx&amp;sheet=U0&amp;row=2321&amp;col=6&amp;number=4.7&amp;sourceID=14","4.7")</f>
        <v>4.7</v>
      </c>
      <c r="G2321" s="4" t="str">
        <f>HYPERLINK("http://141.218.60.56/~jnz1568/getInfo.php?workbook=18_08.xlsx&amp;sheet=U0&amp;row=2321&amp;col=7&amp;number=0.00401&amp;sourceID=14","0.00401")</f>
        <v>0.00401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HYPERLINK("http://141.218.60.56/~jnz1568/getInfo.php?workbook=18_08.xlsx&amp;sheet=U0&amp;row=2322&amp;col=6&amp;number=4.8&amp;sourceID=14","4.8")</f>
        <v>4.8</v>
      </c>
      <c r="G2322" s="4" t="str">
        <f>HYPERLINK("http://141.218.60.56/~jnz1568/getInfo.php?workbook=18_08.xlsx&amp;sheet=U0&amp;row=2322&amp;col=7&amp;number=0.004&amp;sourceID=14","0.004")</f>
        <v>0.004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HYPERLINK("http://141.218.60.56/~jnz1568/getInfo.php?workbook=18_08.xlsx&amp;sheet=U0&amp;row=2323&amp;col=6&amp;number=4.9&amp;sourceID=14","4.9")</f>
        <v>4.9</v>
      </c>
      <c r="G2323" s="4" t="str">
        <f>HYPERLINK("http://141.218.60.56/~jnz1568/getInfo.php?workbook=18_08.xlsx&amp;sheet=U0&amp;row=2323&amp;col=7&amp;number=0.00398&amp;sourceID=14","0.00398")</f>
        <v>0.00398</v>
      </c>
    </row>
    <row r="2324" spans="1:7">
      <c r="A2324" s="3">
        <v>18</v>
      </c>
      <c r="B2324" s="3">
        <v>8</v>
      </c>
      <c r="C2324" s="3" t="s">
        <v>56</v>
      </c>
      <c r="D2324" s="3">
        <v>4</v>
      </c>
      <c r="E2324" s="3">
        <v>1</v>
      </c>
      <c r="F2324" s="4" t="str">
        <f>HYPERLINK("http://141.218.60.56/~jnz1568/getInfo.php?workbook=18_08.xlsx&amp;sheet=U0&amp;row=2324&amp;col=6&amp;number=3&amp;sourceID=14","3")</f>
        <v>3</v>
      </c>
      <c r="G2324" s="4" t="str">
        <f>HYPERLINK("http://141.218.60.56/~jnz1568/getInfo.php?workbook=18_08.xlsx&amp;sheet=U0&amp;row=2324&amp;col=7&amp;number=0.0063&amp;sourceID=14","0.0063")</f>
        <v>0.0063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HYPERLINK("http://141.218.60.56/~jnz1568/getInfo.php?workbook=18_08.xlsx&amp;sheet=U0&amp;row=2325&amp;col=6&amp;number=3.1&amp;sourceID=14","3.1")</f>
        <v>3.1</v>
      </c>
      <c r="G2325" s="4" t="str">
        <f>HYPERLINK("http://141.218.60.56/~jnz1568/getInfo.php?workbook=18_08.xlsx&amp;sheet=U0&amp;row=2325&amp;col=7&amp;number=0.0063&amp;sourceID=14","0.0063")</f>
        <v>0.0063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HYPERLINK("http://141.218.60.56/~jnz1568/getInfo.php?workbook=18_08.xlsx&amp;sheet=U0&amp;row=2326&amp;col=6&amp;number=3.2&amp;sourceID=14","3.2")</f>
        <v>3.2</v>
      </c>
      <c r="G2326" s="4" t="str">
        <f>HYPERLINK("http://141.218.60.56/~jnz1568/getInfo.php?workbook=18_08.xlsx&amp;sheet=U0&amp;row=2326&amp;col=7&amp;number=0.0063&amp;sourceID=14","0.0063")</f>
        <v>0.0063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HYPERLINK("http://141.218.60.56/~jnz1568/getInfo.php?workbook=18_08.xlsx&amp;sheet=U0&amp;row=2327&amp;col=6&amp;number=3.3&amp;sourceID=14","3.3")</f>
        <v>3.3</v>
      </c>
      <c r="G2327" s="4" t="str">
        <f>HYPERLINK("http://141.218.60.56/~jnz1568/getInfo.php?workbook=18_08.xlsx&amp;sheet=U0&amp;row=2327&amp;col=7&amp;number=0.0063&amp;sourceID=14","0.0063")</f>
        <v>0.0063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HYPERLINK("http://141.218.60.56/~jnz1568/getInfo.php?workbook=18_08.xlsx&amp;sheet=U0&amp;row=2328&amp;col=6&amp;number=3.4&amp;sourceID=14","3.4")</f>
        <v>3.4</v>
      </c>
      <c r="G2328" s="4" t="str">
        <f>HYPERLINK("http://141.218.60.56/~jnz1568/getInfo.php?workbook=18_08.xlsx&amp;sheet=U0&amp;row=2328&amp;col=7&amp;number=0.0063&amp;sourceID=14","0.0063")</f>
        <v>0.0063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HYPERLINK("http://141.218.60.56/~jnz1568/getInfo.php?workbook=18_08.xlsx&amp;sheet=U0&amp;row=2329&amp;col=6&amp;number=3.5&amp;sourceID=14","3.5")</f>
        <v>3.5</v>
      </c>
      <c r="G2329" s="4" t="str">
        <f>HYPERLINK("http://141.218.60.56/~jnz1568/getInfo.php?workbook=18_08.xlsx&amp;sheet=U0&amp;row=2329&amp;col=7&amp;number=0.0063&amp;sourceID=14","0.0063")</f>
        <v>0.0063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HYPERLINK("http://141.218.60.56/~jnz1568/getInfo.php?workbook=18_08.xlsx&amp;sheet=U0&amp;row=2330&amp;col=6&amp;number=3.6&amp;sourceID=14","3.6")</f>
        <v>3.6</v>
      </c>
      <c r="G2330" s="4" t="str">
        <f>HYPERLINK("http://141.218.60.56/~jnz1568/getInfo.php?workbook=18_08.xlsx&amp;sheet=U0&amp;row=2330&amp;col=7&amp;number=0.0063&amp;sourceID=14","0.0063")</f>
        <v>0.0063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HYPERLINK("http://141.218.60.56/~jnz1568/getInfo.php?workbook=18_08.xlsx&amp;sheet=U0&amp;row=2331&amp;col=6&amp;number=3.7&amp;sourceID=14","3.7")</f>
        <v>3.7</v>
      </c>
      <c r="G2331" s="4" t="str">
        <f>HYPERLINK("http://141.218.60.56/~jnz1568/getInfo.php?workbook=18_08.xlsx&amp;sheet=U0&amp;row=2331&amp;col=7&amp;number=0.0063&amp;sourceID=14","0.0063")</f>
        <v>0.0063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HYPERLINK("http://141.218.60.56/~jnz1568/getInfo.php?workbook=18_08.xlsx&amp;sheet=U0&amp;row=2332&amp;col=6&amp;number=3.8&amp;sourceID=14","3.8")</f>
        <v>3.8</v>
      </c>
      <c r="G2332" s="4" t="str">
        <f>HYPERLINK("http://141.218.60.56/~jnz1568/getInfo.php?workbook=18_08.xlsx&amp;sheet=U0&amp;row=2332&amp;col=7&amp;number=0.00629&amp;sourceID=14","0.00629")</f>
        <v>0.00629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HYPERLINK("http://141.218.60.56/~jnz1568/getInfo.php?workbook=18_08.xlsx&amp;sheet=U0&amp;row=2333&amp;col=6&amp;number=3.9&amp;sourceID=14","3.9")</f>
        <v>3.9</v>
      </c>
      <c r="G2333" s="4" t="str">
        <f>HYPERLINK("http://141.218.60.56/~jnz1568/getInfo.php?workbook=18_08.xlsx&amp;sheet=U0&amp;row=2333&amp;col=7&amp;number=0.00629&amp;sourceID=14","0.00629")</f>
        <v>0.00629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HYPERLINK("http://141.218.60.56/~jnz1568/getInfo.php?workbook=18_08.xlsx&amp;sheet=U0&amp;row=2334&amp;col=6&amp;number=4&amp;sourceID=14","4")</f>
        <v>4</v>
      </c>
      <c r="G2334" s="4" t="str">
        <f>HYPERLINK("http://141.218.60.56/~jnz1568/getInfo.php?workbook=18_08.xlsx&amp;sheet=U0&amp;row=2334&amp;col=7&amp;number=0.00629&amp;sourceID=14","0.00629")</f>
        <v>0.00629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HYPERLINK("http://141.218.60.56/~jnz1568/getInfo.php?workbook=18_08.xlsx&amp;sheet=U0&amp;row=2335&amp;col=6&amp;number=4.1&amp;sourceID=14","4.1")</f>
        <v>4.1</v>
      </c>
      <c r="G2335" s="4" t="str">
        <f>HYPERLINK("http://141.218.60.56/~jnz1568/getInfo.php?workbook=18_08.xlsx&amp;sheet=U0&amp;row=2335&amp;col=7&amp;number=0.00628&amp;sourceID=14","0.00628")</f>
        <v>0.00628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HYPERLINK("http://141.218.60.56/~jnz1568/getInfo.php?workbook=18_08.xlsx&amp;sheet=U0&amp;row=2336&amp;col=6&amp;number=4.2&amp;sourceID=14","4.2")</f>
        <v>4.2</v>
      </c>
      <c r="G2336" s="4" t="str">
        <f>HYPERLINK("http://141.218.60.56/~jnz1568/getInfo.php?workbook=18_08.xlsx&amp;sheet=U0&amp;row=2336&amp;col=7&amp;number=0.00628&amp;sourceID=14","0.00628")</f>
        <v>0.00628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HYPERLINK("http://141.218.60.56/~jnz1568/getInfo.php?workbook=18_08.xlsx&amp;sheet=U0&amp;row=2337&amp;col=6&amp;number=4.3&amp;sourceID=14","4.3")</f>
        <v>4.3</v>
      </c>
      <c r="G2337" s="4" t="str">
        <f>HYPERLINK("http://141.218.60.56/~jnz1568/getInfo.php?workbook=18_08.xlsx&amp;sheet=U0&amp;row=2337&amp;col=7&amp;number=0.00627&amp;sourceID=14","0.00627")</f>
        <v>0.00627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HYPERLINK("http://141.218.60.56/~jnz1568/getInfo.php?workbook=18_08.xlsx&amp;sheet=U0&amp;row=2338&amp;col=6&amp;number=4.4&amp;sourceID=14","4.4")</f>
        <v>4.4</v>
      </c>
      <c r="G2338" s="4" t="str">
        <f>HYPERLINK("http://141.218.60.56/~jnz1568/getInfo.php?workbook=18_08.xlsx&amp;sheet=U0&amp;row=2338&amp;col=7&amp;number=0.00627&amp;sourceID=14","0.00627")</f>
        <v>0.00627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HYPERLINK("http://141.218.60.56/~jnz1568/getInfo.php?workbook=18_08.xlsx&amp;sheet=U0&amp;row=2339&amp;col=6&amp;number=4.5&amp;sourceID=14","4.5")</f>
        <v>4.5</v>
      </c>
      <c r="G2339" s="4" t="str">
        <f>HYPERLINK("http://141.218.60.56/~jnz1568/getInfo.php?workbook=18_08.xlsx&amp;sheet=U0&amp;row=2339&amp;col=7&amp;number=0.00626&amp;sourceID=14","0.00626")</f>
        <v>0.00626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HYPERLINK("http://141.218.60.56/~jnz1568/getInfo.php?workbook=18_08.xlsx&amp;sheet=U0&amp;row=2340&amp;col=6&amp;number=4.6&amp;sourceID=14","4.6")</f>
        <v>4.6</v>
      </c>
      <c r="G2340" s="4" t="str">
        <f>HYPERLINK("http://141.218.60.56/~jnz1568/getInfo.php?workbook=18_08.xlsx&amp;sheet=U0&amp;row=2340&amp;col=7&amp;number=0.00624&amp;sourceID=14","0.00624")</f>
        <v>0.00624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HYPERLINK("http://141.218.60.56/~jnz1568/getInfo.php?workbook=18_08.xlsx&amp;sheet=U0&amp;row=2341&amp;col=6&amp;number=4.7&amp;sourceID=14","4.7")</f>
        <v>4.7</v>
      </c>
      <c r="G2341" s="4" t="str">
        <f>HYPERLINK("http://141.218.60.56/~jnz1568/getInfo.php?workbook=18_08.xlsx&amp;sheet=U0&amp;row=2341&amp;col=7&amp;number=0.00623&amp;sourceID=14","0.00623")</f>
        <v>0.00623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HYPERLINK("http://141.218.60.56/~jnz1568/getInfo.php?workbook=18_08.xlsx&amp;sheet=U0&amp;row=2342&amp;col=6&amp;number=4.8&amp;sourceID=14","4.8")</f>
        <v>4.8</v>
      </c>
      <c r="G2342" s="4" t="str">
        <f>HYPERLINK("http://141.218.60.56/~jnz1568/getInfo.php?workbook=18_08.xlsx&amp;sheet=U0&amp;row=2342&amp;col=7&amp;number=0.00621&amp;sourceID=14","0.00621")</f>
        <v>0.00621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HYPERLINK("http://141.218.60.56/~jnz1568/getInfo.php?workbook=18_08.xlsx&amp;sheet=U0&amp;row=2343&amp;col=6&amp;number=4.9&amp;sourceID=14","4.9")</f>
        <v>4.9</v>
      </c>
      <c r="G2343" s="4" t="str">
        <f>HYPERLINK("http://141.218.60.56/~jnz1568/getInfo.php?workbook=18_08.xlsx&amp;sheet=U0&amp;row=2343&amp;col=7&amp;number=0.00619&amp;sourceID=14","0.00619")</f>
        <v>0.00619</v>
      </c>
    </row>
    <row r="2344" spans="1:7">
      <c r="A2344" s="3">
        <v>18</v>
      </c>
      <c r="B2344" s="3">
        <v>8</v>
      </c>
      <c r="C2344" s="3" t="s">
        <v>56</v>
      </c>
      <c r="D2344" s="3">
        <v>5</v>
      </c>
      <c r="E2344" s="3">
        <v>1</v>
      </c>
      <c r="F2344" s="4" t="str">
        <f>HYPERLINK("http://141.218.60.56/~jnz1568/getInfo.php?workbook=18_08.xlsx&amp;sheet=U0&amp;row=2344&amp;col=6&amp;number=3&amp;sourceID=14","3")</f>
        <v>3</v>
      </c>
      <c r="G2344" s="4" t="str">
        <f>HYPERLINK("http://141.218.60.56/~jnz1568/getInfo.php?workbook=18_08.xlsx&amp;sheet=U0&amp;row=2344&amp;col=7&amp;number=0.000678&amp;sourceID=14","0.000678")</f>
        <v>0.000678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HYPERLINK("http://141.218.60.56/~jnz1568/getInfo.php?workbook=18_08.xlsx&amp;sheet=U0&amp;row=2345&amp;col=6&amp;number=3.1&amp;sourceID=14","3.1")</f>
        <v>3.1</v>
      </c>
      <c r="G2345" s="4" t="str">
        <f>HYPERLINK("http://141.218.60.56/~jnz1568/getInfo.php?workbook=18_08.xlsx&amp;sheet=U0&amp;row=2345&amp;col=7&amp;number=0.000678&amp;sourceID=14","0.000678")</f>
        <v>0.000678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HYPERLINK("http://141.218.60.56/~jnz1568/getInfo.php?workbook=18_08.xlsx&amp;sheet=U0&amp;row=2346&amp;col=6&amp;number=3.2&amp;sourceID=14","3.2")</f>
        <v>3.2</v>
      </c>
      <c r="G2346" s="4" t="str">
        <f>HYPERLINK("http://141.218.60.56/~jnz1568/getInfo.php?workbook=18_08.xlsx&amp;sheet=U0&amp;row=2346&amp;col=7&amp;number=0.000678&amp;sourceID=14","0.000678")</f>
        <v>0.000678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HYPERLINK("http://141.218.60.56/~jnz1568/getInfo.php?workbook=18_08.xlsx&amp;sheet=U0&amp;row=2347&amp;col=6&amp;number=3.3&amp;sourceID=14","3.3")</f>
        <v>3.3</v>
      </c>
      <c r="G2347" s="4" t="str">
        <f>HYPERLINK("http://141.218.60.56/~jnz1568/getInfo.php?workbook=18_08.xlsx&amp;sheet=U0&amp;row=2347&amp;col=7&amp;number=0.000678&amp;sourceID=14","0.000678")</f>
        <v>0.000678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HYPERLINK("http://141.218.60.56/~jnz1568/getInfo.php?workbook=18_08.xlsx&amp;sheet=U0&amp;row=2348&amp;col=6&amp;number=3.4&amp;sourceID=14","3.4")</f>
        <v>3.4</v>
      </c>
      <c r="G2348" s="4" t="str">
        <f>HYPERLINK("http://141.218.60.56/~jnz1568/getInfo.php?workbook=18_08.xlsx&amp;sheet=U0&amp;row=2348&amp;col=7&amp;number=0.000678&amp;sourceID=14","0.000678")</f>
        <v>0.000678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HYPERLINK("http://141.218.60.56/~jnz1568/getInfo.php?workbook=18_08.xlsx&amp;sheet=U0&amp;row=2349&amp;col=6&amp;number=3.5&amp;sourceID=14","3.5")</f>
        <v>3.5</v>
      </c>
      <c r="G2349" s="4" t="str">
        <f>HYPERLINK("http://141.218.60.56/~jnz1568/getInfo.php?workbook=18_08.xlsx&amp;sheet=U0&amp;row=2349&amp;col=7&amp;number=0.000678&amp;sourceID=14","0.000678")</f>
        <v>0.000678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HYPERLINK("http://141.218.60.56/~jnz1568/getInfo.php?workbook=18_08.xlsx&amp;sheet=U0&amp;row=2350&amp;col=6&amp;number=3.6&amp;sourceID=14","3.6")</f>
        <v>3.6</v>
      </c>
      <c r="G2350" s="4" t="str">
        <f>HYPERLINK("http://141.218.60.56/~jnz1568/getInfo.php?workbook=18_08.xlsx&amp;sheet=U0&amp;row=2350&amp;col=7&amp;number=0.000678&amp;sourceID=14","0.000678")</f>
        <v>0.000678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HYPERLINK("http://141.218.60.56/~jnz1568/getInfo.php?workbook=18_08.xlsx&amp;sheet=U0&amp;row=2351&amp;col=6&amp;number=3.7&amp;sourceID=14","3.7")</f>
        <v>3.7</v>
      </c>
      <c r="G2351" s="4" t="str">
        <f>HYPERLINK("http://141.218.60.56/~jnz1568/getInfo.php?workbook=18_08.xlsx&amp;sheet=U0&amp;row=2351&amp;col=7&amp;number=0.000678&amp;sourceID=14","0.000678")</f>
        <v>0.000678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HYPERLINK("http://141.218.60.56/~jnz1568/getInfo.php?workbook=18_08.xlsx&amp;sheet=U0&amp;row=2352&amp;col=6&amp;number=3.8&amp;sourceID=14","3.8")</f>
        <v>3.8</v>
      </c>
      <c r="G2352" s="4" t="str">
        <f>HYPERLINK("http://141.218.60.56/~jnz1568/getInfo.php?workbook=18_08.xlsx&amp;sheet=U0&amp;row=2352&amp;col=7&amp;number=0.000677&amp;sourceID=14","0.000677")</f>
        <v>0.000677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HYPERLINK("http://141.218.60.56/~jnz1568/getInfo.php?workbook=18_08.xlsx&amp;sheet=U0&amp;row=2353&amp;col=6&amp;number=3.9&amp;sourceID=14","3.9")</f>
        <v>3.9</v>
      </c>
      <c r="G2353" s="4" t="str">
        <f>HYPERLINK("http://141.218.60.56/~jnz1568/getInfo.php?workbook=18_08.xlsx&amp;sheet=U0&amp;row=2353&amp;col=7&amp;number=0.000677&amp;sourceID=14","0.000677")</f>
        <v>0.000677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HYPERLINK("http://141.218.60.56/~jnz1568/getInfo.php?workbook=18_08.xlsx&amp;sheet=U0&amp;row=2354&amp;col=6&amp;number=4&amp;sourceID=14","4")</f>
        <v>4</v>
      </c>
      <c r="G2354" s="4" t="str">
        <f>HYPERLINK("http://141.218.60.56/~jnz1568/getInfo.php?workbook=18_08.xlsx&amp;sheet=U0&amp;row=2354&amp;col=7&amp;number=0.000677&amp;sourceID=14","0.000677")</f>
        <v>0.000677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HYPERLINK("http://141.218.60.56/~jnz1568/getInfo.php?workbook=18_08.xlsx&amp;sheet=U0&amp;row=2355&amp;col=6&amp;number=4.1&amp;sourceID=14","4.1")</f>
        <v>4.1</v>
      </c>
      <c r="G2355" s="4" t="str">
        <f>HYPERLINK("http://141.218.60.56/~jnz1568/getInfo.php?workbook=18_08.xlsx&amp;sheet=U0&amp;row=2355&amp;col=7&amp;number=0.000677&amp;sourceID=14","0.000677")</f>
        <v>0.000677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HYPERLINK("http://141.218.60.56/~jnz1568/getInfo.php?workbook=18_08.xlsx&amp;sheet=U0&amp;row=2356&amp;col=6&amp;number=4.2&amp;sourceID=14","4.2")</f>
        <v>4.2</v>
      </c>
      <c r="G2356" s="4" t="str">
        <f>HYPERLINK("http://141.218.60.56/~jnz1568/getInfo.php?workbook=18_08.xlsx&amp;sheet=U0&amp;row=2356&amp;col=7&amp;number=0.000676&amp;sourceID=14","0.000676")</f>
        <v>0.000676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HYPERLINK("http://141.218.60.56/~jnz1568/getInfo.php?workbook=18_08.xlsx&amp;sheet=U0&amp;row=2357&amp;col=6&amp;number=4.3&amp;sourceID=14","4.3")</f>
        <v>4.3</v>
      </c>
      <c r="G2357" s="4" t="str">
        <f>HYPERLINK("http://141.218.60.56/~jnz1568/getInfo.php?workbook=18_08.xlsx&amp;sheet=U0&amp;row=2357&amp;col=7&amp;number=0.000676&amp;sourceID=14","0.000676")</f>
        <v>0.000676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HYPERLINK("http://141.218.60.56/~jnz1568/getInfo.php?workbook=18_08.xlsx&amp;sheet=U0&amp;row=2358&amp;col=6&amp;number=4.4&amp;sourceID=14","4.4")</f>
        <v>4.4</v>
      </c>
      <c r="G2358" s="4" t="str">
        <f>HYPERLINK("http://141.218.60.56/~jnz1568/getInfo.php?workbook=18_08.xlsx&amp;sheet=U0&amp;row=2358&amp;col=7&amp;number=0.000675&amp;sourceID=14","0.000675")</f>
        <v>0.000675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HYPERLINK("http://141.218.60.56/~jnz1568/getInfo.php?workbook=18_08.xlsx&amp;sheet=U0&amp;row=2359&amp;col=6&amp;number=4.5&amp;sourceID=14","4.5")</f>
        <v>4.5</v>
      </c>
      <c r="G2359" s="4" t="str">
        <f>HYPERLINK("http://141.218.60.56/~jnz1568/getInfo.php?workbook=18_08.xlsx&amp;sheet=U0&amp;row=2359&amp;col=7&amp;number=0.000675&amp;sourceID=14","0.000675")</f>
        <v>0.000675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HYPERLINK("http://141.218.60.56/~jnz1568/getInfo.php?workbook=18_08.xlsx&amp;sheet=U0&amp;row=2360&amp;col=6&amp;number=4.6&amp;sourceID=14","4.6")</f>
        <v>4.6</v>
      </c>
      <c r="G2360" s="4" t="str">
        <f>HYPERLINK("http://141.218.60.56/~jnz1568/getInfo.php?workbook=18_08.xlsx&amp;sheet=U0&amp;row=2360&amp;col=7&amp;number=0.000674&amp;sourceID=14","0.000674")</f>
        <v>0.000674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HYPERLINK("http://141.218.60.56/~jnz1568/getInfo.php?workbook=18_08.xlsx&amp;sheet=U0&amp;row=2361&amp;col=6&amp;number=4.7&amp;sourceID=14","4.7")</f>
        <v>4.7</v>
      </c>
      <c r="G2361" s="4" t="str">
        <f>HYPERLINK("http://141.218.60.56/~jnz1568/getInfo.php?workbook=18_08.xlsx&amp;sheet=U0&amp;row=2361&amp;col=7&amp;number=0.000673&amp;sourceID=14","0.000673")</f>
        <v>0.000673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HYPERLINK("http://141.218.60.56/~jnz1568/getInfo.php?workbook=18_08.xlsx&amp;sheet=U0&amp;row=2362&amp;col=6&amp;number=4.8&amp;sourceID=14","4.8")</f>
        <v>4.8</v>
      </c>
      <c r="G2362" s="4" t="str">
        <f>HYPERLINK("http://141.218.60.56/~jnz1568/getInfo.php?workbook=18_08.xlsx&amp;sheet=U0&amp;row=2362&amp;col=7&amp;number=0.000671&amp;sourceID=14","0.000671")</f>
        <v>0.000671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HYPERLINK("http://141.218.60.56/~jnz1568/getInfo.php?workbook=18_08.xlsx&amp;sheet=U0&amp;row=2363&amp;col=6&amp;number=4.9&amp;sourceID=14","4.9")</f>
        <v>4.9</v>
      </c>
      <c r="G2363" s="4" t="str">
        <f>HYPERLINK("http://141.218.60.56/~jnz1568/getInfo.php?workbook=18_08.xlsx&amp;sheet=U0&amp;row=2363&amp;col=7&amp;number=0.00067&amp;sourceID=14","0.00067")</f>
        <v>0.00067</v>
      </c>
    </row>
    <row r="2364" spans="1:7">
      <c r="A2364" s="3">
        <v>18</v>
      </c>
      <c r="B2364" s="3">
        <v>8</v>
      </c>
      <c r="C2364" s="3" t="s">
        <v>56</v>
      </c>
      <c r="D2364" s="3">
        <v>6</v>
      </c>
      <c r="E2364" s="3">
        <v>1</v>
      </c>
      <c r="F2364" s="4" t="str">
        <f>HYPERLINK("http://141.218.60.56/~jnz1568/getInfo.php?workbook=18_08.xlsx&amp;sheet=U0&amp;row=2364&amp;col=6&amp;number=3&amp;sourceID=14","3")</f>
        <v>3</v>
      </c>
      <c r="G2364" s="4" t="str">
        <f>HYPERLINK("http://141.218.60.56/~jnz1568/getInfo.php?workbook=18_08.xlsx&amp;sheet=U0&amp;row=2364&amp;col=7&amp;number=0.0662&amp;sourceID=14","0.0662")</f>
        <v>0.0662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HYPERLINK("http://141.218.60.56/~jnz1568/getInfo.php?workbook=18_08.xlsx&amp;sheet=U0&amp;row=2365&amp;col=6&amp;number=3.1&amp;sourceID=14","3.1")</f>
        <v>3.1</v>
      </c>
      <c r="G2365" s="4" t="str">
        <f>HYPERLINK("http://141.218.60.56/~jnz1568/getInfo.php?workbook=18_08.xlsx&amp;sheet=U0&amp;row=2365&amp;col=7&amp;number=0.0662&amp;sourceID=14","0.0662")</f>
        <v>0.0662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HYPERLINK("http://141.218.60.56/~jnz1568/getInfo.php?workbook=18_08.xlsx&amp;sheet=U0&amp;row=2366&amp;col=6&amp;number=3.2&amp;sourceID=14","3.2")</f>
        <v>3.2</v>
      </c>
      <c r="G2366" s="4" t="str">
        <f>HYPERLINK("http://141.218.60.56/~jnz1568/getInfo.php?workbook=18_08.xlsx&amp;sheet=U0&amp;row=2366&amp;col=7&amp;number=0.0662&amp;sourceID=14","0.0662")</f>
        <v>0.0662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HYPERLINK("http://141.218.60.56/~jnz1568/getInfo.php?workbook=18_08.xlsx&amp;sheet=U0&amp;row=2367&amp;col=6&amp;number=3.3&amp;sourceID=14","3.3")</f>
        <v>3.3</v>
      </c>
      <c r="G2367" s="4" t="str">
        <f>HYPERLINK("http://141.218.60.56/~jnz1568/getInfo.php?workbook=18_08.xlsx&amp;sheet=U0&amp;row=2367&amp;col=7&amp;number=0.0662&amp;sourceID=14","0.0662")</f>
        <v>0.0662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HYPERLINK("http://141.218.60.56/~jnz1568/getInfo.php?workbook=18_08.xlsx&amp;sheet=U0&amp;row=2368&amp;col=6&amp;number=3.4&amp;sourceID=14","3.4")</f>
        <v>3.4</v>
      </c>
      <c r="G2368" s="4" t="str">
        <f>HYPERLINK("http://141.218.60.56/~jnz1568/getInfo.php?workbook=18_08.xlsx&amp;sheet=U0&amp;row=2368&amp;col=7&amp;number=0.0662&amp;sourceID=14","0.0662")</f>
        <v>0.0662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HYPERLINK("http://141.218.60.56/~jnz1568/getInfo.php?workbook=18_08.xlsx&amp;sheet=U0&amp;row=2369&amp;col=6&amp;number=3.5&amp;sourceID=14","3.5")</f>
        <v>3.5</v>
      </c>
      <c r="G2369" s="4" t="str">
        <f>HYPERLINK("http://141.218.60.56/~jnz1568/getInfo.php?workbook=18_08.xlsx&amp;sheet=U0&amp;row=2369&amp;col=7&amp;number=0.0662&amp;sourceID=14","0.0662")</f>
        <v>0.0662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HYPERLINK("http://141.218.60.56/~jnz1568/getInfo.php?workbook=18_08.xlsx&amp;sheet=U0&amp;row=2370&amp;col=6&amp;number=3.6&amp;sourceID=14","3.6")</f>
        <v>3.6</v>
      </c>
      <c r="G2370" s="4" t="str">
        <f>HYPERLINK("http://141.218.60.56/~jnz1568/getInfo.php?workbook=18_08.xlsx&amp;sheet=U0&amp;row=2370&amp;col=7&amp;number=0.0662&amp;sourceID=14","0.0662")</f>
        <v>0.0662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HYPERLINK("http://141.218.60.56/~jnz1568/getInfo.php?workbook=18_08.xlsx&amp;sheet=U0&amp;row=2371&amp;col=6&amp;number=3.7&amp;sourceID=14","3.7")</f>
        <v>3.7</v>
      </c>
      <c r="G2371" s="4" t="str">
        <f>HYPERLINK("http://141.218.60.56/~jnz1568/getInfo.php?workbook=18_08.xlsx&amp;sheet=U0&amp;row=2371&amp;col=7&amp;number=0.0662&amp;sourceID=14","0.0662")</f>
        <v>0.0662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HYPERLINK("http://141.218.60.56/~jnz1568/getInfo.php?workbook=18_08.xlsx&amp;sheet=U0&amp;row=2372&amp;col=6&amp;number=3.8&amp;sourceID=14","3.8")</f>
        <v>3.8</v>
      </c>
      <c r="G2372" s="4" t="str">
        <f>HYPERLINK("http://141.218.60.56/~jnz1568/getInfo.php?workbook=18_08.xlsx&amp;sheet=U0&amp;row=2372&amp;col=7&amp;number=0.0662&amp;sourceID=14","0.0662")</f>
        <v>0.0662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HYPERLINK("http://141.218.60.56/~jnz1568/getInfo.php?workbook=18_08.xlsx&amp;sheet=U0&amp;row=2373&amp;col=6&amp;number=3.9&amp;sourceID=14","3.9")</f>
        <v>3.9</v>
      </c>
      <c r="G2373" s="4" t="str">
        <f>HYPERLINK("http://141.218.60.56/~jnz1568/getInfo.php?workbook=18_08.xlsx&amp;sheet=U0&amp;row=2373&amp;col=7&amp;number=0.0662&amp;sourceID=14","0.0662")</f>
        <v>0.0662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HYPERLINK("http://141.218.60.56/~jnz1568/getInfo.php?workbook=18_08.xlsx&amp;sheet=U0&amp;row=2374&amp;col=6&amp;number=4&amp;sourceID=14","4")</f>
        <v>4</v>
      </c>
      <c r="G2374" s="4" t="str">
        <f>HYPERLINK("http://141.218.60.56/~jnz1568/getInfo.php?workbook=18_08.xlsx&amp;sheet=U0&amp;row=2374&amp;col=7&amp;number=0.0662&amp;sourceID=14","0.0662")</f>
        <v>0.0662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HYPERLINK("http://141.218.60.56/~jnz1568/getInfo.php?workbook=18_08.xlsx&amp;sheet=U0&amp;row=2375&amp;col=6&amp;number=4.1&amp;sourceID=14","4.1")</f>
        <v>4.1</v>
      </c>
      <c r="G2375" s="4" t="str">
        <f>HYPERLINK("http://141.218.60.56/~jnz1568/getInfo.php?workbook=18_08.xlsx&amp;sheet=U0&amp;row=2375&amp;col=7&amp;number=0.0662&amp;sourceID=14","0.0662")</f>
        <v>0.0662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HYPERLINK("http://141.218.60.56/~jnz1568/getInfo.php?workbook=18_08.xlsx&amp;sheet=U0&amp;row=2376&amp;col=6&amp;number=4.2&amp;sourceID=14","4.2")</f>
        <v>4.2</v>
      </c>
      <c r="G2376" s="4" t="str">
        <f>HYPERLINK("http://141.218.60.56/~jnz1568/getInfo.php?workbook=18_08.xlsx&amp;sheet=U0&amp;row=2376&amp;col=7&amp;number=0.0662&amp;sourceID=14","0.0662")</f>
        <v>0.0662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HYPERLINK("http://141.218.60.56/~jnz1568/getInfo.php?workbook=18_08.xlsx&amp;sheet=U0&amp;row=2377&amp;col=6&amp;number=4.3&amp;sourceID=14","4.3")</f>
        <v>4.3</v>
      </c>
      <c r="G2377" s="4" t="str">
        <f>HYPERLINK("http://141.218.60.56/~jnz1568/getInfo.php?workbook=18_08.xlsx&amp;sheet=U0&amp;row=2377&amp;col=7&amp;number=0.0662&amp;sourceID=14","0.0662")</f>
        <v>0.0662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HYPERLINK("http://141.218.60.56/~jnz1568/getInfo.php?workbook=18_08.xlsx&amp;sheet=U0&amp;row=2378&amp;col=6&amp;number=4.4&amp;sourceID=14","4.4")</f>
        <v>4.4</v>
      </c>
      <c r="G2378" s="4" t="str">
        <f>HYPERLINK("http://141.218.60.56/~jnz1568/getInfo.php?workbook=18_08.xlsx&amp;sheet=U0&amp;row=2378&amp;col=7&amp;number=0.0662&amp;sourceID=14","0.0662")</f>
        <v>0.0662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HYPERLINK("http://141.218.60.56/~jnz1568/getInfo.php?workbook=18_08.xlsx&amp;sheet=U0&amp;row=2379&amp;col=6&amp;number=4.5&amp;sourceID=14","4.5")</f>
        <v>4.5</v>
      </c>
      <c r="G2379" s="4" t="str">
        <f>HYPERLINK("http://141.218.60.56/~jnz1568/getInfo.php?workbook=18_08.xlsx&amp;sheet=U0&amp;row=2379&amp;col=7&amp;number=0.0662&amp;sourceID=14","0.0662")</f>
        <v>0.0662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HYPERLINK("http://141.218.60.56/~jnz1568/getInfo.php?workbook=18_08.xlsx&amp;sheet=U0&amp;row=2380&amp;col=6&amp;number=4.6&amp;sourceID=14","4.6")</f>
        <v>4.6</v>
      </c>
      <c r="G2380" s="4" t="str">
        <f>HYPERLINK("http://141.218.60.56/~jnz1568/getInfo.php?workbook=18_08.xlsx&amp;sheet=U0&amp;row=2380&amp;col=7&amp;number=0.0663&amp;sourceID=14","0.0663")</f>
        <v>0.0663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HYPERLINK("http://141.218.60.56/~jnz1568/getInfo.php?workbook=18_08.xlsx&amp;sheet=U0&amp;row=2381&amp;col=6&amp;number=4.7&amp;sourceID=14","4.7")</f>
        <v>4.7</v>
      </c>
      <c r="G2381" s="4" t="str">
        <f>HYPERLINK("http://141.218.60.56/~jnz1568/getInfo.php?workbook=18_08.xlsx&amp;sheet=U0&amp;row=2381&amp;col=7&amp;number=0.0663&amp;sourceID=14","0.0663")</f>
        <v>0.0663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HYPERLINK("http://141.218.60.56/~jnz1568/getInfo.php?workbook=18_08.xlsx&amp;sheet=U0&amp;row=2382&amp;col=6&amp;number=4.8&amp;sourceID=14","4.8")</f>
        <v>4.8</v>
      </c>
      <c r="G2382" s="4" t="str">
        <f>HYPERLINK("http://141.218.60.56/~jnz1568/getInfo.php?workbook=18_08.xlsx&amp;sheet=U0&amp;row=2382&amp;col=7&amp;number=0.0663&amp;sourceID=14","0.0663")</f>
        <v>0.0663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HYPERLINK("http://141.218.60.56/~jnz1568/getInfo.php?workbook=18_08.xlsx&amp;sheet=U0&amp;row=2383&amp;col=6&amp;number=4.9&amp;sourceID=14","4.9")</f>
        <v>4.9</v>
      </c>
      <c r="G2383" s="4" t="str">
        <f>HYPERLINK("http://141.218.60.56/~jnz1568/getInfo.php?workbook=18_08.xlsx&amp;sheet=U0&amp;row=2383&amp;col=7&amp;number=0.0664&amp;sourceID=14","0.0664")</f>
        <v>0.0664</v>
      </c>
    </row>
    <row r="2384" spans="1:7">
      <c r="A2384" s="3">
        <v>18</v>
      </c>
      <c r="B2384" s="3">
        <v>8</v>
      </c>
      <c r="C2384" s="3" t="s">
        <v>56</v>
      </c>
      <c r="D2384" s="3">
        <v>7</v>
      </c>
      <c r="E2384" s="3">
        <v>1</v>
      </c>
      <c r="F2384" s="4" t="str">
        <f>HYPERLINK("http://141.218.60.56/~jnz1568/getInfo.php?workbook=18_08.xlsx&amp;sheet=U0&amp;row=2384&amp;col=6&amp;number=3&amp;sourceID=14","3")</f>
        <v>3</v>
      </c>
      <c r="G2384" s="4" t="str">
        <f>HYPERLINK("http://141.218.60.56/~jnz1568/getInfo.php?workbook=18_08.xlsx&amp;sheet=U0&amp;row=2384&amp;col=7&amp;number=0.00286&amp;sourceID=14","0.00286")</f>
        <v>0.00286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HYPERLINK("http://141.218.60.56/~jnz1568/getInfo.php?workbook=18_08.xlsx&amp;sheet=U0&amp;row=2385&amp;col=6&amp;number=3.1&amp;sourceID=14","3.1")</f>
        <v>3.1</v>
      </c>
      <c r="G2385" s="4" t="str">
        <f>HYPERLINK("http://141.218.60.56/~jnz1568/getInfo.php?workbook=18_08.xlsx&amp;sheet=U0&amp;row=2385&amp;col=7&amp;number=0.00286&amp;sourceID=14","0.00286")</f>
        <v>0.00286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HYPERLINK("http://141.218.60.56/~jnz1568/getInfo.php?workbook=18_08.xlsx&amp;sheet=U0&amp;row=2386&amp;col=6&amp;number=3.2&amp;sourceID=14","3.2")</f>
        <v>3.2</v>
      </c>
      <c r="G2386" s="4" t="str">
        <f>HYPERLINK("http://141.218.60.56/~jnz1568/getInfo.php?workbook=18_08.xlsx&amp;sheet=U0&amp;row=2386&amp;col=7&amp;number=0.00286&amp;sourceID=14","0.00286")</f>
        <v>0.00286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HYPERLINK("http://141.218.60.56/~jnz1568/getInfo.php?workbook=18_08.xlsx&amp;sheet=U0&amp;row=2387&amp;col=6&amp;number=3.3&amp;sourceID=14","3.3")</f>
        <v>3.3</v>
      </c>
      <c r="G2387" s="4" t="str">
        <f>HYPERLINK("http://141.218.60.56/~jnz1568/getInfo.php?workbook=18_08.xlsx&amp;sheet=U0&amp;row=2387&amp;col=7&amp;number=0.00286&amp;sourceID=14","0.00286")</f>
        <v>0.00286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HYPERLINK("http://141.218.60.56/~jnz1568/getInfo.php?workbook=18_08.xlsx&amp;sheet=U0&amp;row=2388&amp;col=6&amp;number=3.4&amp;sourceID=14","3.4")</f>
        <v>3.4</v>
      </c>
      <c r="G2388" s="4" t="str">
        <f>HYPERLINK("http://141.218.60.56/~jnz1568/getInfo.php?workbook=18_08.xlsx&amp;sheet=U0&amp;row=2388&amp;col=7&amp;number=0.00286&amp;sourceID=14","0.00286")</f>
        <v>0.00286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HYPERLINK("http://141.218.60.56/~jnz1568/getInfo.php?workbook=18_08.xlsx&amp;sheet=U0&amp;row=2389&amp;col=6&amp;number=3.5&amp;sourceID=14","3.5")</f>
        <v>3.5</v>
      </c>
      <c r="G2389" s="4" t="str">
        <f>HYPERLINK("http://141.218.60.56/~jnz1568/getInfo.php?workbook=18_08.xlsx&amp;sheet=U0&amp;row=2389&amp;col=7&amp;number=0.00286&amp;sourceID=14","0.00286")</f>
        <v>0.00286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HYPERLINK("http://141.218.60.56/~jnz1568/getInfo.php?workbook=18_08.xlsx&amp;sheet=U0&amp;row=2390&amp;col=6&amp;number=3.6&amp;sourceID=14","3.6")</f>
        <v>3.6</v>
      </c>
      <c r="G2390" s="4" t="str">
        <f>HYPERLINK("http://141.218.60.56/~jnz1568/getInfo.php?workbook=18_08.xlsx&amp;sheet=U0&amp;row=2390&amp;col=7&amp;number=0.00286&amp;sourceID=14","0.00286")</f>
        <v>0.00286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HYPERLINK("http://141.218.60.56/~jnz1568/getInfo.php?workbook=18_08.xlsx&amp;sheet=U0&amp;row=2391&amp;col=6&amp;number=3.7&amp;sourceID=14","3.7")</f>
        <v>3.7</v>
      </c>
      <c r="G2391" s="4" t="str">
        <f>HYPERLINK("http://141.218.60.56/~jnz1568/getInfo.php?workbook=18_08.xlsx&amp;sheet=U0&amp;row=2391&amp;col=7&amp;number=0.00286&amp;sourceID=14","0.00286")</f>
        <v>0.00286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HYPERLINK("http://141.218.60.56/~jnz1568/getInfo.php?workbook=18_08.xlsx&amp;sheet=U0&amp;row=2392&amp;col=6&amp;number=3.8&amp;sourceID=14","3.8")</f>
        <v>3.8</v>
      </c>
      <c r="G2392" s="4" t="str">
        <f>HYPERLINK("http://141.218.60.56/~jnz1568/getInfo.php?workbook=18_08.xlsx&amp;sheet=U0&amp;row=2392&amp;col=7&amp;number=0.00286&amp;sourceID=14","0.00286")</f>
        <v>0.00286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HYPERLINK("http://141.218.60.56/~jnz1568/getInfo.php?workbook=18_08.xlsx&amp;sheet=U0&amp;row=2393&amp;col=6&amp;number=3.9&amp;sourceID=14","3.9")</f>
        <v>3.9</v>
      </c>
      <c r="G2393" s="4" t="str">
        <f>HYPERLINK("http://141.218.60.56/~jnz1568/getInfo.php?workbook=18_08.xlsx&amp;sheet=U0&amp;row=2393&amp;col=7&amp;number=0.00286&amp;sourceID=14","0.00286")</f>
        <v>0.00286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HYPERLINK("http://141.218.60.56/~jnz1568/getInfo.php?workbook=18_08.xlsx&amp;sheet=U0&amp;row=2394&amp;col=6&amp;number=4&amp;sourceID=14","4")</f>
        <v>4</v>
      </c>
      <c r="G2394" s="4" t="str">
        <f>HYPERLINK("http://141.218.60.56/~jnz1568/getInfo.php?workbook=18_08.xlsx&amp;sheet=U0&amp;row=2394&amp;col=7&amp;number=0.00286&amp;sourceID=14","0.00286")</f>
        <v>0.00286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HYPERLINK("http://141.218.60.56/~jnz1568/getInfo.php?workbook=18_08.xlsx&amp;sheet=U0&amp;row=2395&amp;col=6&amp;number=4.1&amp;sourceID=14","4.1")</f>
        <v>4.1</v>
      </c>
      <c r="G2395" s="4" t="str">
        <f>HYPERLINK("http://141.218.60.56/~jnz1568/getInfo.php?workbook=18_08.xlsx&amp;sheet=U0&amp;row=2395&amp;col=7&amp;number=0.00286&amp;sourceID=14","0.00286")</f>
        <v>0.00286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HYPERLINK("http://141.218.60.56/~jnz1568/getInfo.php?workbook=18_08.xlsx&amp;sheet=U0&amp;row=2396&amp;col=6&amp;number=4.2&amp;sourceID=14","4.2")</f>
        <v>4.2</v>
      </c>
      <c r="G2396" s="4" t="str">
        <f>HYPERLINK("http://141.218.60.56/~jnz1568/getInfo.php?workbook=18_08.xlsx&amp;sheet=U0&amp;row=2396&amp;col=7&amp;number=0.00286&amp;sourceID=14","0.00286")</f>
        <v>0.00286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HYPERLINK("http://141.218.60.56/~jnz1568/getInfo.php?workbook=18_08.xlsx&amp;sheet=U0&amp;row=2397&amp;col=6&amp;number=4.3&amp;sourceID=14","4.3")</f>
        <v>4.3</v>
      </c>
      <c r="G2397" s="4" t="str">
        <f>HYPERLINK("http://141.218.60.56/~jnz1568/getInfo.php?workbook=18_08.xlsx&amp;sheet=U0&amp;row=2397&amp;col=7&amp;number=0.00286&amp;sourceID=14","0.00286")</f>
        <v>0.00286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HYPERLINK("http://141.218.60.56/~jnz1568/getInfo.php?workbook=18_08.xlsx&amp;sheet=U0&amp;row=2398&amp;col=6&amp;number=4.4&amp;sourceID=14","4.4")</f>
        <v>4.4</v>
      </c>
      <c r="G2398" s="4" t="str">
        <f>HYPERLINK("http://141.218.60.56/~jnz1568/getInfo.php?workbook=18_08.xlsx&amp;sheet=U0&amp;row=2398&amp;col=7&amp;number=0.00286&amp;sourceID=14","0.00286")</f>
        <v>0.00286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HYPERLINK("http://141.218.60.56/~jnz1568/getInfo.php?workbook=18_08.xlsx&amp;sheet=U0&amp;row=2399&amp;col=6&amp;number=4.5&amp;sourceID=14","4.5")</f>
        <v>4.5</v>
      </c>
      <c r="G2399" s="4" t="str">
        <f>HYPERLINK("http://141.218.60.56/~jnz1568/getInfo.php?workbook=18_08.xlsx&amp;sheet=U0&amp;row=2399&amp;col=7&amp;number=0.00286&amp;sourceID=14","0.00286")</f>
        <v>0.00286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HYPERLINK("http://141.218.60.56/~jnz1568/getInfo.php?workbook=18_08.xlsx&amp;sheet=U0&amp;row=2400&amp;col=6&amp;number=4.6&amp;sourceID=14","4.6")</f>
        <v>4.6</v>
      </c>
      <c r="G2400" s="4" t="str">
        <f>HYPERLINK("http://141.218.60.56/~jnz1568/getInfo.php?workbook=18_08.xlsx&amp;sheet=U0&amp;row=2400&amp;col=7&amp;number=0.00286&amp;sourceID=14","0.00286")</f>
        <v>0.00286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HYPERLINK("http://141.218.60.56/~jnz1568/getInfo.php?workbook=18_08.xlsx&amp;sheet=U0&amp;row=2401&amp;col=6&amp;number=4.7&amp;sourceID=14","4.7")</f>
        <v>4.7</v>
      </c>
      <c r="G2401" s="4" t="str">
        <f>HYPERLINK("http://141.218.60.56/~jnz1568/getInfo.php?workbook=18_08.xlsx&amp;sheet=U0&amp;row=2401&amp;col=7&amp;number=0.00286&amp;sourceID=14","0.00286")</f>
        <v>0.00286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HYPERLINK("http://141.218.60.56/~jnz1568/getInfo.php?workbook=18_08.xlsx&amp;sheet=U0&amp;row=2402&amp;col=6&amp;number=4.8&amp;sourceID=14","4.8")</f>
        <v>4.8</v>
      </c>
      <c r="G2402" s="4" t="str">
        <f>HYPERLINK("http://141.218.60.56/~jnz1568/getInfo.php?workbook=18_08.xlsx&amp;sheet=U0&amp;row=2402&amp;col=7&amp;number=0.00285&amp;sourceID=14","0.00285")</f>
        <v>0.00285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HYPERLINK("http://141.218.60.56/~jnz1568/getInfo.php?workbook=18_08.xlsx&amp;sheet=U0&amp;row=2403&amp;col=6&amp;number=4.9&amp;sourceID=14","4.9")</f>
        <v>4.9</v>
      </c>
      <c r="G2403" s="4" t="str">
        <f>HYPERLINK("http://141.218.60.56/~jnz1568/getInfo.php?workbook=18_08.xlsx&amp;sheet=U0&amp;row=2403&amp;col=7&amp;number=0.00285&amp;sourceID=14","0.00285")</f>
        <v>0.00285</v>
      </c>
    </row>
    <row r="2404" spans="1:7">
      <c r="A2404" s="3">
        <v>18</v>
      </c>
      <c r="B2404" s="3">
        <v>8</v>
      </c>
      <c r="C2404" s="3" t="s">
        <v>56</v>
      </c>
      <c r="D2404" s="3">
        <v>8</v>
      </c>
      <c r="E2404" s="3">
        <v>1</v>
      </c>
      <c r="F2404" s="4" t="str">
        <f>HYPERLINK("http://141.218.60.56/~jnz1568/getInfo.php?workbook=18_08.xlsx&amp;sheet=U0&amp;row=2404&amp;col=6&amp;number=3&amp;sourceID=14","3")</f>
        <v>3</v>
      </c>
      <c r="G2404" s="4" t="str">
        <f>HYPERLINK("http://141.218.60.56/~jnz1568/getInfo.php?workbook=18_08.xlsx&amp;sheet=U0&amp;row=2404&amp;col=7&amp;number=0.0022&amp;sourceID=14","0.0022")</f>
        <v>0.0022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HYPERLINK("http://141.218.60.56/~jnz1568/getInfo.php?workbook=18_08.xlsx&amp;sheet=U0&amp;row=2405&amp;col=6&amp;number=3.1&amp;sourceID=14","3.1")</f>
        <v>3.1</v>
      </c>
      <c r="G2405" s="4" t="str">
        <f>HYPERLINK("http://141.218.60.56/~jnz1568/getInfo.php?workbook=18_08.xlsx&amp;sheet=U0&amp;row=2405&amp;col=7&amp;number=0.0022&amp;sourceID=14","0.0022")</f>
        <v>0.0022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HYPERLINK("http://141.218.60.56/~jnz1568/getInfo.php?workbook=18_08.xlsx&amp;sheet=U0&amp;row=2406&amp;col=6&amp;number=3.2&amp;sourceID=14","3.2")</f>
        <v>3.2</v>
      </c>
      <c r="G2406" s="4" t="str">
        <f>HYPERLINK("http://141.218.60.56/~jnz1568/getInfo.php?workbook=18_08.xlsx&amp;sheet=U0&amp;row=2406&amp;col=7&amp;number=0.0022&amp;sourceID=14","0.0022")</f>
        <v>0.0022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HYPERLINK("http://141.218.60.56/~jnz1568/getInfo.php?workbook=18_08.xlsx&amp;sheet=U0&amp;row=2407&amp;col=6&amp;number=3.3&amp;sourceID=14","3.3")</f>
        <v>3.3</v>
      </c>
      <c r="G2407" s="4" t="str">
        <f>HYPERLINK("http://141.218.60.56/~jnz1568/getInfo.php?workbook=18_08.xlsx&amp;sheet=U0&amp;row=2407&amp;col=7&amp;number=0.0022&amp;sourceID=14","0.0022")</f>
        <v>0.0022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HYPERLINK("http://141.218.60.56/~jnz1568/getInfo.php?workbook=18_08.xlsx&amp;sheet=U0&amp;row=2408&amp;col=6&amp;number=3.4&amp;sourceID=14","3.4")</f>
        <v>3.4</v>
      </c>
      <c r="G2408" s="4" t="str">
        <f>HYPERLINK("http://141.218.60.56/~jnz1568/getInfo.php?workbook=18_08.xlsx&amp;sheet=U0&amp;row=2408&amp;col=7&amp;number=0.0022&amp;sourceID=14","0.0022")</f>
        <v>0.0022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HYPERLINK("http://141.218.60.56/~jnz1568/getInfo.php?workbook=18_08.xlsx&amp;sheet=U0&amp;row=2409&amp;col=6&amp;number=3.5&amp;sourceID=14","3.5")</f>
        <v>3.5</v>
      </c>
      <c r="G2409" s="4" t="str">
        <f>HYPERLINK("http://141.218.60.56/~jnz1568/getInfo.php?workbook=18_08.xlsx&amp;sheet=U0&amp;row=2409&amp;col=7&amp;number=0.0022&amp;sourceID=14","0.0022")</f>
        <v>0.0022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HYPERLINK("http://141.218.60.56/~jnz1568/getInfo.php?workbook=18_08.xlsx&amp;sheet=U0&amp;row=2410&amp;col=6&amp;number=3.6&amp;sourceID=14","3.6")</f>
        <v>3.6</v>
      </c>
      <c r="G2410" s="4" t="str">
        <f>HYPERLINK("http://141.218.60.56/~jnz1568/getInfo.php?workbook=18_08.xlsx&amp;sheet=U0&amp;row=2410&amp;col=7&amp;number=0.0022&amp;sourceID=14","0.0022")</f>
        <v>0.0022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HYPERLINK("http://141.218.60.56/~jnz1568/getInfo.php?workbook=18_08.xlsx&amp;sheet=U0&amp;row=2411&amp;col=6&amp;number=3.7&amp;sourceID=14","3.7")</f>
        <v>3.7</v>
      </c>
      <c r="G2411" s="4" t="str">
        <f>HYPERLINK("http://141.218.60.56/~jnz1568/getInfo.php?workbook=18_08.xlsx&amp;sheet=U0&amp;row=2411&amp;col=7&amp;number=0.0022&amp;sourceID=14","0.0022")</f>
        <v>0.0022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HYPERLINK("http://141.218.60.56/~jnz1568/getInfo.php?workbook=18_08.xlsx&amp;sheet=U0&amp;row=2412&amp;col=6&amp;number=3.8&amp;sourceID=14","3.8")</f>
        <v>3.8</v>
      </c>
      <c r="G2412" s="4" t="str">
        <f>HYPERLINK("http://141.218.60.56/~jnz1568/getInfo.php?workbook=18_08.xlsx&amp;sheet=U0&amp;row=2412&amp;col=7&amp;number=0.0022&amp;sourceID=14","0.0022")</f>
        <v>0.0022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HYPERLINK("http://141.218.60.56/~jnz1568/getInfo.php?workbook=18_08.xlsx&amp;sheet=U0&amp;row=2413&amp;col=6&amp;number=3.9&amp;sourceID=14","3.9")</f>
        <v>3.9</v>
      </c>
      <c r="G2413" s="4" t="str">
        <f>HYPERLINK("http://141.218.60.56/~jnz1568/getInfo.php?workbook=18_08.xlsx&amp;sheet=U0&amp;row=2413&amp;col=7&amp;number=0.0022&amp;sourceID=14","0.0022")</f>
        <v>0.0022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HYPERLINK("http://141.218.60.56/~jnz1568/getInfo.php?workbook=18_08.xlsx&amp;sheet=U0&amp;row=2414&amp;col=6&amp;number=4&amp;sourceID=14","4")</f>
        <v>4</v>
      </c>
      <c r="G2414" s="4" t="str">
        <f>HYPERLINK("http://141.218.60.56/~jnz1568/getInfo.php?workbook=18_08.xlsx&amp;sheet=U0&amp;row=2414&amp;col=7&amp;number=0.0022&amp;sourceID=14","0.0022")</f>
        <v>0.0022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HYPERLINK("http://141.218.60.56/~jnz1568/getInfo.php?workbook=18_08.xlsx&amp;sheet=U0&amp;row=2415&amp;col=6&amp;number=4.1&amp;sourceID=14","4.1")</f>
        <v>4.1</v>
      </c>
      <c r="G2415" s="4" t="str">
        <f>HYPERLINK("http://141.218.60.56/~jnz1568/getInfo.php?workbook=18_08.xlsx&amp;sheet=U0&amp;row=2415&amp;col=7&amp;number=0.0022&amp;sourceID=14","0.0022")</f>
        <v>0.0022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HYPERLINK("http://141.218.60.56/~jnz1568/getInfo.php?workbook=18_08.xlsx&amp;sheet=U0&amp;row=2416&amp;col=6&amp;number=4.2&amp;sourceID=14","4.2")</f>
        <v>4.2</v>
      </c>
      <c r="G2416" s="4" t="str">
        <f>HYPERLINK("http://141.218.60.56/~jnz1568/getInfo.php?workbook=18_08.xlsx&amp;sheet=U0&amp;row=2416&amp;col=7&amp;number=0.00219&amp;sourceID=14","0.00219")</f>
        <v>0.00219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HYPERLINK("http://141.218.60.56/~jnz1568/getInfo.php?workbook=18_08.xlsx&amp;sheet=U0&amp;row=2417&amp;col=6&amp;number=4.3&amp;sourceID=14","4.3")</f>
        <v>4.3</v>
      </c>
      <c r="G2417" s="4" t="str">
        <f>HYPERLINK("http://141.218.60.56/~jnz1568/getInfo.php?workbook=18_08.xlsx&amp;sheet=U0&amp;row=2417&amp;col=7&amp;number=0.00219&amp;sourceID=14","0.00219")</f>
        <v>0.00219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HYPERLINK("http://141.218.60.56/~jnz1568/getInfo.php?workbook=18_08.xlsx&amp;sheet=U0&amp;row=2418&amp;col=6&amp;number=4.4&amp;sourceID=14","4.4")</f>
        <v>4.4</v>
      </c>
      <c r="G2418" s="4" t="str">
        <f>HYPERLINK("http://141.218.60.56/~jnz1568/getInfo.php?workbook=18_08.xlsx&amp;sheet=U0&amp;row=2418&amp;col=7&amp;number=0.00219&amp;sourceID=14","0.00219")</f>
        <v>0.00219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HYPERLINK("http://141.218.60.56/~jnz1568/getInfo.php?workbook=18_08.xlsx&amp;sheet=U0&amp;row=2419&amp;col=6&amp;number=4.5&amp;sourceID=14","4.5")</f>
        <v>4.5</v>
      </c>
      <c r="G2419" s="4" t="str">
        <f>HYPERLINK("http://141.218.60.56/~jnz1568/getInfo.php?workbook=18_08.xlsx&amp;sheet=U0&amp;row=2419&amp;col=7&amp;number=0.00219&amp;sourceID=14","0.00219")</f>
        <v>0.00219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HYPERLINK("http://141.218.60.56/~jnz1568/getInfo.php?workbook=18_08.xlsx&amp;sheet=U0&amp;row=2420&amp;col=6&amp;number=4.6&amp;sourceID=14","4.6")</f>
        <v>4.6</v>
      </c>
      <c r="G2420" s="4" t="str">
        <f>HYPERLINK("http://141.218.60.56/~jnz1568/getInfo.php?workbook=18_08.xlsx&amp;sheet=U0&amp;row=2420&amp;col=7&amp;number=0.00218&amp;sourceID=14","0.00218")</f>
        <v>0.00218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HYPERLINK("http://141.218.60.56/~jnz1568/getInfo.php?workbook=18_08.xlsx&amp;sheet=U0&amp;row=2421&amp;col=6&amp;number=4.7&amp;sourceID=14","4.7")</f>
        <v>4.7</v>
      </c>
      <c r="G2421" s="4" t="str">
        <f>HYPERLINK("http://141.218.60.56/~jnz1568/getInfo.php?workbook=18_08.xlsx&amp;sheet=U0&amp;row=2421&amp;col=7&amp;number=0.00218&amp;sourceID=14","0.00218")</f>
        <v>0.00218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HYPERLINK("http://141.218.60.56/~jnz1568/getInfo.php?workbook=18_08.xlsx&amp;sheet=U0&amp;row=2422&amp;col=6&amp;number=4.8&amp;sourceID=14","4.8")</f>
        <v>4.8</v>
      </c>
      <c r="G2422" s="4" t="str">
        <f>HYPERLINK("http://141.218.60.56/~jnz1568/getInfo.php?workbook=18_08.xlsx&amp;sheet=U0&amp;row=2422&amp;col=7&amp;number=0.00217&amp;sourceID=14","0.00217")</f>
        <v>0.00217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HYPERLINK("http://141.218.60.56/~jnz1568/getInfo.php?workbook=18_08.xlsx&amp;sheet=U0&amp;row=2423&amp;col=6&amp;number=4.9&amp;sourceID=14","4.9")</f>
        <v>4.9</v>
      </c>
      <c r="G2423" s="4" t="str">
        <f>HYPERLINK("http://141.218.60.56/~jnz1568/getInfo.php?workbook=18_08.xlsx&amp;sheet=U0&amp;row=2423&amp;col=7&amp;number=0.00217&amp;sourceID=14","0.00217")</f>
        <v>0.00217</v>
      </c>
    </row>
    <row r="2424" spans="1:7">
      <c r="A2424" s="3">
        <v>18</v>
      </c>
      <c r="B2424" s="3">
        <v>8</v>
      </c>
      <c r="C2424" s="3" t="s">
        <v>56</v>
      </c>
      <c r="D2424" s="3">
        <v>9</v>
      </c>
      <c r="E2424" s="3">
        <v>1</v>
      </c>
      <c r="F2424" s="4" t="str">
        <f>HYPERLINK("http://141.218.60.56/~jnz1568/getInfo.php?workbook=18_08.xlsx&amp;sheet=U0&amp;row=2424&amp;col=6&amp;number=3&amp;sourceID=14","3")</f>
        <v>3</v>
      </c>
      <c r="G2424" s="4" t="str">
        <f>HYPERLINK("http://141.218.60.56/~jnz1568/getInfo.php?workbook=18_08.xlsx&amp;sheet=U0&amp;row=2424&amp;col=7&amp;number=0.00725&amp;sourceID=14","0.00725")</f>
        <v>0.00725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HYPERLINK("http://141.218.60.56/~jnz1568/getInfo.php?workbook=18_08.xlsx&amp;sheet=U0&amp;row=2425&amp;col=6&amp;number=3.1&amp;sourceID=14","3.1")</f>
        <v>3.1</v>
      </c>
      <c r="G2425" s="4" t="str">
        <f>HYPERLINK("http://141.218.60.56/~jnz1568/getInfo.php?workbook=18_08.xlsx&amp;sheet=U0&amp;row=2425&amp;col=7&amp;number=0.00725&amp;sourceID=14","0.00725")</f>
        <v>0.00725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HYPERLINK("http://141.218.60.56/~jnz1568/getInfo.php?workbook=18_08.xlsx&amp;sheet=U0&amp;row=2426&amp;col=6&amp;number=3.2&amp;sourceID=14","3.2")</f>
        <v>3.2</v>
      </c>
      <c r="G2426" s="4" t="str">
        <f>HYPERLINK("http://141.218.60.56/~jnz1568/getInfo.php?workbook=18_08.xlsx&amp;sheet=U0&amp;row=2426&amp;col=7&amp;number=0.00725&amp;sourceID=14","0.00725")</f>
        <v>0.00725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HYPERLINK("http://141.218.60.56/~jnz1568/getInfo.php?workbook=18_08.xlsx&amp;sheet=U0&amp;row=2427&amp;col=6&amp;number=3.3&amp;sourceID=14","3.3")</f>
        <v>3.3</v>
      </c>
      <c r="G2427" s="4" t="str">
        <f>HYPERLINK("http://141.218.60.56/~jnz1568/getInfo.php?workbook=18_08.xlsx&amp;sheet=U0&amp;row=2427&amp;col=7&amp;number=0.00725&amp;sourceID=14","0.00725")</f>
        <v>0.00725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HYPERLINK("http://141.218.60.56/~jnz1568/getInfo.php?workbook=18_08.xlsx&amp;sheet=U0&amp;row=2428&amp;col=6&amp;number=3.4&amp;sourceID=14","3.4")</f>
        <v>3.4</v>
      </c>
      <c r="G2428" s="4" t="str">
        <f>HYPERLINK("http://141.218.60.56/~jnz1568/getInfo.php?workbook=18_08.xlsx&amp;sheet=U0&amp;row=2428&amp;col=7&amp;number=0.00725&amp;sourceID=14","0.00725")</f>
        <v>0.00725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HYPERLINK("http://141.218.60.56/~jnz1568/getInfo.php?workbook=18_08.xlsx&amp;sheet=U0&amp;row=2429&amp;col=6&amp;number=3.5&amp;sourceID=14","3.5")</f>
        <v>3.5</v>
      </c>
      <c r="G2429" s="4" t="str">
        <f>HYPERLINK("http://141.218.60.56/~jnz1568/getInfo.php?workbook=18_08.xlsx&amp;sheet=U0&amp;row=2429&amp;col=7&amp;number=0.00725&amp;sourceID=14","0.00725")</f>
        <v>0.00725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HYPERLINK("http://141.218.60.56/~jnz1568/getInfo.php?workbook=18_08.xlsx&amp;sheet=U0&amp;row=2430&amp;col=6&amp;number=3.6&amp;sourceID=14","3.6")</f>
        <v>3.6</v>
      </c>
      <c r="G2430" s="4" t="str">
        <f>HYPERLINK("http://141.218.60.56/~jnz1568/getInfo.php?workbook=18_08.xlsx&amp;sheet=U0&amp;row=2430&amp;col=7&amp;number=0.00725&amp;sourceID=14","0.00725")</f>
        <v>0.00725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HYPERLINK("http://141.218.60.56/~jnz1568/getInfo.php?workbook=18_08.xlsx&amp;sheet=U0&amp;row=2431&amp;col=6&amp;number=3.7&amp;sourceID=14","3.7")</f>
        <v>3.7</v>
      </c>
      <c r="G2431" s="4" t="str">
        <f>HYPERLINK("http://141.218.60.56/~jnz1568/getInfo.php?workbook=18_08.xlsx&amp;sheet=U0&amp;row=2431&amp;col=7&amp;number=0.00724&amp;sourceID=14","0.00724")</f>
        <v>0.00724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HYPERLINK("http://141.218.60.56/~jnz1568/getInfo.php?workbook=18_08.xlsx&amp;sheet=U0&amp;row=2432&amp;col=6&amp;number=3.8&amp;sourceID=14","3.8")</f>
        <v>3.8</v>
      </c>
      <c r="G2432" s="4" t="str">
        <f>HYPERLINK("http://141.218.60.56/~jnz1568/getInfo.php?workbook=18_08.xlsx&amp;sheet=U0&amp;row=2432&amp;col=7&amp;number=0.00724&amp;sourceID=14","0.00724")</f>
        <v>0.00724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HYPERLINK("http://141.218.60.56/~jnz1568/getInfo.php?workbook=18_08.xlsx&amp;sheet=U0&amp;row=2433&amp;col=6&amp;number=3.9&amp;sourceID=14","3.9")</f>
        <v>3.9</v>
      </c>
      <c r="G2433" s="4" t="str">
        <f>HYPERLINK("http://141.218.60.56/~jnz1568/getInfo.php?workbook=18_08.xlsx&amp;sheet=U0&amp;row=2433&amp;col=7&amp;number=0.00724&amp;sourceID=14","0.00724")</f>
        <v>0.00724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HYPERLINK("http://141.218.60.56/~jnz1568/getInfo.php?workbook=18_08.xlsx&amp;sheet=U0&amp;row=2434&amp;col=6&amp;number=4&amp;sourceID=14","4")</f>
        <v>4</v>
      </c>
      <c r="G2434" s="4" t="str">
        <f>HYPERLINK("http://141.218.60.56/~jnz1568/getInfo.php?workbook=18_08.xlsx&amp;sheet=U0&amp;row=2434&amp;col=7&amp;number=0.00724&amp;sourceID=14","0.00724")</f>
        <v>0.00724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HYPERLINK("http://141.218.60.56/~jnz1568/getInfo.php?workbook=18_08.xlsx&amp;sheet=U0&amp;row=2435&amp;col=6&amp;number=4.1&amp;sourceID=14","4.1")</f>
        <v>4.1</v>
      </c>
      <c r="G2435" s="4" t="str">
        <f>HYPERLINK("http://141.218.60.56/~jnz1568/getInfo.php?workbook=18_08.xlsx&amp;sheet=U0&amp;row=2435&amp;col=7&amp;number=0.00723&amp;sourceID=14","0.00723")</f>
        <v>0.00723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HYPERLINK("http://141.218.60.56/~jnz1568/getInfo.php?workbook=18_08.xlsx&amp;sheet=U0&amp;row=2436&amp;col=6&amp;number=4.2&amp;sourceID=14","4.2")</f>
        <v>4.2</v>
      </c>
      <c r="G2436" s="4" t="str">
        <f>HYPERLINK("http://141.218.60.56/~jnz1568/getInfo.php?workbook=18_08.xlsx&amp;sheet=U0&amp;row=2436&amp;col=7&amp;number=0.00723&amp;sourceID=14","0.00723")</f>
        <v>0.00723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HYPERLINK("http://141.218.60.56/~jnz1568/getInfo.php?workbook=18_08.xlsx&amp;sheet=U0&amp;row=2437&amp;col=6&amp;number=4.3&amp;sourceID=14","4.3")</f>
        <v>4.3</v>
      </c>
      <c r="G2437" s="4" t="str">
        <f>HYPERLINK("http://141.218.60.56/~jnz1568/getInfo.php?workbook=18_08.xlsx&amp;sheet=U0&amp;row=2437&amp;col=7&amp;number=0.00722&amp;sourceID=14","0.00722")</f>
        <v>0.00722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HYPERLINK("http://141.218.60.56/~jnz1568/getInfo.php?workbook=18_08.xlsx&amp;sheet=U0&amp;row=2438&amp;col=6&amp;number=4.4&amp;sourceID=14","4.4")</f>
        <v>4.4</v>
      </c>
      <c r="G2438" s="4" t="str">
        <f>HYPERLINK("http://141.218.60.56/~jnz1568/getInfo.php?workbook=18_08.xlsx&amp;sheet=U0&amp;row=2438&amp;col=7&amp;number=0.00721&amp;sourceID=14","0.00721")</f>
        <v>0.00721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HYPERLINK("http://141.218.60.56/~jnz1568/getInfo.php?workbook=18_08.xlsx&amp;sheet=U0&amp;row=2439&amp;col=6&amp;number=4.5&amp;sourceID=14","4.5")</f>
        <v>4.5</v>
      </c>
      <c r="G2439" s="4" t="str">
        <f>HYPERLINK("http://141.218.60.56/~jnz1568/getInfo.php?workbook=18_08.xlsx&amp;sheet=U0&amp;row=2439&amp;col=7&amp;number=0.0072&amp;sourceID=14","0.0072")</f>
        <v>0.0072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HYPERLINK("http://141.218.60.56/~jnz1568/getInfo.php?workbook=18_08.xlsx&amp;sheet=U0&amp;row=2440&amp;col=6&amp;number=4.6&amp;sourceID=14","4.6")</f>
        <v>4.6</v>
      </c>
      <c r="G2440" s="4" t="str">
        <f>HYPERLINK("http://141.218.60.56/~jnz1568/getInfo.php?workbook=18_08.xlsx&amp;sheet=U0&amp;row=2440&amp;col=7&amp;number=0.00719&amp;sourceID=14","0.00719")</f>
        <v>0.00719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HYPERLINK("http://141.218.60.56/~jnz1568/getInfo.php?workbook=18_08.xlsx&amp;sheet=U0&amp;row=2441&amp;col=6&amp;number=4.7&amp;sourceID=14","4.7")</f>
        <v>4.7</v>
      </c>
      <c r="G2441" s="4" t="str">
        <f>HYPERLINK("http://141.218.60.56/~jnz1568/getInfo.php?workbook=18_08.xlsx&amp;sheet=U0&amp;row=2441&amp;col=7&amp;number=0.00718&amp;sourceID=14","0.00718")</f>
        <v>0.00718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HYPERLINK("http://141.218.60.56/~jnz1568/getInfo.php?workbook=18_08.xlsx&amp;sheet=U0&amp;row=2442&amp;col=6&amp;number=4.8&amp;sourceID=14","4.8")</f>
        <v>4.8</v>
      </c>
      <c r="G2442" s="4" t="str">
        <f>HYPERLINK("http://141.218.60.56/~jnz1568/getInfo.php?workbook=18_08.xlsx&amp;sheet=U0&amp;row=2442&amp;col=7&amp;number=0.00716&amp;sourceID=14","0.00716")</f>
        <v>0.00716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HYPERLINK("http://141.218.60.56/~jnz1568/getInfo.php?workbook=18_08.xlsx&amp;sheet=U0&amp;row=2443&amp;col=6&amp;number=4.9&amp;sourceID=14","4.9")</f>
        <v>4.9</v>
      </c>
      <c r="G2443" s="4" t="str">
        <f>HYPERLINK("http://141.218.60.56/~jnz1568/getInfo.php?workbook=18_08.xlsx&amp;sheet=U0&amp;row=2443&amp;col=7&amp;number=0.00713&amp;sourceID=14","0.00713")</f>
        <v>0.00713</v>
      </c>
    </row>
    <row r="2444" spans="1:7">
      <c r="A2444" s="3">
        <v>18</v>
      </c>
      <c r="B2444" s="3">
        <v>8</v>
      </c>
      <c r="C2444" s="3" t="s">
        <v>57</v>
      </c>
      <c r="D2444" s="3">
        <v>0</v>
      </c>
      <c r="E2444" s="3">
        <v>1</v>
      </c>
      <c r="F2444" s="4" t="str">
        <f>HYPERLINK("http://141.218.60.56/~jnz1568/getInfo.php?workbook=18_08.xlsx&amp;sheet=U0&amp;row=2444&amp;col=6&amp;number=3&amp;sourceID=14","3")</f>
        <v>3</v>
      </c>
      <c r="G2444" s="4" t="str">
        <f>HYPERLINK("http://141.218.60.56/~jnz1568/getInfo.php?workbook=18_08.xlsx&amp;sheet=U0&amp;row=2444&amp;col=7&amp;number=0.015&amp;sourceID=14","0.015")</f>
        <v>0.015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HYPERLINK("http://141.218.60.56/~jnz1568/getInfo.php?workbook=18_08.xlsx&amp;sheet=U0&amp;row=2445&amp;col=6&amp;number=3.1&amp;sourceID=14","3.1")</f>
        <v>3.1</v>
      </c>
      <c r="G2445" s="4" t="str">
        <f>HYPERLINK("http://141.218.60.56/~jnz1568/getInfo.php?workbook=18_08.xlsx&amp;sheet=U0&amp;row=2445&amp;col=7&amp;number=0.015&amp;sourceID=14","0.015")</f>
        <v>0.015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HYPERLINK("http://141.218.60.56/~jnz1568/getInfo.php?workbook=18_08.xlsx&amp;sheet=U0&amp;row=2446&amp;col=6&amp;number=3.2&amp;sourceID=14","3.2")</f>
        <v>3.2</v>
      </c>
      <c r="G2446" s="4" t="str">
        <f>HYPERLINK("http://141.218.60.56/~jnz1568/getInfo.php?workbook=18_08.xlsx&amp;sheet=U0&amp;row=2446&amp;col=7&amp;number=0.015&amp;sourceID=14","0.015")</f>
        <v>0.015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HYPERLINK("http://141.218.60.56/~jnz1568/getInfo.php?workbook=18_08.xlsx&amp;sheet=U0&amp;row=2447&amp;col=6&amp;number=3.3&amp;sourceID=14","3.3")</f>
        <v>3.3</v>
      </c>
      <c r="G2447" s="4" t="str">
        <f>HYPERLINK("http://141.218.60.56/~jnz1568/getInfo.php?workbook=18_08.xlsx&amp;sheet=U0&amp;row=2447&amp;col=7&amp;number=0.015&amp;sourceID=14","0.015")</f>
        <v>0.015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HYPERLINK("http://141.218.60.56/~jnz1568/getInfo.php?workbook=18_08.xlsx&amp;sheet=U0&amp;row=2448&amp;col=6&amp;number=3.4&amp;sourceID=14","3.4")</f>
        <v>3.4</v>
      </c>
      <c r="G2448" s="4" t="str">
        <f>HYPERLINK("http://141.218.60.56/~jnz1568/getInfo.php?workbook=18_08.xlsx&amp;sheet=U0&amp;row=2448&amp;col=7&amp;number=0.015&amp;sourceID=14","0.015")</f>
        <v>0.015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HYPERLINK("http://141.218.60.56/~jnz1568/getInfo.php?workbook=18_08.xlsx&amp;sheet=U0&amp;row=2449&amp;col=6&amp;number=3.5&amp;sourceID=14","3.5")</f>
        <v>3.5</v>
      </c>
      <c r="G2449" s="4" t="str">
        <f>HYPERLINK("http://141.218.60.56/~jnz1568/getInfo.php?workbook=18_08.xlsx&amp;sheet=U0&amp;row=2449&amp;col=7&amp;number=0.015&amp;sourceID=14","0.015")</f>
        <v>0.015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HYPERLINK("http://141.218.60.56/~jnz1568/getInfo.php?workbook=18_08.xlsx&amp;sheet=U0&amp;row=2450&amp;col=6&amp;number=3.6&amp;sourceID=14","3.6")</f>
        <v>3.6</v>
      </c>
      <c r="G2450" s="4" t="str">
        <f>HYPERLINK("http://141.218.60.56/~jnz1568/getInfo.php?workbook=18_08.xlsx&amp;sheet=U0&amp;row=2450&amp;col=7&amp;number=0.015&amp;sourceID=14","0.015")</f>
        <v>0.015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HYPERLINK("http://141.218.60.56/~jnz1568/getInfo.php?workbook=18_08.xlsx&amp;sheet=U0&amp;row=2451&amp;col=6&amp;number=3.7&amp;sourceID=14","3.7")</f>
        <v>3.7</v>
      </c>
      <c r="G2451" s="4" t="str">
        <f>HYPERLINK("http://141.218.60.56/~jnz1568/getInfo.php?workbook=18_08.xlsx&amp;sheet=U0&amp;row=2451&amp;col=7&amp;number=0.015&amp;sourceID=14","0.015")</f>
        <v>0.015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HYPERLINK("http://141.218.60.56/~jnz1568/getInfo.php?workbook=18_08.xlsx&amp;sheet=U0&amp;row=2452&amp;col=6&amp;number=3.8&amp;sourceID=14","3.8")</f>
        <v>3.8</v>
      </c>
      <c r="G2452" s="4" t="str">
        <f>HYPERLINK("http://141.218.60.56/~jnz1568/getInfo.php?workbook=18_08.xlsx&amp;sheet=U0&amp;row=2452&amp;col=7&amp;number=0.015&amp;sourceID=14","0.015")</f>
        <v>0.015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HYPERLINK("http://141.218.60.56/~jnz1568/getInfo.php?workbook=18_08.xlsx&amp;sheet=U0&amp;row=2453&amp;col=6&amp;number=3.9&amp;sourceID=14","3.9")</f>
        <v>3.9</v>
      </c>
      <c r="G2453" s="4" t="str">
        <f>HYPERLINK("http://141.218.60.56/~jnz1568/getInfo.php?workbook=18_08.xlsx&amp;sheet=U0&amp;row=2453&amp;col=7&amp;number=0.015&amp;sourceID=14","0.015")</f>
        <v>0.015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HYPERLINK("http://141.218.60.56/~jnz1568/getInfo.php?workbook=18_08.xlsx&amp;sheet=U0&amp;row=2454&amp;col=6&amp;number=4&amp;sourceID=14","4")</f>
        <v>4</v>
      </c>
      <c r="G2454" s="4" t="str">
        <f>HYPERLINK("http://141.218.60.56/~jnz1568/getInfo.php?workbook=18_08.xlsx&amp;sheet=U0&amp;row=2454&amp;col=7&amp;number=0.015&amp;sourceID=14","0.015")</f>
        <v>0.015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HYPERLINK("http://141.218.60.56/~jnz1568/getInfo.php?workbook=18_08.xlsx&amp;sheet=U0&amp;row=2455&amp;col=6&amp;number=4.1&amp;sourceID=14","4.1")</f>
        <v>4.1</v>
      </c>
      <c r="G2455" s="4" t="str">
        <f>HYPERLINK("http://141.218.60.56/~jnz1568/getInfo.php?workbook=18_08.xlsx&amp;sheet=U0&amp;row=2455&amp;col=7&amp;number=0.0149&amp;sourceID=14","0.0149")</f>
        <v>0.0149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HYPERLINK("http://141.218.60.56/~jnz1568/getInfo.php?workbook=18_08.xlsx&amp;sheet=U0&amp;row=2456&amp;col=6&amp;number=4.2&amp;sourceID=14","4.2")</f>
        <v>4.2</v>
      </c>
      <c r="G2456" s="4" t="str">
        <f>HYPERLINK("http://141.218.60.56/~jnz1568/getInfo.php?workbook=18_08.xlsx&amp;sheet=U0&amp;row=2456&amp;col=7&amp;number=0.0149&amp;sourceID=14","0.0149")</f>
        <v>0.0149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HYPERLINK("http://141.218.60.56/~jnz1568/getInfo.php?workbook=18_08.xlsx&amp;sheet=U0&amp;row=2457&amp;col=6&amp;number=4.3&amp;sourceID=14","4.3")</f>
        <v>4.3</v>
      </c>
      <c r="G2457" s="4" t="str">
        <f>HYPERLINK("http://141.218.60.56/~jnz1568/getInfo.php?workbook=18_08.xlsx&amp;sheet=U0&amp;row=2457&amp;col=7&amp;number=0.0149&amp;sourceID=14","0.0149")</f>
        <v>0.0149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HYPERLINK("http://141.218.60.56/~jnz1568/getInfo.php?workbook=18_08.xlsx&amp;sheet=U0&amp;row=2458&amp;col=6&amp;number=4.4&amp;sourceID=14","4.4")</f>
        <v>4.4</v>
      </c>
      <c r="G2458" s="4" t="str">
        <f>HYPERLINK("http://141.218.60.56/~jnz1568/getInfo.php?workbook=18_08.xlsx&amp;sheet=U0&amp;row=2458&amp;col=7&amp;number=0.0149&amp;sourceID=14","0.0149")</f>
        <v>0.0149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HYPERLINK("http://141.218.60.56/~jnz1568/getInfo.php?workbook=18_08.xlsx&amp;sheet=U0&amp;row=2459&amp;col=6&amp;number=4.5&amp;sourceID=14","4.5")</f>
        <v>4.5</v>
      </c>
      <c r="G2459" s="4" t="str">
        <f>HYPERLINK("http://141.218.60.56/~jnz1568/getInfo.php?workbook=18_08.xlsx&amp;sheet=U0&amp;row=2459&amp;col=7&amp;number=0.0148&amp;sourceID=14","0.0148")</f>
        <v>0.0148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HYPERLINK("http://141.218.60.56/~jnz1568/getInfo.php?workbook=18_08.xlsx&amp;sheet=U0&amp;row=2460&amp;col=6&amp;number=4.6&amp;sourceID=14","4.6")</f>
        <v>4.6</v>
      </c>
      <c r="G2460" s="4" t="str">
        <f>HYPERLINK("http://141.218.60.56/~jnz1568/getInfo.php?workbook=18_08.xlsx&amp;sheet=U0&amp;row=2460&amp;col=7&amp;number=0.0148&amp;sourceID=14","0.0148")</f>
        <v>0.0148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HYPERLINK("http://141.218.60.56/~jnz1568/getInfo.php?workbook=18_08.xlsx&amp;sheet=U0&amp;row=2461&amp;col=6&amp;number=4.7&amp;sourceID=14","4.7")</f>
        <v>4.7</v>
      </c>
      <c r="G2461" s="4" t="str">
        <f>HYPERLINK("http://141.218.60.56/~jnz1568/getInfo.php?workbook=18_08.xlsx&amp;sheet=U0&amp;row=2461&amp;col=7&amp;number=0.0148&amp;sourceID=14","0.0148")</f>
        <v>0.0148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HYPERLINK("http://141.218.60.56/~jnz1568/getInfo.php?workbook=18_08.xlsx&amp;sheet=U0&amp;row=2462&amp;col=6&amp;number=4.8&amp;sourceID=14","4.8")</f>
        <v>4.8</v>
      </c>
      <c r="G2462" s="4" t="str">
        <f>HYPERLINK("http://141.218.60.56/~jnz1568/getInfo.php?workbook=18_08.xlsx&amp;sheet=U0&amp;row=2462&amp;col=7&amp;number=0.0147&amp;sourceID=14","0.0147")</f>
        <v>0.0147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HYPERLINK("http://141.218.60.56/~jnz1568/getInfo.php?workbook=18_08.xlsx&amp;sheet=U0&amp;row=2463&amp;col=6&amp;number=4.9&amp;sourceID=14","4.9")</f>
        <v>4.9</v>
      </c>
      <c r="G2463" s="4" t="str">
        <f>HYPERLINK("http://141.218.60.56/~jnz1568/getInfo.php?workbook=18_08.xlsx&amp;sheet=U0&amp;row=2463&amp;col=7&amp;number=0.0146&amp;sourceID=14","0.0146")</f>
        <v>0.0146</v>
      </c>
    </row>
    <row r="2464" spans="1:7">
      <c r="A2464" s="3">
        <v>18</v>
      </c>
      <c r="B2464" s="3">
        <v>8</v>
      </c>
      <c r="C2464" s="3" t="s">
        <v>57</v>
      </c>
      <c r="D2464" s="3">
        <v>1</v>
      </c>
      <c r="E2464" s="3">
        <v>1</v>
      </c>
      <c r="F2464" s="4" t="str">
        <f>HYPERLINK("http://141.218.60.56/~jnz1568/getInfo.php?workbook=18_08.xlsx&amp;sheet=U0&amp;row=2464&amp;col=6&amp;number=3&amp;sourceID=14","3")</f>
        <v>3</v>
      </c>
      <c r="G2464" s="4" t="str">
        <f>HYPERLINK("http://141.218.60.56/~jnz1568/getInfo.php?workbook=18_08.xlsx&amp;sheet=U0&amp;row=2464&amp;col=7&amp;number=0.02&amp;sourceID=14","0.02")</f>
        <v>0.02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HYPERLINK("http://141.218.60.56/~jnz1568/getInfo.php?workbook=18_08.xlsx&amp;sheet=U0&amp;row=2465&amp;col=6&amp;number=3.1&amp;sourceID=14","3.1")</f>
        <v>3.1</v>
      </c>
      <c r="G2465" s="4" t="str">
        <f>HYPERLINK("http://141.218.60.56/~jnz1568/getInfo.php?workbook=18_08.xlsx&amp;sheet=U0&amp;row=2465&amp;col=7&amp;number=0.02&amp;sourceID=14","0.02")</f>
        <v>0.02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HYPERLINK("http://141.218.60.56/~jnz1568/getInfo.php?workbook=18_08.xlsx&amp;sheet=U0&amp;row=2466&amp;col=6&amp;number=3.2&amp;sourceID=14","3.2")</f>
        <v>3.2</v>
      </c>
      <c r="G2466" s="4" t="str">
        <f>HYPERLINK("http://141.218.60.56/~jnz1568/getInfo.php?workbook=18_08.xlsx&amp;sheet=U0&amp;row=2466&amp;col=7&amp;number=0.02&amp;sourceID=14","0.02")</f>
        <v>0.02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HYPERLINK("http://141.218.60.56/~jnz1568/getInfo.php?workbook=18_08.xlsx&amp;sheet=U0&amp;row=2467&amp;col=6&amp;number=3.3&amp;sourceID=14","3.3")</f>
        <v>3.3</v>
      </c>
      <c r="G2467" s="4" t="str">
        <f>HYPERLINK("http://141.218.60.56/~jnz1568/getInfo.php?workbook=18_08.xlsx&amp;sheet=U0&amp;row=2467&amp;col=7&amp;number=0.02&amp;sourceID=14","0.02")</f>
        <v>0.02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HYPERLINK("http://141.218.60.56/~jnz1568/getInfo.php?workbook=18_08.xlsx&amp;sheet=U0&amp;row=2468&amp;col=6&amp;number=3.4&amp;sourceID=14","3.4")</f>
        <v>3.4</v>
      </c>
      <c r="G2468" s="4" t="str">
        <f>HYPERLINK("http://141.218.60.56/~jnz1568/getInfo.php?workbook=18_08.xlsx&amp;sheet=U0&amp;row=2468&amp;col=7&amp;number=0.02&amp;sourceID=14","0.02")</f>
        <v>0.02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HYPERLINK("http://141.218.60.56/~jnz1568/getInfo.php?workbook=18_08.xlsx&amp;sheet=U0&amp;row=2469&amp;col=6&amp;number=3.5&amp;sourceID=14","3.5")</f>
        <v>3.5</v>
      </c>
      <c r="G2469" s="4" t="str">
        <f>HYPERLINK("http://141.218.60.56/~jnz1568/getInfo.php?workbook=18_08.xlsx&amp;sheet=U0&amp;row=2469&amp;col=7&amp;number=0.02&amp;sourceID=14","0.02")</f>
        <v>0.02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HYPERLINK("http://141.218.60.56/~jnz1568/getInfo.php?workbook=18_08.xlsx&amp;sheet=U0&amp;row=2470&amp;col=6&amp;number=3.6&amp;sourceID=14","3.6")</f>
        <v>3.6</v>
      </c>
      <c r="G2470" s="4" t="str">
        <f>HYPERLINK("http://141.218.60.56/~jnz1568/getInfo.php?workbook=18_08.xlsx&amp;sheet=U0&amp;row=2470&amp;col=7&amp;number=0.02&amp;sourceID=14","0.02")</f>
        <v>0.02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HYPERLINK("http://141.218.60.56/~jnz1568/getInfo.php?workbook=18_08.xlsx&amp;sheet=U0&amp;row=2471&amp;col=6&amp;number=3.7&amp;sourceID=14","3.7")</f>
        <v>3.7</v>
      </c>
      <c r="G2471" s="4" t="str">
        <f>HYPERLINK("http://141.218.60.56/~jnz1568/getInfo.php?workbook=18_08.xlsx&amp;sheet=U0&amp;row=2471&amp;col=7&amp;number=0.02&amp;sourceID=14","0.02")</f>
        <v>0.02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HYPERLINK("http://141.218.60.56/~jnz1568/getInfo.php?workbook=18_08.xlsx&amp;sheet=U0&amp;row=2472&amp;col=6&amp;number=3.8&amp;sourceID=14","3.8")</f>
        <v>3.8</v>
      </c>
      <c r="G2472" s="4" t="str">
        <f>HYPERLINK("http://141.218.60.56/~jnz1568/getInfo.php?workbook=18_08.xlsx&amp;sheet=U0&amp;row=2472&amp;col=7&amp;number=0.02&amp;sourceID=14","0.02")</f>
        <v>0.02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HYPERLINK("http://141.218.60.56/~jnz1568/getInfo.php?workbook=18_08.xlsx&amp;sheet=U0&amp;row=2473&amp;col=6&amp;number=3.9&amp;sourceID=14","3.9")</f>
        <v>3.9</v>
      </c>
      <c r="G2473" s="4" t="str">
        <f>HYPERLINK("http://141.218.60.56/~jnz1568/getInfo.php?workbook=18_08.xlsx&amp;sheet=U0&amp;row=2473&amp;col=7&amp;number=0.02&amp;sourceID=14","0.02")</f>
        <v>0.02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HYPERLINK("http://141.218.60.56/~jnz1568/getInfo.php?workbook=18_08.xlsx&amp;sheet=U0&amp;row=2474&amp;col=6&amp;number=4&amp;sourceID=14","4")</f>
        <v>4</v>
      </c>
      <c r="G2474" s="4" t="str">
        <f>HYPERLINK("http://141.218.60.56/~jnz1568/getInfo.php?workbook=18_08.xlsx&amp;sheet=U0&amp;row=2474&amp;col=7&amp;number=0.02&amp;sourceID=14","0.02")</f>
        <v>0.02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HYPERLINK("http://141.218.60.56/~jnz1568/getInfo.php?workbook=18_08.xlsx&amp;sheet=U0&amp;row=2475&amp;col=6&amp;number=4.1&amp;sourceID=14","4.1")</f>
        <v>4.1</v>
      </c>
      <c r="G2475" s="4" t="str">
        <f>HYPERLINK("http://141.218.60.56/~jnz1568/getInfo.php?workbook=18_08.xlsx&amp;sheet=U0&amp;row=2475&amp;col=7&amp;number=0.02&amp;sourceID=14","0.02")</f>
        <v>0.02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HYPERLINK("http://141.218.60.56/~jnz1568/getInfo.php?workbook=18_08.xlsx&amp;sheet=U0&amp;row=2476&amp;col=6&amp;number=4.2&amp;sourceID=14","4.2")</f>
        <v>4.2</v>
      </c>
      <c r="G2476" s="4" t="str">
        <f>HYPERLINK("http://141.218.60.56/~jnz1568/getInfo.php?workbook=18_08.xlsx&amp;sheet=U0&amp;row=2476&amp;col=7&amp;number=0.0199&amp;sourceID=14","0.0199")</f>
        <v>0.0199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HYPERLINK("http://141.218.60.56/~jnz1568/getInfo.php?workbook=18_08.xlsx&amp;sheet=U0&amp;row=2477&amp;col=6&amp;number=4.3&amp;sourceID=14","4.3")</f>
        <v>4.3</v>
      </c>
      <c r="G2477" s="4" t="str">
        <f>HYPERLINK("http://141.218.60.56/~jnz1568/getInfo.php?workbook=18_08.xlsx&amp;sheet=U0&amp;row=2477&amp;col=7&amp;number=0.0199&amp;sourceID=14","0.0199")</f>
        <v>0.0199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HYPERLINK("http://141.218.60.56/~jnz1568/getInfo.php?workbook=18_08.xlsx&amp;sheet=U0&amp;row=2478&amp;col=6&amp;number=4.4&amp;sourceID=14","4.4")</f>
        <v>4.4</v>
      </c>
      <c r="G2478" s="4" t="str">
        <f>HYPERLINK("http://141.218.60.56/~jnz1568/getInfo.php?workbook=18_08.xlsx&amp;sheet=U0&amp;row=2478&amp;col=7&amp;number=0.0199&amp;sourceID=14","0.0199")</f>
        <v>0.0199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HYPERLINK("http://141.218.60.56/~jnz1568/getInfo.php?workbook=18_08.xlsx&amp;sheet=U0&amp;row=2479&amp;col=6&amp;number=4.5&amp;sourceID=14","4.5")</f>
        <v>4.5</v>
      </c>
      <c r="G2479" s="4" t="str">
        <f>HYPERLINK("http://141.218.60.56/~jnz1568/getInfo.php?workbook=18_08.xlsx&amp;sheet=U0&amp;row=2479&amp;col=7&amp;number=0.0198&amp;sourceID=14","0.0198")</f>
        <v>0.0198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HYPERLINK("http://141.218.60.56/~jnz1568/getInfo.php?workbook=18_08.xlsx&amp;sheet=U0&amp;row=2480&amp;col=6&amp;number=4.6&amp;sourceID=14","4.6")</f>
        <v>4.6</v>
      </c>
      <c r="G2480" s="4" t="str">
        <f>HYPERLINK("http://141.218.60.56/~jnz1568/getInfo.php?workbook=18_08.xlsx&amp;sheet=U0&amp;row=2480&amp;col=7&amp;number=0.0198&amp;sourceID=14","0.0198")</f>
        <v>0.0198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HYPERLINK("http://141.218.60.56/~jnz1568/getInfo.php?workbook=18_08.xlsx&amp;sheet=U0&amp;row=2481&amp;col=6&amp;number=4.7&amp;sourceID=14","4.7")</f>
        <v>4.7</v>
      </c>
      <c r="G2481" s="4" t="str">
        <f>HYPERLINK("http://141.218.60.56/~jnz1568/getInfo.php?workbook=18_08.xlsx&amp;sheet=U0&amp;row=2481&amp;col=7&amp;number=0.0197&amp;sourceID=14","0.0197")</f>
        <v>0.0197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HYPERLINK("http://141.218.60.56/~jnz1568/getInfo.php?workbook=18_08.xlsx&amp;sheet=U0&amp;row=2482&amp;col=6&amp;number=4.8&amp;sourceID=14","4.8")</f>
        <v>4.8</v>
      </c>
      <c r="G2482" s="4" t="str">
        <f>HYPERLINK("http://141.218.60.56/~jnz1568/getInfo.php?workbook=18_08.xlsx&amp;sheet=U0&amp;row=2482&amp;col=7&amp;number=0.0196&amp;sourceID=14","0.0196")</f>
        <v>0.0196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HYPERLINK("http://141.218.60.56/~jnz1568/getInfo.php?workbook=18_08.xlsx&amp;sheet=U0&amp;row=2483&amp;col=6&amp;number=4.9&amp;sourceID=14","4.9")</f>
        <v>4.9</v>
      </c>
      <c r="G2483" s="4" t="str">
        <f>HYPERLINK("http://141.218.60.56/~jnz1568/getInfo.php?workbook=18_08.xlsx&amp;sheet=U0&amp;row=2483&amp;col=7&amp;number=0.0195&amp;sourceID=14","0.0195")</f>
        <v>0.0195</v>
      </c>
    </row>
    <row r="2484" spans="1:7">
      <c r="A2484" s="3">
        <v>18</v>
      </c>
      <c r="B2484" s="3">
        <v>8</v>
      </c>
      <c r="C2484" s="3" t="s">
        <v>57</v>
      </c>
      <c r="D2484" s="3">
        <v>2</v>
      </c>
      <c r="E2484" s="3">
        <v>1</v>
      </c>
      <c r="F2484" s="4" t="str">
        <f>HYPERLINK("http://141.218.60.56/~jnz1568/getInfo.php?workbook=18_08.xlsx&amp;sheet=U0&amp;row=2484&amp;col=6&amp;number=3&amp;sourceID=14","3")</f>
        <v>3</v>
      </c>
      <c r="G2484" s="4" t="str">
        <f>HYPERLINK("http://141.218.60.56/~jnz1568/getInfo.php?workbook=18_08.xlsx&amp;sheet=U0&amp;row=2484&amp;col=7&amp;number=0.0171&amp;sourceID=14","0.0171")</f>
        <v>0.0171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HYPERLINK("http://141.218.60.56/~jnz1568/getInfo.php?workbook=18_08.xlsx&amp;sheet=U0&amp;row=2485&amp;col=6&amp;number=3.1&amp;sourceID=14","3.1")</f>
        <v>3.1</v>
      </c>
      <c r="G2485" s="4" t="str">
        <f>HYPERLINK("http://141.218.60.56/~jnz1568/getInfo.php?workbook=18_08.xlsx&amp;sheet=U0&amp;row=2485&amp;col=7&amp;number=0.0171&amp;sourceID=14","0.0171")</f>
        <v>0.0171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HYPERLINK("http://141.218.60.56/~jnz1568/getInfo.php?workbook=18_08.xlsx&amp;sheet=U0&amp;row=2486&amp;col=6&amp;number=3.2&amp;sourceID=14","3.2")</f>
        <v>3.2</v>
      </c>
      <c r="G2486" s="4" t="str">
        <f>HYPERLINK("http://141.218.60.56/~jnz1568/getInfo.php?workbook=18_08.xlsx&amp;sheet=U0&amp;row=2486&amp;col=7&amp;number=0.0171&amp;sourceID=14","0.0171")</f>
        <v>0.0171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HYPERLINK("http://141.218.60.56/~jnz1568/getInfo.php?workbook=18_08.xlsx&amp;sheet=U0&amp;row=2487&amp;col=6&amp;number=3.3&amp;sourceID=14","3.3")</f>
        <v>3.3</v>
      </c>
      <c r="G2487" s="4" t="str">
        <f>HYPERLINK("http://141.218.60.56/~jnz1568/getInfo.php?workbook=18_08.xlsx&amp;sheet=U0&amp;row=2487&amp;col=7&amp;number=0.0171&amp;sourceID=14","0.0171")</f>
        <v>0.0171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HYPERLINK("http://141.218.60.56/~jnz1568/getInfo.php?workbook=18_08.xlsx&amp;sheet=U0&amp;row=2488&amp;col=6&amp;number=3.4&amp;sourceID=14","3.4")</f>
        <v>3.4</v>
      </c>
      <c r="G2488" s="4" t="str">
        <f>HYPERLINK("http://141.218.60.56/~jnz1568/getInfo.php?workbook=18_08.xlsx&amp;sheet=U0&amp;row=2488&amp;col=7&amp;number=0.0171&amp;sourceID=14","0.0171")</f>
        <v>0.0171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HYPERLINK("http://141.218.60.56/~jnz1568/getInfo.php?workbook=18_08.xlsx&amp;sheet=U0&amp;row=2489&amp;col=6&amp;number=3.5&amp;sourceID=14","3.5")</f>
        <v>3.5</v>
      </c>
      <c r="G2489" s="4" t="str">
        <f>HYPERLINK("http://141.218.60.56/~jnz1568/getInfo.php?workbook=18_08.xlsx&amp;sheet=U0&amp;row=2489&amp;col=7&amp;number=0.0171&amp;sourceID=14","0.0171")</f>
        <v>0.0171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HYPERLINK("http://141.218.60.56/~jnz1568/getInfo.php?workbook=18_08.xlsx&amp;sheet=U0&amp;row=2490&amp;col=6&amp;number=3.6&amp;sourceID=14","3.6")</f>
        <v>3.6</v>
      </c>
      <c r="G2490" s="4" t="str">
        <f>HYPERLINK("http://141.218.60.56/~jnz1568/getInfo.php?workbook=18_08.xlsx&amp;sheet=U0&amp;row=2490&amp;col=7&amp;number=0.0171&amp;sourceID=14","0.0171")</f>
        <v>0.0171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HYPERLINK("http://141.218.60.56/~jnz1568/getInfo.php?workbook=18_08.xlsx&amp;sheet=U0&amp;row=2491&amp;col=6&amp;number=3.7&amp;sourceID=14","3.7")</f>
        <v>3.7</v>
      </c>
      <c r="G2491" s="4" t="str">
        <f>HYPERLINK("http://141.218.60.56/~jnz1568/getInfo.php?workbook=18_08.xlsx&amp;sheet=U0&amp;row=2491&amp;col=7&amp;number=0.0171&amp;sourceID=14","0.0171")</f>
        <v>0.0171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HYPERLINK("http://141.218.60.56/~jnz1568/getInfo.php?workbook=18_08.xlsx&amp;sheet=U0&amp;row=2492&amp;col=6&amp;number=3.8&amp;sourceID=14","3.8")</f>
        <v>3.8</v>
      </c>
      <c r="G2492" s="4" t="str">
        <f>HYPERLINK("http://141.218.60.56/~jnz1568/getInfo.php?workbook=18_08.xlsx&amp;sheet=U0&amp;row=2492&amp;col=7&amp;number=0.0171&amp;sourceID=14","0.0171")</f>
        <v>0.0171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HYPERLINK("http://141.218.60.56/~jnz1568/getInfo.php?workbook=18_08.xlsx&amp;sheet=U0&amp;row=2493&amp;col=6&amp;number=3.9&amp;sourceID=14","3.9")</f>
        <v>3.9</v>
      </c>
      <c r="G2493" s="4" t="str">
        <f>HYPERLINK("http://141.218.60.56/~jnz1568/getInfo.php?workbook=18_08.xlsx&amp;sheet=U0&amp;row=2493&amp;col=7&amp;number=0.0171&amp;sourceID=14","0.0171")</f>
        <v>0.0171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HYPERLINK("http://141.218.60.56/~jnz1568/getInfo.php?workbook=18_08.xlsx&amp;sheet=U0&amp;row=2494&amp;col=6&amp;number=4&amp;sourceID=14","4")</f>
        <v>4</v>
      </c>
      <c r="G2494" s="4" t="str">
        <f>HYPERLINK("http://141.218.60.56/~jnz1568/getInfo.php?workbook=18_08.xlsx&amp;sheet=U0&amp;row=2494&amp;col=7&amp;number=0.017&amp;sourceID=14","0.017")</f>
        <v>0.017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HYPERLINK("http://141.218.60.56/~jnz1568/getInfo.php?workbook=18_08.xlsx&amp;sheet=U0&amp;row=2495&amp;col=6&amp;number=4.1&amp;sourceID=14","4.1")</f>
        <v>4.1</v>
      </c>
      <c r="G2495" s="4" t="str">
        <f>HYPERLINK("http://141.218.60.56/~jnz1568/getInfo.php?workbook=18_08.xlsx&amp;sheet=U0&amp;row=2495&amp;col=7&amp;number=0.017&amp;sourceID=14","0.017")</f>
        <v>0.017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HYPERLINK("http://141.218.60.56/~jnz1568/getInfo.php?workbook=18_08.xlsx&amp;sheet=U0&amp;row=2496&amp;col=6&amp;number=4.2&amp;sourceID=14","4.2")</f>
        <v>4.2</v>
      </c>
      <c r="G2496" s="4" t="str">
        <f>HYPERLINK("http://141.218.60.56/~jnz1568/getInfo.php?workbook=18_08.xlsx&amp;sheet=U0&amp;row=2496&amp;col=7&amp;number=0.017&amp;sourceID=14","0.017")</f>
        <v>0.017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HYPERLINK("http://141.218.60.56/~jnz1568/getInfo.php?workbook=18_08.xlsx&amp;sheet=U0&amp;row=2497&amp;col=6&amp;number=4.3&amp;sourceID=14","4.3")</f>
        <v>4.3</v>
      </c>
      <c r="G2497" s="4" t="str">
        <f>HYPERLINK("http://141.218.60.56/~jnz1568/getInfo.php?workbook=18_08.xlsx&amp;sheet=U0&amp;row=2497&amp;col=7&amp;number=0.017&amp;sourceID=14","0.017")</f>
        <v>0.017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HYPERLINK("http://141.218.60.56/~jnz1568/getInfo.php?workbook=18_08.xlsx&amp;sheet=U0&amp;row=2498&amp;col=6&amp;number=4.4&amp;sourceID=14","4.4")</f>
        <v>4.4</v>
      </c>
      <c r="G2498" s="4" t="str">
        <f>HYPERLINK("http://141.218.60.56/~jnz1568/getInfo.php?workbook=18_08.xlsx&amp;sheet=U0&amp;row=2498&amp;col=7&amp;number=0.017&amp;sourceID=14","0.017")</f>
        <v>0.017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HYPERLINK("http://141.218.60.56/~jnz1568/getInfo.php?workbook=18_08.xlsx&amp;sheet=U0&amp;row=2499&amp;col=6&amp;number=4.5&amp;sourceID=14","4.5")</f>
        <v>4.5</v>
      </c>
      <c r="G2499" s="4" t="str">
        <f>HYPERLINK("http://141.218.60.56/~jnz1568/getInfo.php?workbook=18_08.xlsx&amp;sheet=U0&amp;row=2499&amp;col=7&amp;number=0.0169&amp;sourceID=14","0.0169")</f>
        <v>0.0169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HYPERLINK("http://141.218.60.56/~jnz1568/getInfo.php?workbook=18_08.xlsx&amp;sheet=U0&amp;row=2500&amp;col=6&amp;number=4.6&amp;sourceID=14","4.6")</f>
        <v>4.6</v>
      </c>
      <c r="G2500" s="4" t="str">
        <f>HYPERLINK("http://141.218.60.56/~jnz1568/getInfo.php?workbook=18_08.xlsx&amp;sheet=U0&amp;row=2500&amp;col=7&amp;number=0.0169&amp;sourceID=14","0.0169")</f>
        <v>0.0169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HYPERLINK("http://141.218.60.56/~jnz1568/getInfo.php?workbook=18_08.xlsx&amp;sheet=U0&amp;row=2501&amp;col=6&amp;number=4.7&amp;sourceID=14","4.7")</f>
        <v>4.7</v>
      </c>
      <c r="G2501" s="4" t="str">
        <f>HYPERLINK("http://141.218.60.56/~jnz1568/getInfo.php?workbook=18_08.xlsx&amp;sheet=U0&amp;row=2501&amp;col=7&amp;number=0.0168&amp;sourceID=14","0.0168")</f>
        <v>0.0168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HYPERLINK("http://141.218.60.56/~jnz1568/getInfo.php?workbook=18_08.xlsx&amp;sheet=U0&amp;row=2502&amp;col=6&amp;number=4.8&amp;sourceID=14","4.8")</f>
        <v>4.8</v>
      </c>
      <c r="G2502" s="4" t="str">
        <f>HYPERLINK("http://141.218.60.56/~jnz1568/getInfo.php?workbook=18_08.xlsx&amp;sheet=U0&amp;row=2502&amp;col=7&amp;number=0.0167&amp;sourceID=14","0.0167")</f>
        <v>0.0167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HYPERLINK("http://141.218.60.56/~jnz1568/getInfo.php?workbook=18_08.xlsx&amp;sheet=U0&amp;row=2503&amp;col=6&amp;number=4.9&amp;sourceID=14","4.9")</f>
        <v>4.9</v>
      </c>
      <c r="G2503" s="4" t="str">
        <f>HYPERLINK("http://141.218.60.56/~jnz1568/getInfo.php?workbook=18_08.xlsx&amp;sheet=U0&amp;row=2503&amp;col=7&amp;number=0.0166&amp;sourceID=14","0.0166")</f>
        <v>0.0166</v>
      </c>
    </row>
    <row r="2504" spans="1:7">
      <c r="A2504" s="3">
        <v>18</v>
      </c>
      <c r="B2504" s="3">
        <v>8</v>
      </c>
      <c r="C2504" s="3" t="s">
        <v>57</v>
      </c>
      <c r="D2504" s="3">
        <v>3</v>
      </c>
      <c r="E2504" s="3">
        <v>1</v>
      </c>
      <c r="F2504" s="4" t="str">
        <f>HYPERLINK("http://141.218.60.56/~jnz1568/getInfo.php?workbook=18_08.xlsx&amp;sheet=U0&amp;row=2504&amp;col=6&amp;number=3&amp;sourceID=14","3")</f>
        <v>3</v>
      </c>
      <c r="G2504" s="4" t="str">
        <f>HYPERLINK("http://141.218.60.56/~jnz1568/getInfo.php?workbook=18_08.xlsx&amp;sheet=U0&amp;row=2504&amp;col=7&amp;number=0.00305&amp;sourceID=14","0.00305")</f>
        <v>0.00305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HYPERLINK("http://141.218.60.56/~jnz1568/getInfo.php?workbook=18_08.xlsx&amp;sheet=U0&amp;row=2505&amp;col=6&amp;number=3.1&amp;sourceID=14","3.1")</f>
        <v>3.1</v>
      </c>
      <c r="G2505" s="4" t="str">
        <f>HYPERLINK("http://141.218.60.56/~jnz1568/getInfo.php?workbook=18_08.xlsx&amp;sheet=U0&amp;row=2505&amp;col=7&amp;number=0.00305&amp;sourceID=14","0.00305")</f>
        <v>0.00305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HYPERLINK("http://141.218.60.56/~jnz1568/getInfo.php?workbook=18_08.xlsx&amp;sheet=U0&amp;row=2506&amp;col=6&amp;number=3.2&amp;sourceID=14","3.2")</f>
        <v>3.2</v>
      </c>
      <c r="G2506" s="4" t="str">
        <f>HYPERLINK("http://141.218.60.56/~jnz1568/getInfo.php?workbook=18_08.xlsx&amp;sheet=U0&amp;row=2506&amp;col=7&amp;number=0.00305&amp;sourceID=14","0.00305")</f>
        <v>0.00305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HYPERLINK("http://141.218.60.56/~jnz1568/getInfo.php?workbook=18_08.xlsx&amp;sheet=U0&amp;row=2507&amp;col=6&amp;number=3.3&amp;sourceID=14","3.3")</f>
        <v>3.3</v>
      </c>
      <c r="G2507" s="4" t="str">
        <f>HYPERLINK("http://141.218.60.56/~jnz1568/getInfo.php?workbook=18_08.xlsx&amp;sheet=U0&amp;row=2507&amp;col=7&amp;number=0.00305&amp;sourceID=14","0.00305")</f>
        <v>0.00305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HYPERLINK("http://141.218.60.56/~jnz1568/getInfo.php?workbook=18_08.xlsx&amp;sheet=U0&amp;row=2508&amp;col=6&amp;number=3.4&amp;sourceID=14","3.4")</f>
        <v>3.4</v>
      </c>
      <c r="G2508" s="4" t="str">
        <f>HYPERLINK("http://141.218.60.56/~jnz1568/getInfo.php?workbook=18_08.xlsx&amp;sheet=U0&amp;row=2508&amp;col=7&amp;number=0.00305&amp;sourceID=14","0.00305")</f>
        <v>0.00305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HYPERLINK("http://141.218.60.56/~jnz1568/getInfo.php?workbook=18_08.xlsx&amp;sheet=U0&amp;row=2509&amp;col=6&amp;number=3.5&amp;sourceID=14","3.5")</f>
        <v>3.5</v>
      </c>
      <c r="G2509" s="4" t="str">
        <f>HYPERLINK("http://141.218.60.56/~jnz1568/getInfo.php?workbook=18_08.xlsx&amp;sheet=U0&amp;row=2509&amp;col=7&amp;number=0.00305&amp;sourceID=14","0.00305")</f>
        <v>0.00305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HYPERLINK("http://141.218.60.56/~jnz1568/getInfo.php?workbook=18_08.xlsx&amp;sheet=U0&amp;row=2510&amp;col=6&amp;number=3.6&amp;sourceID=14","3.6")</f>
        <v>3.6</v>
      </c>
      <c r="G2510" s="4" t="str">
        <f>HYPERLINK("http://141.218.60.56/~jnz1568/getInfo.php?workbook=18_08.xlsx&amp;sheet=U0&amp;row=2510&amp;col=7&amp;number=0.00305&amp;sourceID=14","0.00305")</f>
        <v>0.00305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HYPERLINK("http://141.218.60.56/~jnz1568/getInfo.php?workbook=18_08.xlsx&amp;sheet=U0&amp;row=2511&amp;col=6&amp;number=3.7&amp;sourceID=14","3.7")</f>
        <v>3.7</v>
      </c>
      <c r="G2511" s="4" t="str">
        <f>HYPERLINK("http://141.218.60.56/~jnz1568/getInfo.php?workbook=18_08.xlsx&amp;sheet=U0&amp;row=2511&amp;col=7&amp;number=0.00305&amp;sourceID=14","0.00305")</f>
        <v>0.00305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HYPERLINK("http://141.218.60.56/~jnz1568/getInfo.php?workbook=18_08.xlsx&amp;sheet=U0&amp;row=2512&amp;col=6&amp;number=3.8&amp;sourceID=14","3.8")</f>
        <v>3.8</v>
      </c>
      <c r="G2512" s="4" t="str">
        <f>HYPERLINK("http://141.218.60.56/~jnz1568/getInfo.php?workbook=18_08.xlsx&amp;sheet=U0&amp;row=2512&amp;col=7&amp;number=0.00305&amp;sourceID=14","0.00305")</f>
        <v>0.00305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HYPERLINK("http://141.218.60.56/~jnz1568/getInfo.php?workbook=18_08.xlsx&amp;sheet=U0&amp;row=2513&amp;col=6&amp;number=3.9&amp;sourceID=14","3.9")</f>
        <v>3.9</v>
      </c>
      <c r="G2513" s="4" t="str">
        <f>HYPERLINK("http://141.218.60.56/~jnz1568/getInfo.php?workbook=18_08.xlsx&amp;sheet=U0&amp;row=2513&amp;col=7&amp;number=0.00305&amp;sourceID=14","0.00305")</f>
        <v>0.00305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HYPERLINK("http://141.218.60.56/~jnz1568/getInfo.php?workbook=18_08.xlsx&amp;sheet=U0&amp;row=2514&amp;col=6&amp;number=4&amp;sourceID=14","4")</f>
        <v>4</v>
      </c>
      <c r="G2514" s="4" t="str">
        <f>HYPERLINK("http://141.218.60.56/~jnz1568/getInfo.php?workbook=18_08.xlsx&amp;sheet=U0&amp;row=2514&amp;col=7&amp;number=0.00305&amp;sourceID=14","0.00305")</f>
        <v>0.00305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HYPERLINK("http://141.218.60.56/~jnz1568/getInfo.php?workbook=18_08.xlsx&amp;sheet=U0&amp;row=2515&amp;col=6&amp;number=4.1&amp;sourceID=14","4.1")</f>
        <v>4.1</v>
      </c>
      <c r="G2515" s="4" t="str">
        <f>HYPERLINK("http://141.218.60.56/~jnz1568/getInfo.php?workbook=18_08.xlsx&amp;sheet=U0&amp;row=2515&amp;col=7&amp;number=0.00305&amp;sourceID=14","0.00305")</f>
        <v>0.00305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HYPERLINK("http://141.218.60.56/~jnz1568/getInfo.php?workbook=18_08.xlsx&amp;sheet=U0&amp;row=2516&amp;col=6&amp;number=4.2&amp;sourceID=14","4.2")</f>
        <v>4.2</v>
      </c>
      <c r="G2516" s="4" t="str">
        <f>HYPERLINK("http://141.218.60.56/~jnz1568/getInfo.php?workbook=18_08.xlsx&amp;sheet=U0&amp;row=2516&amp;col=7&amp;number=0.00305&amp;sourceID=14","0.00305")</f>
        <v>0.00305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HYPERLINK("http://141.218.60.56/~jnz1568/getInfo.php?workbook=18_08.xlsx&amp;sheet=U0&amp;row=2517&amp;col=6&amp;number=4.3&amp;sourceID=14","4.3")</f>
        <v>4.3</v>
      </c>
      <c r="G2517" s="4" t="str">
        <f>HYPERLINK("http://141.218.60.56/~jnz1568/getInfo.php?workbook=18_08.xlsx&amp;sheet=U0&amp;row=2517&amp;col=7&amp;number=0.00305&amp;sourceID=14","0.00305")</f>
        <v>0.00305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HYPERLINK("http://141.218.60.56/~jnz1568/getInfo.php?workbook=18_08.xlsx&amp;sheet=U0&amp;row=2518&amp;col=6&amp;number=4.4&amp;sourceID=14","4.4")</f>
        <v>4.4</v>
      </c>
      <c r="G2518" s="4" t="str">
        <f>HYPERLINK("http://141.218.60.56/~jnz1568/getInfo.php?workbook=18_08.xlsx&amp;sheet=U0&amp;row=2518&amp;col=7&amp;number=0.00304&amp;sourceID=14","0.00304")</f>
        <v>0.00304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HYPERLINK("http://141.218.60.56/~jnz1568/getInfo.php?workbook=18_08.xlsx&amp;sheet=U0&amp;row=2519&amp;col=6&amp;number=4.5&amp;sourceID=14","4.5")</f>
        <v>4.5</v>
      </c>
      <c r="G2519" s="4" t="str">
        <f>HYPERLINK("http://141.218.60.56/~jnz1568/getInfo.php?workbook=18_08.xlsx&amp;sheet=U0&amp;row=2519&amp;col=7&amp;number=0.00304&amp;sourceID=14","0.00304")</f>
        <v>0.00304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HYPERLINK("http://141.218.60.56/~jnz1568/getInfo.php?workbook=18_08.xlsx&amp;sheet=U0&amp;row=2520&amp;col=6&amp;number=4.6&amp;sourceID=14","4.6")</f>
        <v>4.6</v>
      </c>
      <c r="G2520" s="4" t="str">
        <f>HYPERLINK("http://141.218.60.56/~jnz1568/getInfo.php?workbook=18_08.xlsx&amp;sheet=U0&amp;row=2520&amp;col=7&amp;number=0.00304&amp;sourceID=14","0.00304")</f>
        <v>0.00304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HYPERLINK("http://141.218.60.56/~jnz1568/getInfo.php?workbook=18_08.xlsx&amp;sheet=U0&amp;row=2521&amp;col=6&amp;number=4.7&amp;sourceID=14","4.7")</f>
        <v>4.7</v>
      </c>
      <c r="G2521" s="4" t="str">
        <f>HYPERLINK("http://141.218.60.56/~jnz1568/getInfo.php?workbook=18_08.xlsx&amp;sheet=U0&amp;row=2521&amp;col=7&amp;number=0.00303&amp;sourceID=14","0.00303")</f>
        <v>0.00303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HYPERLINK("http://141.218.60.56/~jnz1568/getInfo.php?workbook=18_08.xlsx&amp;sheet=U0&amp;row=2522&amp;col=6&amp;number=4.8&amp;sourceID=14","4.8")</f>
        <v>4.8</v>
      </c>
      <c r="G2522" s="4" t="str">
        <f>HYPERLINK("http://141.218.60.56/~jnz1568/getInfo.php?workbook=18_08.xlsx&amp;sheet=U0&amp;row=2522&amp;col=7&amp;number=0.00302&amp;sourceID=14","0.00302")</f>
        <v>0.00302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HYPERLINK("http://141.218.60.56/~jnz1568/getInfo.php?workbook=18_08.xlsx&amp;sheet=U0&amp;row=2523&amp;col=6&amp;number=4.9&amp;sourceID=14","4.9")</f>
        <v>4.9</v>
      </c>
      <c r="G2523" s="4" t="str">
        <f>HYPERLINK("http://141.218.60.56/~jnz1568/getInfo.php?workbook=18_08.xlsx&amp;sheet=U0&amp;row=2523&amp;col=7&amp;number=0.00302&amp;sourceID=14","0.00302")</f>
        <v>0.00302</v>
      </c>
    </row>
    <row r="2524" spans="1:7">
      <c r="A2524" s="3">
        <v>18</v>
      </c>
      <c r="B2524" s="3">
        <v>8</v>
      </c>
      <c r="C2524" s="3" t="s">
        <v>57</v>
      </c>
      <c r="D2524" s="3">
        <v>4</v>
      </c>
      <c r="E2524" s="3">
        <v>1</v>
      </c>
      <c r="F2524" s="4" t="str">
        <f>HYPERLINK("http://141.218.60.56/~jnz1568/getInfo.php?workbook=18_08.xlsx&amp;sheet=U0&amp;row=2524&amp;col=6&amp;number=3&amp;sourceID=14","3")</f>
        <v>3</v>
      </c>
      <c r="G2524" s="4" t="str">
        <f>HYPERLINK("http://141.218.60.56/~jnz1568/getInfo.php?workbook=18_08.xlsx&amp;sheet=U0&amp;row=2524&amp;col=7&amp;number=0.0092&amp;sourceID=14","0.0092")</f>
        <v>0.0092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HYPERLINK("http://141.218.60.56/~jnz1568/getInfo.php?workbook=18_08.xlsx&amp;sheet=U0&amp;row=2525&amp;col=6&amp;number=3.1&amp;sourceID=14","3.1")</f>
        <v>3.1</v>
      </c>
      <c r="G2525" s="4" t="str">
        <f>HYPERLINK("http://141.218.60.56/~jnz1568/getInfo.php?workbook=18_08.xlsx&amp;sheet=U0&amp;row=2525&amp;col=7&amp;number=0.0092&amp;sourceID=14","0.0092")</f>
        <v>0.0092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HYPERLINK("http://141.218.60.56/~jnz1568/getInfo.php?workbook=18_08.xlsx&amp;sheet=U0&amp;row=2526&amp;col=6&amp;number=3.2&amp;sourceID=14","3.2")</f>
        <v>3.2</v>
      </c>
      <c r="G2526" s="4" t="str">
        <f>HYPERLINK("http://141.218.60.56/~jnz1568/getInfo.php?workbook=18_08.xlsx&amp;sheet=U0&amp;row=2526&amp;col=7&amp;number=0.0092&amp;sourceID=14","0.0092")</f>
        <v>0.0092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HYPERLINK("http://141.218.60.56/~jnz1568/getInfo.php?workbook=18_08.xlsx&amp;sheet=U0&amp;row=2527&amp;col=6&amp;number=3.3&amp;sourceID=14","3.3")</f>
        <v>3.3</v>
      </c>
      <c r="G2527" s="4" t="str">
        <f>HYPERLINK("http://141.218.60.56/~jnz1568/getInfo.php?workbook=18_08.xlsx&amp;sheet=U0&amp;row=2527&amp;col=7&amp;number=0.0092&amp;sourceID=14","0.0092")</f>
        <v>0.0092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HYPERLINK("http://141.218.60.56/~jnz1568/getInfo.php?workbook=18_08.xlsx&amp;sheet=U0&amp;row=2528&amp;col=6&amp;number=3.4&amp;sourceID=14","3.4")</f>
        <v>3.4</v>
      </c>
      <c r="G2528" s="4" t="str">
        <f>HYPERLINK("http://141.218.60.56/~jnz1568/getInfo.php?workbook=18_08.xlsx&amp;sheet=U0&amp;row=2528&amp;col=7&amp;number=0.0092&amp;sourceID=14","0.0092")</f>
        <v>0.0092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HYPERLINK("http://141.218.60.56/~jnz1568/getInfo.php?workbook=18_08.xlsx&amp;sheet=U0&amp;row=2529&amp;col=6&amp;number=3.5&amp;sourceID=14","3.5")</f>
        <v>3.5</v>
      </c>
      <c r="G2529" s="4" t="str">
        <f>HYPERLINK("http://141.218.60.56/~jnz1568/getInfo.php?workbook=18_08.xlsx&amp;sheet=U0&amp;row=2529&amp;col=7&amp;number=0.0092&amp;sourceID=14","0.0092")</f>
        <v>0.0092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HYPERLINK("http://141.218.60.56/~jnz1568/getInfo.php?workbook=18_08.xlsx&amp;sheet=U0&amp;row=2530&amp;col=6&amp;number=3.6&amp;sourceID=14","3.6")</f>
        <v>3.6</v>
      </c>
      <c r="G2530" s="4" t="str">
        <f>HYPERLINK("http://141.218.60.56/~jnz1568/getInfo.php?workbook=18_08.xlsx&amp;sheet=U0&amp;row=2530&amp;col=7&amp;number=0.0092&amp;sourceID=14","0.0092")</f>
        <v>0.0092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HYPERLINK("http://141.218.60.56/~jnz1568/getInfo.php?workbook=18_08.xlsx&amp;sheet=U0&amp;row=2531&amp;col=6&amp;number=3.7&amp;sourceID=14","3.7")</f>
        <v>3.7</v>
      </c>
      <c r="G2531" s="4" t="str">
        <f>HYPERLINK("http://141.218.60.56/~jnz1568/getInfo.php?workbook=18_08.xlsx&amp;sheet=U0&amp;row=2531&amp;col=7&amp;number=0.0092&amp;sourceID=14","0.0092")</f>
        <v>0.0092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HYPERLINK("http://141.218.60.56/~jnz1568/getInfo.php?workbook=18_08.xlsx&amp;sheet=U0&amp;row=2532&amp;col=6&amp;number=3.8&amp;sourceID=14","3.8")</f>
        <v>3.8</v>
      </c>
      <c r="G2532" s="4" t="str">
        <f>HYPERLINK("http://141.218.60.56/~jnz1568/getInfo.php?workbook=18_08.xlsx&amp;sheet=U0&amp;row=2532&amp;col=7&amp;number=0.0092&amp;sourceID=14","0.0092")</f>
        <v>0.0092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HYPERLINK("http://141.218.60.56/~jnz1568/getInfo.php?workbook=18_08.xlsx&amp;sheet=U0&amp;row=2533&amp;col=6&amp;number=3.9&amp;sourceID=14","3.9")</f>
        <v>3.9</v>
      </c>
      <c r="G2533" s="4" t="str">
        <f>HYPERLINK("http://141.218.60.56/~jnz1568/getInfo.php?workbook=18_08.xlsx&amp;sheet=U0&amp;row=2533&amp;col=7&amp;number=0.0092&amp;sourceID=14","0.0092")</f>
        <v>0.0092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HYPERLINK("http://141.218.60.56/~jnz1568/getInfo.php?workbook=18_08.xlsx&amp;sheet=U0&amp;row=2534&amp;col=6&amp;number=4&amp;sourceID=14","4")</f>
        <v>4</v>
      </c>
      <c r="G2534" s="4" t="str">
        <f>HYPERLINK("http://141.218.60.56/~jnz1568/getInfo.php?workbook=18_08.xlsx&amp;sheet=U0&amp;row=2534&amp;col=7&amp;number=0.0092&amp;sourceID=14","0.0092")</f>
        <v>0.0092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HYPERLINK("http://141.218.60.56/~jnz1568/getInfo.php?workbook=18_08.xlsx&amp;sheet=U0&amp;row=2535&amp;col=6&amp;number=4.1&amp;sourceID=14","4.1")</f>
        <v>4.1</v>
      </c>
      <c r="G2535" s="4" t="str">
        <f>HYPERLINK("http://141.218.60.56/~jnz1568/getInfo.php?workbook=18_08.xlsx&amp;sheet=U0&amp;row=2535&amp;col=7&amp;number=0.0092&amp;sourceID=14","0.0092")</f>
        <v>0.0092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HYPERLINK("http://141.218.60.56/~jnz1568/getInfo.php?workbook=18_08.xlsx&amp;sheet=U0&amp;row=2536&amp;col=6&amp;number=4.2&amp;sourceID=14","4.2")</f>
        <v>4.2</v>
      </c>
      <c r="G2536" s="4" t="str">
        <f>HYPERLINK("http://141.218.60.56/~jnz1568/getInfo.php?workbook=18_08.xlsx&amp;sheet=U0&amp;row=2536&amp;col=7&amp;number=0.0092&amp;sourceID=14","0.0092")</f>
        <v>0.0092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HYPERLINK("http://141.218.60.56/~jnz1568/getInfo.php?workbook=18_08.xlsx&amp;sheet=U0&amp;row=2537&amp;col=6&amp;number=4.3&amp;sourceID=14","4.3")</f>
        <v>4.3</v>
      </c>
      <c r="G2537" s="4" t="str">
        <f>HYPERLINK("http://141.218.60.56/~jnz1568/getInfo.php?workbook=18_08.xlsx&amp;sheet=U0&amp;row=2537&amp;col=7&amp;number=0.0092&amp;sourceID=14","0.0092")</f>
        <v>0.0092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HYPERLINK("http://141.218.60.56/~jnz1568/getInfo.php?workbook=18_08.xlsx&amp;sheet=U0&amp;row=2538&amp;col=6&amp;number=4.4&amp;sourceID=14","4.4")</f>
        <v>4.4</v>
      </c>
      <c r="G2538" s="4" t="str">
        <f>HYPERLINK("http://141.218.60.56/~jnz1568/getInfo.php?workbook=18_08.xlsx&amp;sheet=U0&amp;row=2538&amp;col=7&amp;number=0.0092&amp;sourceID=14","0.0092")</f>
        <v>0.0092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HYPERLINK("http://141.218.60.56/~jnz1568/getInfo.php?workbook=18_08.xlsx&amp;sheet=U0&amp;row=2539&amp;col=6&amp;number=4.5&amp;sourceID=14","4.5")</f>
        <v>4.5</v>
      </c>
      <c r="G2539" s="4" t="str">
        <f>HYPERLINK("http://141.218.60.56/~jnz1568/getInfo.php?workbook=18_08.xlsx&amp;sheet=U0&amp;row=2539&amp;col=7&amp;number=0.0092&amp;sourceID=14","0.0092")</f>
        <v>0.0092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HYPERLINK("http://141.218.60.56/~jnz1568/getInfo.php?workbook=18_08.xlsx&amp;sheet=U0&amp;row=2540&amp;col=6&amp;number=4.6&amp;sourceID=14","4.6")</f>
        <v>4.6</v>
      </c>
      <c r="G2540" s="4" t="str">
        <f>HYPERLINK("http://141.218.60.56/~jnz1568/getInfo.php?workbook=18_08.xlsx&amp;sheet=U0&amp;row=2540&amp;col=7&amp;number=0.0092&amp;sourceID=14","0.0092")</f>
        <v>0.0092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HYPERLINK("http://141.218.60.56/~jnz1568/getInfo.php?workbook=18_08.xlsx&amp;sheet=U0&amp;row=2541&amp;col=6&amp;number=4.7&amp;sourceID=14","4.7")</f>
        <v>4.7</v>
      </c>
      <c r="G2541" s="4" t="str">
        <f>HYPERLINK("http://141.218.60.56/~jnz1568/getInfo.php?workbook=18_08.xlsx&amp;sheet=U0&amp;row=2541&amp;col=7&amp;number=0.00919&amp;sourceID=14","0.00919")</f>
        <v>0.00919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HYPERLINK("http://141.218.60.56/~jnz1568/getInfo.php?workbook=18_08.xlsx&amp;sheet=U0&amp;row=2542&amp;col=6&amp;number=4.8&amp;sourceID=14","4.8")</f>
        <v>4.8</v>
      </c>
      <c r="G2542" s="4" t="str">
        <f>HYPERLINK("http://141.218.60.56/~jnz1568/getInfo.php?workbook=18_08.xlsx&amp;sheet=U0&amp;row=2542&amp;col=7&amp;number=0.00919&amp;sourceID=14","0.00919")</f>
        <v>0.00919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HYPERLINK("http://141.218.60.56/~jnz1568/getInfo.php?workbook=18_08.xlsx&amp;sheet=U0&amp;row=2543&amp;col=6&amp;number=4.9&amp;sourceID=14","4.9")</f>
        <v>4.9</v>
      </c>
      <c r="G2543" s="4" t="str">
        <f>HYPERLINK("http://141.218.60.56/~jnz1568/getInfo.php?workbook=18_08.xlsx&amp;sheet=U0&amp;row=2543&amp;col=7&amp;number=0.00919&amp;sourceID=14","0.00919")</f>
        <v>0.00919</v>
      </c>
    </row>
    <row r="2544" spans="1:7">
      <c r="A2544" s="3">
        <v>18</v>
      </c>
      <c r="B2544" s="3">
        <v>8</v>
      </c>
      <c r="C2544" s="3" t="s">
        <v>57</v>
      </c>
      <c r="D2544" s="3">
        <v>5</v>
      </c>
      <c r="E2544" s="3">
        <v>1</v>
      </c>
      <c r="F2544" s="4" t="str">
        <f>HYPERLINK("http://141.218.60.56/~jnz1568/getInfo.php?workbook=18_08.xlsx&amp;sheet=U0&amp;row=2544&amp;col=6&amp;number=3&amp;sourceID=14","3")</f>
        <v>3</v>
      </c>
      <c r="G2544" s="4" t="str">
        <f>HYPERLINK("http://141.218.60.56/~jnz1568/getInfo.php?workbook=18_08.xlsx&amp;sheet=U0&amp;row=2544&amp;col=7&amp;number=0.00543&amp;sourceID=14","0.00543")</f>
        <v>0.00543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HYPERLINK("http://141.218.60.56/~jnz1568/getInfo.php?workbook=18_08.xlsx&amp;sheet=U0&amp;row=2545&amp;col=6&amp;number=3.1&amp;sourceID=14","3.1")</f>
        <v>3.1</v>
      </c>
      <c r="G2545" s="4" t="str">
        <f>HYPERLINK("http://141.218.60.56/~jnz1568/getInfo.php?workbook=18_08.xlsx&amp;sheet=U0&amp;row=2545&amp;col=7&amp;number=0.00543&amp;sourceID=14","0.00543")</f>
        <v>0.00543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HYPERLINK("http://141.218.60.56/~jnz1568/getInfo.php?workbook=18_08.xlsx&amp;sheet=U0&amp;row=2546&amp;col=6&amp;number=3.2&amp;sourceID=14","3.2")</f>
        <v>3.2</v>
      </c>
      <c r="G2546" s="4" t="str">
        <f>HYPERLINK("http://141.218.60.56/~jnz1568/getInfo.php?workbook=18_08.xlsx&amp;sheet=U0&amp;row=2546&amp;col=7&amp;number=0.00543&amp;sourceID=14","0.00543")</f>
        <v>0.00543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HYPERLINK("http://141.218.60.56/~jnz1568/getInfo.php?workbook=18_08.xlsx&amp;sheet=U0&amp;row=2547&amp;col=6&amp;number=3.3&amp;sourceID=14","3.3")</f>
        <v>3.3</v>
      </c>
      <c r="G2547" s="4" t="str">
        <f>HYPERLINK("http://141.218.60.56/~jnz1568/getInfo.php?workbook=18_08.xlsx&amp;sheet=U0&amp;row=2547&amp;col=7&amp;number=0.00543&amp;sourceID=14","0.00543")</f>
        <v>0.00543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HYPERLINK("http://141.218.60.56/~jnz1568/getInfo.php?workbook=18_08.xlsx&amp;sheet=U0&amp;row=2548&amp;col=6&amp;number=3.4&amp;sourceID=14","3.4")</f>
        <v>3.4</v>
      </c>
      <c r="G2548" s="4" t="str">
        <f>HYPERLINK("http://141.218.60.56/~jnz1568/getInfo.php?workbook=18_08.xlsx&amp;sheet=U0&amp;row=2548&amp;col=7&amp;number=0.00543&amp;sourceID=14","0.00543")</f>
        <v>0.00543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HYPERLINK("http://141.218.60.56/~jnz1568/getInfo.php?workbook=18_08.xlsx&amp;sheet=U0&amp;row=2549&amp;col=6&amp;number=3.5&amp;sourceID=14","3.5")</f>
        <v>3.5</v>
      </c>
      <c r="G2549" s="4" t="str">
        <f>HYPERLINK("http://141.218.60.56/~jnz1568/getInfo.php?workbook=18_08.xlsx&amp;sheet=U0&amp;row=2549&amp;col=7&amp;number=0.00543&amp;sourceID=14","0.00543")</f>
        <v>0.00543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HYPERLINK("http://141.218.60.56/~jnz1568/getInfo.php?workbook=18_08.xlsx&amp;sheet=U0&amp;row=2550&amp;col=6&amp;number=3.6&amp;sourceID=14","3.6")</f>
        <v>3.6</v>
      </c>
      <c r="G2550" s="4" t="str">
        <f>HYPERLINK("http://141.218.60.56/~jnz1568/getInfo.php?workbook=18_08.xlsx&amp;sheet=U0&amp;row=2550&amp;col=7&amp;number=0.00543&amp;sourceID=14","0.00543")</f>
        <v>0.00543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HYPERLINK("http://141.218.60.56/~jnz1568/getInfo.php?workbook=18_08.xlsx&amp;sheet=U0&amp;row=2551&amp;col=6&amp;number=3.7&amp;sourceID=14","3.7")</f>
        <v>3.7</v>
      </c>
      <c r="G2551" s="4" t="str">
        <f>HYPERLINK("http://141.218.60.56/~jnz1568/getInfo.php?workbook=18_08.xlsx&amp;sheet=U0&amp;row=2551&amp;col=7&amp;number=0.00543&amp;sourceID=14","0.00543")</f>
        <v>0.00543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HYPERLINK("http://141.218.60.56/~jnz1568/getInfo.php?workbook=18_08.xlsx&amp;sheet=U0&amp;row=2552&amp;col=6&amp;number=3.8&amp;sourceID=14","3.8")</f>
        <v>3.8</v>
      </c>
      <c r="G2552" s="4" t="str">
        <f>HYPERLINK("http://141.218.60.56/~jnz1568/getInfo.php?workbook=18_08.xlsx&amp;sheet=U0&amp;row=2552&amp;col=7&amp;number=0.00543&amp;sourceID=14","0.00543")</f>
        <v>0.00543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HYPERLINK("http://141.218.60.56/~jnz1568/getInfo.php?workbook=18_08.xlsx&amp;sheet=U0&amp;row=2553&amp;col=6&amp;number=3.9&amp;sourceID=14","3.9")</f>
        <v>3.9</v>
      </c>
      <c r="G2553" s="4" t="str">
        <f>HYPERLINK("http://141.218.60.56/~jnz1568/getInfo.php?workbook=18_08.xlsx&amp;sheet=U0&amp;row=2553&amp;col=7&amp;number=0.00543&amp;sourceID=14","0.00543")</f>
        <v>0.00543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HYPERLINK("http://141.218.60.56/~jnz1568/getInfo.php?workbook=18_08.xlsx&amp;sheet=U0&amp;row=2554&amp;col=6&amp;number=4&amp;sourceID=14","4")</f>
        <v>4</v>
      </c>
      <c r="G2554" s="4" t="str">
        <f>HYPERLINK("http://141.218.60.56/~jnz1568/getInfo.php?workbook=18_08.xlsx&amp;sheet=U0&amp;row=2554&amp;col=7&amp;number=0.00543&amp;sourceID=14","0.00543")</f>
        <v>0.00543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HYPERLINK("http://141.218.60.56/~jnz1568/getInfo.php?workbook=18_08.xlsx&amp;sheet=U0&amp;row=2555&amp;col=6&amp;number=4.1&amp;sourceID=14","4.1")</f>
        <v>4.1</v>
      </c>
      <c r="G2555" s="4" t="str">
        <f>HYPERLINK("http://141.218.60.56/~jnz1568/getInfo.php?workbook=18_08.xlsx&amp;sheet=U0&amp;row=2555&amp;col=7&amp;number=0.00543&amp;sourceID=14","0.00543")</f>
        <v>0.00543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HYPERLINK("http://141.218.60.56/~jnz1568/getInfo.php?workbook=18_08.xlsx&amp;sheet=U0&amp;row=2556&amp;col=6&amp;number=4.2&amp;sourceID=14","4.2")</f>
        <v>4.2</v>
      </c>
      <c r="G2556" s="4" t="str">
        <f>HYPERLINK("http://141.218.60.56/~jnz1568/getInfo.php?workbook=18_08.xlsx&amp;sheet=U0&amp;row=2556&amp;col=7&amp;number=0.00543&amp;sourceID=14","0.00543")</f>
        <v>0.00543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HYPERLINK("http://141.218.60.56/~jnz1568/getInfo.php?workbook=18_08.xlsx&amp;sheet=U0&amp;row=2557&amp;col=6&amp;number=4.3&amp;sourceID=14","4.3")</f>
        <v>4.3</v>
      </c>
      <c r="G2557" s="4" t="str">
        <f>HYPERLINK("http://141.218.60.56/~jnz1568/getInfo.php?workbook=18_08.xlsx&amp;sheet=U0&amp;row=2557&amp;col=7&amp;number=0.00543&amp;sourceID=14","0.00543")</f>
        <v>0.00543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HYPERLINK("http://141.218.60.56/~jnz1568/getInfo.php?workbook=18_08.xlsx&amp;sheet=U0&amp;row=2558&amp;col=6&amp;number=4.4&amp;sourceID=14","4.4")</f>
        <v>4.4</v>
      </c>
      <c r="G2558" s="4" t="str">
        <f>HYPERLINK("http://141.218.60.56/~jnz1568/getInfo.php?workbook=18_08.xlsx&amp;sheet=U0&amp;row=2558&amp;col=7&amp;number=0.00543&amp;sourceID=14","0.00543")</f>
        <v>0.00543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HYPERLINK("http://141.218.60.56/~jnz1568/getInfo.php?workbook=18_08.xlsx&amp;sheet=U0&amp;row=2559&amp;col=6&amp;number=4.5&amp;sourceID=14","4.5")</f>
        <v>4.5</v>
      </c>
      <c r="G2559" s="4" t="str">
        <f>HYPERLINK("http://141.218.60.56/~jnz1568/getInfo.php?workbook=18_08.xlsx&amp;sheet=U0&amp;row=2559&amp;col=7&amp;number=0.00543&amp;sourceID=14","0.00543")</f>
        <v>0.00543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HYPERLINK("http://141.218.60.56/~jnz1568/getInfo.php?workbook=18_08.xlsx&amp;sheet=U0&amp;row=2560&amp;col=6&amp;number=4.6&amp;sourceID=14","4.6")</f>
        <v>4.6</v>
      </c>
      <c r="G2560" s="4" t="str">
        <f>HYPERLINK("http://141.218.60.56/~jnz1568/getInfo.php?workbook=18_08.xlsx&amp;sheet=U0&amp;row=2560&amp;col=7&amp;number=0.00543&amp;sourceID=14","0.00543")</f>
        <v>0.00543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HYPERLINK("http://141.218.60.56/~jnz1568/getInfo.php?workbook=18_08.xlsx&amp;sheet=U0&amp;row=2561&amp;col=6&amp;number=4.7&amp;sourceID=14","4.7")</f>
        <v>4.7</v>
      </c>
      <c r="G2561" s="4" t="str">
        <f>HYPERLINK("http://141.218.60.56/~jnz1568/getInfo.php?workbook=18_08.xlsx&amp;sheet=U0&amp;row=2561&amp;col=7&amp;number=0.00543&amp;sourceID=14","0.00543")</f>
        <v>0.00543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HYPERLINK("http://141.218.60.56/~jnz1568/getInfo.php?workbook=18_08.xlsx&amp;sheet=U0&amp;row=2562&amp;col=6&amp;number=4.8&amp;sourceID=14","4.8")</f>
        <v>4.8</v>
      </c>
      <c r="G2562" s="4" t="str">
        <f>HYPERLINK("http://141.218.60.56/~jnz1568/getInfo.php?workbook=18_08.xlsx&amp;sheet=U0&amp;row=2562&amp;col=7&amp;number=0.00543&amp;sourceID=14","0.00543")</f>
        <v>0.00543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HYPERLINK("http://141.218.60.56/~jnz1568/getInfo.php?workbook=18_08.xlsx&amp;sheet=U0&amp;row=2563&amp;col=6&amp;number=4.9&amp;sourceID=14","4.9")</f>
        <v>4.9</v>
      </c>
      <c r="G2563" s="4" t="str">
        <f>HYPERLINK("http://141.218.60.56/~jnz1568/getInfo.php?workbook=18_08.xlsx&amp;sheet=U0&amp;row=2563&amp;col=7&amp;number=0.00542&amp;sourceID=14","0.00542")</f>
        <v>0.00542</v>
      </c>
    </row>
    <row r="2564" spans="1:7">
      <c r="A2564" s="3">
        <v>18</v>
      </c>
      <c r="B2564" s="3">
        <v>8</v>
      </c>
      <c r="C2564" s="3" t="s">
        <v>57</v>
      </c>
      <c r="D2564" s="3">
        <v>6</v>
      </c>
      <c r="E2564" s="3">
        <v>1</v>
      </c>
      <c r="F2564" s="4" t="str">
        <f>HYPERLINK("http://141.218.60.56/~jnz1568/getInfo.php?workbook=18_08.xlsx&amp;sheet=U0&amp;row=2564&amp;col=6&amp;number=3&amp;sourceID=14","3")</f>
        <v>3</v>
      </c>
      <c r="G2564" s="4" t="str">
        <f>HYPERLINK("http://141.218.60.56/~jnz1568/getInfo.php?workbook=18_08.xlsx&amp;sheet=U0&amp;row=2564&amp;col=7&amp;number=0.00501&amp;sourceID=14","0.00501")</f>
        <v>0.00501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HYPERLINK("http://141.218.60.56/~jnz1568/getInfo.php?workbook=18_08.xlsx&amp;sheet=U0&amp;row=2565&amp;col=6&amp;number=3.1&amp;sourceID=14","3.1")</f>
        <v>3.1</v>
      </c>
      <c r="G2565" s="4" t="str">
        <f>HYPERLINK("http://141.218.60.56/~jnz1568/getInfo.php?workbook=18_08.xlsx&amp;sheet=U0&amp;row=2565&amp;col=7&amp;number=0.00501&amp;sourceID=14","0.00501")</f>
        <v>0.00501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HYPERLINK("http://141.218.60.56/~jnz1568/getInfo.php?workbook=18_08.xlsx&amp;sheet=U0&amp;row=2566&amp;col=6&amp;number=3.2&amp;sourceID=14","3.2")</f>
        <v>3.2</v>
      </c>
      <c r="G2566" s="4" t="str">
        <f>HYPERLINK("http://141.218.60.56/~jnz1568/getInfo.php?workbook=18_08.xlsx&amp;sheet=U0&amp;row=2566&amp;col=7&amp;number=0.00501&amp;sourceID=14","0.00501")</f>
        <v>0.00501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HYPERLINK("http://141.218.60.56/~jnz1568/getInfo.php?workbook=18_08.xlsx&amp;sheet=U0&amp;row=2567&amp;col=6&amp;number=3.3&amp;sourceID=14","3.3")</f>
        <v>3.3</v>
      </c>
      <c r="G2567" s="4" t="str">
        <f>HYPERLINK("http://141.218.60.56/~jnz1568/getInfo.php?workbook=18_08.xlsx&amp;sheet=U0&amp;row=2567&amp;col=7&amp;number=0.00501&amp;sourceID=14","0.00501")</f>
        <v>0.00501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HYPERLINK("http://141.218.60.56/~jnz1568/getInfo.php?workbook=18_08.xlsx&amp;sheet=U0&amp;row=2568&amp;col=6&amp;number=3.4&amp;sourceID=14","3.4")</f>
        <v>3.4</v>
      </c>
      <c r="G2568" s="4" t="str">
        <f>HYPERLINK("http://141.218.60.56/~jnz1568/getInfo.php?workbook=18_08.xlsx&amp;sheet=U0&amp;row=2568&amp;col=7&amp;number=0.00501&amp;sourceID=14","0.00501")</f>
        <v>0.00501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HYPERLINK("http://141.218.60.56/~jnz1568/getInfo.php?workbook=18_08.xlsx&amp;sheet=U0&amp;row=2569&amp;col=6&amp;number=3.5&amp;sourceID=14","3.5")</f>
        <v>3.5</v>
      </c>
      <c r="G2569" s="4" t="str">
        <f>HYPERLINK("http://141.218.60.56/~jnz1568/getInfo.php?workbook=18_08.xlsx&amp;sheet=U0&amp;row=2569&amp;col=7&amp;number=0.00501&amp;sourceID=14","0.00501")</f>
        <v>0.00501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HYPERLINK("http://141.218.60.56/~jnz1568/getInfo.php?workbook=18_08.xlsx&amp;sheet=U0&amp;row=2570&amp;col=6&amp;number=3.6&amp;sourceID=14","3.6")</f>
        <v>3.6</v>
      </c>
      <c r="G2570" s="4" t="str">
        <f>HYPERLINK("http://141.218.60.56/~jnz1568/getInfo.php?workbook=18_08.xlsx&amp;sheet=U0&amp;row=2570&amp;col=7&amp;number=0.00501&amp;sourceID=14","0.00501")</f>
        <v>0.00501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HYPERLINK("http://141.218.60.56/~jnz1568/getInfo.php?workbook=18_08.xlsx&amp;sheet=U0&amp;row=2571&amp;col=6&amp;number=3.7&amp;sourceID=14","3.7")</f>
        <v>3.7</v>
      </c>
      <c r="G2571" s="4" t="str">
        <f>HYPERLINK("http://141.218.60.56/~jnz1568/getInfo.php?workbook=18_08.xlsx&amp;sheet=U0&amp;row=2571&amp;col=7&amp;number=0.00501&amp;sourceID=14","0.00501")</f>
        <v>0.00501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HYPERLINK("http://141.218.60.56/~jnz1568/getInfo.php?workbook=18_08.xlsx&amp;sheet=U0&amp;row=2572&amp;col=6&amp;number=3.8&amp;sourceID=14","3.8")</f>
        <v>3.8</v>
      </c>
      <c r="G2572" s="4" t="str">
        <f>HYPERLINK("http://141.218.60.56/~jnz1568/getInfo.php?workbook=18_08.xlsx&amp;sheet=U0&amp;row=2572&amp;col=7&amp;number=0.00501&amp;sourceID=14","0.00501")</f>
        <v>0.00501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HYPERLINK("http://141.218.60.56/~jnz1568/getInfo.php?workbook=18_08.xlsx&amp;sheet=U0&amp;row=2573&amp;col=6&amp;number=3.9&amp;sourceID=14","3.9")</f>
        <v>3.9</v>
      </c>
      <c r="G2573" s="4" t="str">
        <f>HYPERLINK("http://141.218.60.56/~jnz1568/getInfo.php?workbook=18_08.xlsx&amp;sheet=U0&amp;row=2573&amp;col=7&amp;number=0.00501&amp;sourceID=14","0.00501")</f>
        <v>0.00501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HYPERLINK("http://141.218.60.56/~jnz1568/getInfo.php?workbook=18_08.xlsx&amp;sheet=U0&amp;row=2574&amp;col=6&amp;number=4&amp;sourceID=14","4")</f>
        <v>4</v>
      </c>
      <c r="G2574" s="4" t="str">
        <f>HYPERLINK("http://141.218.60.56/~jnz1568/getInfo.php?workbook=18_08.xlsx&amp;sheet=U0&amp;row=2574&amp;col=7&amp;number=0.00501&amp;sourceID=14","0.00501")</f>
        <v>0.00501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HYPERLINK("http://141.218.60.56/~jnz1568/getInfo.php?workbook=18_08.xlsx&amp;sheet=U0&amp;row=2575&amp;col=6&amp;number=4.1&amp;sourceID=14","4.1")</f>
        <v>4.1</v>
      </c>
      <c r="G2575" s="4" t="str">
        <f>HYPERLINK("http://141.218.60.56/~jnz1568/getInfo.php?workbook=18_08.xlsx&amp;sheet=U0&amp;row=2575&amp;col=7&amp;number=0.005&amp;sourceID=14","0.005")</f>
        <v>0.005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HYPERLINK("http://141.218.60.56/~jnz1568/getInfo.php?workbook=18_08.xlsx&amp;sheet=U0&amp;row=2576&amp;col=6&amp;number=4.2&amp;sourceID=14","4.2")</f>
        <v>4.2</v>
      </c>
      <c r="G2576" s="4" t="str">
        <f>HYPERLINK("http://141.218.60.56/~jnz1568/getInfo.php?workbook=18_08.xlsx&amp;sheet=U0&amp;row=2576&amp;col=7&amp;number=0.005&amp;sourceID=14","0.005")</f>
        <v>0.005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HYPERLINK("http://141.218.60.56/~jnz1568/getInfo.php?workbook=18_08.xlsx&amp;sheet=U0&amp;row=2577&amp;col=6&amp;number=4.3&amp;sourceID=14","4.3")</f>
        <v>4.3</v>
      </c>
      <c r="G2577" s="4" t="str">
        <f>HYPERLINK("http://141.218.60.56/~jnz1568/getInfo.php?workbook=18_08.xlsx&amp;sheet=U0&amp;row=2577&amp;col=7&amp;number=0.005&amp;sourceID=14","0.005")</f>
        <v>0.005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HYPERLINK("http://141.218.60.56/~jnz1568/getInfo.php?workbook=18_08.xlsx&amp;sheet=U0&amp;row=2578&amp;col=6&amp;number=4.4&amp;sourceID=14","4.4")</f>
        <v>4.4</v>
      </c>
      <c r="G2578" s="4" t="str">
        <f>HYPERLINK("http://141.218.60.56/~jnz1568/getInfo.php?workbook=18_08.xlsx&amp;sheet=U0&amp;row=2578&amp;col=7&amp;number=0.00499&amp;sourceID=14","0.00499")</f>
        <v>0.00499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HYPERLINK("http://141.218.60.56/~jnz1568/getInfo.php?workbook=18_08.xlsx&amp;sheet=U0&amp;row=2579&amp;col=6&amp;number=4.5&amp;sourceID=14","4.5")</f>
        <v>4.5</v>
      </c>
      <c r="G2579" s="4" t="str">
        <f>HYPERLINK("http://141.218.60.56/~jnz1568/getInfo.php?workbook=18_08.xlsx&amp;sheet=U0&amp;row=2579&amp;col=7&amp;number=0.00499&amp;sourceID=14","0.00499")</f>
        <v>0.00499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HYPERLINK("http://141.218.60.56/~jnz1568/getInfo.php?workbook=18_08.xlsx&amp;sheet=U0&amp;row=2580&amp;col=6&amp;number=4.6&amp;sourceID=14","4.6")</f>
        <v>4.6</v>
      </c>
      <c r="G2580" s="4" t="str">
        <f>HYPERLINK("http://141.218.60.56/~jnz1568/getInfo.php?workbook=18_08.xlsx&amp;sheet=U0&amp;row=2580&amp;col=7&amp;number=0.00498&amp;sourceID=14","0.00498")</f>
        <v>0.00498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HYPERLINK("http://141.218.60.56/~jnz1568/getInfo.php?workbook=18_08.xlsx&amp;sheet=U0&amp;row=2581&amp;col=6&amp;number=4.7&amp;sourceID=14","4.7")</f>
        <v>4.7</v>
      </c>
      <c r="G2581" s="4" t="str">
        <f>HYPERLINK("http://141.218.60.56/~jnz1568/getInfo.php?workbook=18_08.xlsx&amp;sheet=U0&amp;row=2581&amp;col=7&amp;number=0.00497&amp;sourceID=14","0.00497")</f>
        <v>0.00497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HYPERLINK("http://141.218.60.56/~jnz1568/getInfo.php?workbook=18_08.xlsx&amp;sheet=U0&amp;row=2582&amp;col=6&amp;number=4.8&amp;sourceID=14","4.8")</f>
        <v>4.8</v>
      </c>
      <c r="G2582" s="4" t="str">
        <f>HYPERLINK("http://141.218.60.56/~jnz1568/getInfo.php?workbook=18_08.xlsx&amp;sheet=U0&amp;row=2582&amp;col=7&amp;number=0.00496&amp;sourceID=14","0.00496")</f>
        <v>0.00496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HYPERLINK("http://141.218.60.56/~jnz1568/getInfo.php?workbook=18_08.xlsx&amp;sheet=U0&amp;row=2583&amp;col=6&amp;number=4.9&amp;sourceID=14","4.9")</f>
        <v>4.9</v>
      </c>
      <c r="G2583" s="4" t="str">
        <f>HYPERLINK("http://141.218.60.56/~jnz1568/getInfo.php?workbook=18_08.xlsx&amp;sheet=U0&amp;row=2583&amp;col=7&amp;number=0.00495&amp;sourceID=14","0.00495")</f>
        <v>0.00495</v>
      </c>
    </row>
    <row r="2584" spans="1:7">
      <c r="A2584" s="3">
        <v>18</v>
      </c>
      <c r="B2584" s="3">
        <v>8</v>
      </c>
      <c r="C2584" s="3" t="s">
        <v>57</v>
      </c>
      <c r="D2584" s="3">
        <v>7</v>
      </c>
      <c r="E2584" s="3">
        <v>1</v>
      </c>
      <c r="F2584" s="4" t="str">
        <f>HYPERLINK("http://141.218.60.56/~jnz1568/getInfo.php?workbook=18_08.xlsx&amp;sheet=U0&amp;row=2584&amp;col=6&amp;number=3&amp;sourceID=14","3")</f>
        <v>3</v>
      </c>
      <c r="G2584" s="4" t="str">
        <f>HYPERLINK("http://141.218.60.56/~jnz1568/getInfo.php?workbook=18_08.xlsx&amp;sheet=U0&amp;row=2584&amp;col=7&amp;number=0.00598&amp;sourceID=14","0.00598")</f>
        <v>0.00598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HYPERLINK("http://141.218.60.56/~jnz1568/getInfo.php?workbook=18_08.xlsx&amp;sheet=U0&amp;row=2585&amp;col=6&amp;number=3.1&amp;sourceID=14","3.1")</f>
        <v>3.1</v>
      </c>
      <c r="G2585" s="4" t="str">
        <f>HYPERLINK("http://141.218.60.56/~jnz1568/getInfo.php?workbook=18_08.xlsx&amp;sheet=U0&amp;row=2585&amp;col=7&amp;number=0.00598&amp;sourceID=14","0.00598")</f>
        <v>0.00598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HYPERLINK("http://141.218.60.56/~jnz1568/getInfo.php?workbook=18_08.xlsx&amp;sheet=U0&amp;row=2586&amp;col=6&amp;number=3.2&amp;sourceID=14","3.2")</f>
        <v>3.2</v>
      </c>
      <c r="G2586" s="4" t="str">
        <f>HYPERLINK("http://141.218.60.56/~jnz1568/getInfo.php?workbook=18_08.xlsx&amp;sheet=U0&amp;row=2586&amp;col=7&amp;number=0.00598&amp;sourceID=14","0.00598")</f>
        <v>0.00598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HYPERLINK("http://141.218.60.56/~jnz1568/getInfo.php?workbook=18_08.xlsx&amp;sheet=U0&amp;row=2587&amp;col=6&amp;number=3.3&amp;sourceID=14","3.3")</f>
        <v>3.3</v>
      </c>
      <c r="G2587" s="4" t="str">
        <f>HYPERLINK("http://141.218.60.56/~jnz1568/getInfo.php?workbook=18_08.xlsx&amp;sheet=U0&amp;row=2587&amp;col=7&amp;number=0.00598&amp;sourceID=14","0.00598")</f>
        <v>0.00598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HYPERLINK("http://141.218.60.56/~jnz1568/getInfo.php?workbook=18_08.xlsx&amp;sheet=U0&amp;row=2588&amp;col=6&amp;number=3.4&amp;sourceID=14","3.4")</f>
        <v>3.4</v>
      </c>
      <c r="G2588" s="4" t="str">
        <f>HYPERLINK("http://141.218.60.56/~jnz1568/getInfo.php?workbook=18_08.xlsx&amp;sheet=U0&amp;row=2588&amp;col=7&amp;number=0.00598&amp;sourceID=14","0.00598")</f>
        <v>0.00598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HYPERLINK("http://141.218.60.56/~jnz1568/getInfo.php?workbook=18_08.xlsx&amp;sheet=U0&amp;row=2589&amp;col=6&amp;number=3.5&amp;sourceID=14","3.5")</f>
        <v>3.5</v>
      </c>
      <c r="G2589" s="4" t="str">
        <f>HYPERLINK("http://141.218.60.56/~jnz1568/getInfo.php?workbook=18_08.xlsx&amp;sheet=U0&amp;row=2589&amp;col=7&amp;number=0.00598&amp;sourceID=14","0.00598")</f>
        <v>0.00598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HYPERLINK("http://141.218.60.56/~jnz1568/getInfo.php?workbook=18_08.xlsx&amp;sheet=U0&amp;row=2590&amp;col=6&amp;number=3.6&amp;sourceID=14","3.6")</f>
        <v>3.6</v>
      </c>
      <c r="G2590" s="4" t="str">
        <f>HYPERLINK("http://141.218.60.56/~jnz1568/getInfo.php?workbook=18_08.xlsx&amp;sheet=U0&amp;row=2590&amp;col=7&amp;number=0.00598&amp;sourceID=14","0.00598")</f>
        <v>0.00598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HYPERLINK("http://141.218.60.56/~jnz1568/getInfo.php?workbook=18_08.xlsx&amp;sheet=U0&amp;row=2591&amp;col=6&amp;number=3.7&amp;sourceID=14","3.7")</f>
        <v>3.7</v>
      </c>
      <c r="G2591" s="4" t="str">
        <f>HYPERLINK("http://141.218.60.56/~jnz1568/getInfo.php?workbook=18_08.xlsx&amp;sheet=U0&amp;row=2591&amp;col=7&amp;number=0.00598&amp;sourceID=14","0.00598")</f>
        <v>0.00598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HYPERLINK("http://141.218.60.56/~jnz1568/getInfo.php?workbook=18_08.xlsx&amp;sheet=U0&amp;row=2592&amp;col=6&amp;number=3.8&amp;sourceID=14","3.8")</f>
        <v>3.8</v>
      </c>
      <c r="G2592" s="4" t="str">
        <f>HYPERLINK("http://141.218.60.56/~jnz1568/getInfo.php?workbook=18_08.xlsx&amp;sheet=U0&amp;row=2592&amp;col=7&amp;number=0.00598&amp;sourceID=14","0.00598")</f>
        <v>0.00598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HYPERLINK("http://141.218.60.56/~jnz1568/getInfo.php?workbook=18_08.xlsx&amp;sheet=U0&amp;row=2593&amp;col=6&amp;number=3.9&amp;sourceID=14","3.9")</f>
        <v>3.9</v>
      </c>
      <c r="G2593" s="4" t="str">
        <f>HYPERLINK("http://141.218.60.56/~jnz1568/getInfo.php?workbook=18_08.xlsx&amp;sheet=U0&amp;row=2593&amp;col=7&amp;number=0.00598&amp;sourceID=14","0.00598")</f>
        <v>0.00598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HYPERLINK("http://141.218.60.56/~jnz1568/getInfo.php?workbook=18_08.xlsx&amp;sheet=U0&amp;row=2594&amp;col=6&amp;number=4&amp;sourceID=14","4")</f>
        <v>4</v>
      </c>
      <c r="G2594" s="4" t="str">
        <f>HYPERLINK("http://141.218.60.56/~jnz1568/getInfo.php?workbook=18_08.xlsx&amp;sheet=U0&amp;row=2594&amp;col=7&amp;number=0.00598&amp;sourceID=14","0.00598")</f>
        <v>0.00598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HYPERLINK("http://141.218.60.56/~jnz1568/getInfo.php?workbook=18_08.xlsx&amp;sheet=U0&amp;row=2595&amp;col=6&amp;number=4.1&amp;sourceID=14","4.1")</f>
        <v>4.1</v>
      </c>
      <c r="G2595" s="4" t="str">
        <f>HYPERLINK("http://141.218.60.56/~jnz1568/getInfo.php?workbook=18_08.xlsx&amp;sheet=U0&amp;row=2595&amp;col=7&amp;number=0.00598&amp;sourceID=14","0.00598")</f>
        <v>0.00598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HYPERLINK("http://141.218.60.56/~jnz1568/getInfo.php?workbook=18_08.xlsx&amp;sheet=U0&amp;row=2596&amp;col=6&amp;number=4.2&amp;sourceID=14","4.2")</f>
        <v>4.2</v>
      </c>
      <c r="G2596" s="4" t="str">
        <f>HYPERLINK("http://141.218.60.56/~jnz1568/getInfo.php?workbook=18_08.xlsx&amp;sheet=U0&amp;row=2596&amp;col=7&amp;number=0.00598&amp;sourceID=14","0.00598")</f>
        <v>0.00598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HYPERLINK("http://141.218.60.56/~jnz1568/getInfo.php?workbook=18_08.xlsx&amp;sheet=U0&amp;row=2597&amp;col=6&amp;number=4.3&amp;sourceID=14","4.3")</f>
        <v>4.3</v>
      </c>
      <c r="G2597" s="4" t="str">
        <f>HYPERLINK("http://141.218.60.56/~jnz1568/getInfo.php?workbook=18_08.xlsx&amp;sheet=U0&amp;row=2597&amp;col=7&amp;number=0.00598&amp;sourceID=14","0.00598")</f>
        <v>0.00598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HYPERLINK("http://141.218.60.56/~jnz1568/getInfo.php?workbook=18_08.xlsx&amp;sheet=U0&amp;row=2598&amp;col=6&amp;number=4.4&amp;sourceID=14","4.4")</f>
        <v>4.4</v>
      </c>
      <c r="G2598" s="4" t="str">
        <f>HYPERLINK("http://141.218.60.56/~jnz1568/getInfo.php?workbook=18_08.xlsx&amp;sheet=U0&amp;row=2598&amp;col=7&amp;number=0.00598&amp;sourceID=14","0.00598")</f>
        <v>0.00598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HYPERLINK("http://141.218.60.56/~jnz1568/getInfo.php?workbook=18_08.xlsx&amp;sheet=U0&amp;row=2599&amp;col=6&amp;number=4.5&amp;sourceID=14","4.5")</f>
        <v>4.5</v>
      </c>
      <c r="G2599" s="4" t="str">
        <f>HYPERLINK("http://141.218.60.56/~jnz1568/getInfo.php?workbook=18_08.xlsx&amp;sheet=U0&amp;row=2599&amp;col=7&amp;number=0.00597&amp;sourceID=14","0.00597")</f>
        <v>0.00597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HYPERLINK("http://141.218.60.56/~jnz1568/getInfo.php?workbook=18_08.xlsx&amp;sheet=U0&amp;row=2600&amp;col=6&amp;number=4.6&amp;sourceID=14","4.6")</f>
        <v>4.6</v>
      </c>
      <c r="G2600" s="4" t="str">
        <f>HYPERLINK("http://141.218.60.56/~jnz1568/getInfo.php?workbook=18_08.xlsx&amp;sheet=U0&amp;row=2600&amp;col=7&amp;number=0.00597&amp;sourceID=14","0.00597")</f>
        <v>0.00597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HYPERLINK("http://141.218.60.56/~jnz1568/getInfo.php?workbook=18_08.xlsx&amp;sheet=U0&amp;row=2601&amp;col=6&amp;number=4.7&amp;sourceID=14","4.7")</f>
        <v>4.7</v>
      </c>
      <c r="G2601" s="4" t="str">
        <f>HYPERLINK("http://141.218.60.56/~jnz1568/getInfo.php?workbook=18_08.xlsx&amp;sheet=U0&amp;row=2601&amp;col=7&amp;number=0.00597&amp;sourceID=14","0.00597")</f>
        <v>0.00597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HYPERLINK("http://141.218.60.56/~jnz1568/getInfo.php?workbook=18_08.xlsx&amp;sheet=U0&amp;row=2602&amp;col=6&amp;number=4.8&amp;sourceID=14","4.8")</f>
        <v>4.8</v>
      </c>
      <c r="G2602" s="4" t="str">
        <f>HYPERLINK("http://141.218.60.56/~jnz1568/getInfo.php?workbook=18_08.xlsx&amp;sheet=U0&amp;row=2602&amp;col=7&amp;number=0.00596&amp;sourceID=14","0.00596")</f>
        <v>0.00596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HYPERLINK("http://141.218.60.56/~jnz1568/getInfo.php?workbook=18_08.xlsx&amp;sheet=U0&amp;row=2603&amp;col=6&amp;number=4.9&amp;sourceID=14","4.9")</f>
        <v>4.9</v>
      </c>
      <c r="G2603" s="4" t="str">
        <f>HYPERLINK("http://141.218.60.56/~jnz1568/getInfo.php?workbook=18_08.xlsx&amp;sheet=U0&amp;row=2603&amp;col=7&amp;number=0.00596&amp;sourceID=14","0.00596")</f>
        <v>0.00596</v>
      </c>
    </row>
    <row r="2604" spans="1:7">
      <c r="A2604" s="3">
        <v>18</v>
      </c>
      <c r="B2604" s="3">
        <v>8</v>
      </c>
      <c r="C2604" s="3" t="s">
        <v>57</v>
      </c>
      <c r="D2604" s="3">
        <v>8</v>
      </c>
      <c r="E2604" s="3">
        <v>1</v>
      </c>
      <c r="F2604" s="4" t="str">
        <f>HYPERLINK("http://141.218.60.56/~jnz1568/getInfo.php?workbook=18_08.xlsx&amp;sheet=U0&amp;row=2604&amp;col=6&amp;number=3&amp;sourceID=14","3")</f>
        <v>3</v>
      </c>
      <c r="G2604" s="4" t="str">
        <f>HYPERLINK("http://141.218.60.56/~jnz1568/getInfo.php?workbook=18_08.xlsx&amp;sheet=U0&amp;row=2604&amp;col=7&amp;number=0.00726&amp;sourceID=14","0.00726")</f>
        <v>0.00726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HYPERLINK("http://141.218.60.56/~jnz1568/getInfo.php?workbook=18_08.xlsx&amp;sheet=U0&amp;row=2605&amp;col=6&amp;number=3.1&amp;sourceID=14","3.1")</f>
        <v>3.1</v>
      </c>
      <c r="G2605" s="4" t="str">
        <f>HYPERLINK("http://141.218.60.56/~jnz1568/getInfo.php?workbook=18_08.xlsx&amp;sheet=U0&amp;row=2605&amp;col=7&amp;number=0.00726&amp;sourceID=14","0.00726")</f>
        <v>0.00726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HYPERLINK("http://141.218.60.56/~jnz1568/getInfo.php?workbook=18_08.xlsx&amp;sheet=U0&amp;row=2606&amp;col=6&amp;number=3.2&amp;sourceID=14","3.2")</f>
        <v>3.2</v>
      </c>
      <c r="G2606" s="4" t="str">
        <f>HYPERLINK("http://141.218.60.56/~jnz1568/getInfo.php?workbook=18_08.xlsx&amp;sheet=U0&amp;row=2606&amp;col=7&amp;number=0.00726&amp;sourceID=14","0.00726")</f>
        <v>0.00726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HYPERLINK("http://141.218.60.56/~jnz1568/getInfo.php?workbook=18_08.xlsx&amp;sheet=U0&amp;row=2607&amp;col=6&amp;number=3.3&amp;sourceID=14","3.3")</f>
        <v>3.3</v>
      </c>
      <c r="G2607" s="4" t="str">
        <f>HYPERLINK("http://141.218.60.56/~jnz1568/getInfo.php?workbook=18_08.xlsx&amp;sheet=U0&amp;row=2607&amp;col=7&amp;number=0.00726&amp;sourceID=14","0.00726")</f>
        <v>0.00726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HYPERLINK("http://141.218.60.56/~jnz1568/getInfo.php?workbook=18_08.xlsx&amp;sheet=U0&amp;row=2608&amp;col=6&amp;number=3.4&amp;sourceID=14","3.4")</f>
        <v>3.4</v>
      </c>
      <c r="G2608" s="4" t="str">
        <f>HYPERLINK("http://141.218.60.56/~jnz1568/getInfo.php?workbook=18_08.xlsx&amp;sheet=U0&amp;row=2608&amp;col=7&amp;number=0.00726&amp;sourceID=14","0.00726")</f>
        <v>0.00726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HYPERLINK("http://141.218.60.56/~jnz1568/getInfo.php?workbook=18_08.xlsx&amp;sheet=U0&amp;row=2609&amp;col=6&amp;number=3.5&amp;sourceID=14","3.5")</f>
        <v>3.5</v>
      </c>
      <c r="G2609" s="4" t="str">
        <f>HYPERLINK("http://141.218.60.56/~jnz1568/getInfo.php?workbook=18_08.xlsx&amp;sheet=U0&amp;row=2609&amp;col=7&amp;number=0.00726&amp;sourceID=14","0.00726")</f>
        <v>0.00726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HYPERLINK("http://141.218.60.56/~jnz1568/getInfo.php?workbook=18_08.xlsx&amp;sheet=U0&amp;row=2610&amp;col=6&amp;number=3.6&amp;sourceID=14","3.6")</f>
        <v>3.6</v>
      </c>
      <c r="G2610" s="4" t="str">
        <f>HYPERLINK("http://141.218.60.56/~jnz1568/getInfo.php?workbook=18_08.xlsx&amp;sheet=U0&amp;row=2610&amp;col=7&amp;number=0.00726&amp;sourceID=14","0.00726")</f>
        <v>0.00726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HYPERLINK("http://141.218.60.56/~jnz1568/getInfo.php?workbook=18_08.xlsx&amp;sheet=U0&amp;row=2611&amp;col=6&amp;number=3.7&amp;sourceID=14","3.7")</f>
        <v>3.7</v>
      </c>
      <c r="G2611" s="4" t="str">
        <f>HYPERLINK("http://141.218.60.56/~jnz1568/getInfo.php?workbook=18_08.xlsx&amp;sheet=U0&amp;row=2611&amp;col=7&amp;number=0.00726&amp;sourceID=14","0.00726")</f>
        <v>0.00726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HYPERLINK("http://141.218.60.56/~jnz1568/getInfo.php?workbook=18_08.xlsx&amp;sheet=U0&amp;row=2612&amp;col=6&amp;number=3.8&amp;sourceID=14","3.8")</f>
        <v>3.8</v>
      </c>
      <c r="G2612" s="4" t="str">
        <f>HYPERLINK("http://141.218.60.56/~jnz1568/getInfo.php?workbook=18_08.xlsx&amp;sheet=U0&amp;row=2612&amp;col=7&amp;number=0.00726&amp;sourceID=14","0.00726")</f>
        <v>0.00726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HYPERLINK("http://141.218.60.56/~jnz1568/getInfo.php?workbook=18_08.xlsx&amp;sheet=U0&amp;row=2613&amp;col=6&amp;number=3.9&amp;sourceID=14","3.9")</f>
        <v>3.9</v>
      </c>
      <c r="G2613" s="4" t="str">
        <f>HYPERLINK("http://141.218.60.56/~jnz1568/getInfo.php?workbook=18_08.xlsx&amp;sheet=U0&amp;row=2613&amp;col=7&amp;number=0.00726&amp;sourceID=14","0.00726")</f>
        <v>0.00726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HYPERLINK("http://141.218.60.56/~jnz1568/getInfo.php?workbook=18_08.xlsx&amp;sheet=U0&amp;row=2614&amp;col=6&amp;number=4&amp;sourceID=14","4")</f>
        <v>4</v>
      </c>
      <c r="G2614" s="4" t="str">
        <f>HYPERLINK("http://141.218.60.56/~jnz1568/getInfo.php?workbook=18_08.xlsx&amp;sheet=U0&amp;row=2614&amp;col=7&amp;number=0.00726&amp;sourceID=14","0.00726")</f>
        <v>0.00726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HYPERLINK("http://141.218.60.56/~jnz1568/getInfo.php?workbook=18_08.xlsx&amp;sheet=U0&amp;row=2615&amp;col=6&amp;number=4.1&amp;sourceID=14","4.1")</f>
        <v>4.1</v>
      </c>
      <c r="G2615" s="4" t="str">
        <f>HYPERLINK("http://141.218.60.56/~jnz1568/getInfo.php?workbook=18_08.xlsx&amp;sheet=U0&amp;row=2615&amp;col=7&amp;number=0.00726&amp;sourceID=14","0.00726")</f>
        <v>0.00726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HYPERLINK("http://141.218.60.56/~jnz1568/getInfo.php?workbook=18_08.xlsx&amp;sheet=U0&amp;row=2616&amp;col=6&amp;number=4.2&amp;sourceID=14","4.2")</f>
        <v>4.2</v>
      </c>
      <c r="G2616" s="4" t="str">
        <f>HYPERLINK("http://141.218.60.56/~jnz1568/getInfo.php?workbook=18_08.xlsx&amp;sheet=U0&amp;row=2616&amp;col=7&amp;number=0.00726&amp;sourceID=14","0.00726")</f>
        <v>0.00726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HYPERLINK("http://141.218.60.56/~jnz1568/getInfo.php?workbook=18_08.xlsx&amp;sheet=U0&amp;row=2617&amp;col=6&amp;number=4.3&amp;sourceID=14","4.3")</f>
        <v>4.3</v>
      </c>
      <c r="G2617" s="4" t="str">
        <f>HYPERLINK("http://141.218.60.56/~jnz1568/getInfo.php?workbook=18_08.xlsx&amp;sheet=U0&amp;row=2617&amp;col=7&amp;number=0.00726&amp;sourceID=14","0.00726")</f>
        <v>0.00726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HYPERLINK("http://141.218.60.56/~jnz1568/getInfo.php?workbook=18_08.xlsx&amp;sheet=U0&amp;row=2618&amp;col=6&amp;number=4.4&amp;sourceID=14","4.4")</f>
        <v>4.4</v>
      </c>
      <c r="G2618" s="4" t="str">
        <f>HYPERLINK("http://141.218.60.56/~jnz1568/getInfo.php?workbook=18_08.xlsx&amp;sheet=U0&amp;row=2618&amp;col=7&amp;number=0.00725&amp;sourceID=14","0.00725")</f>
        <v>0.00725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HYPERLINK("http://141.218.60.56/~jnz1568/getInfo.php?workbook=18_08.xlsx&amp;sheet=U0&amp;row=2619&amp;col=6&amp;number=4.5&amp;sourceID=14","4.5")</f>
        <v>4.5</v>
      </c>
      <c r="G2619" s="4" t="str">
        <f>HYPERLINK("http://141.218.60.56/~jnz1568/getInfo.php?workbook=18_08.xlsx&amp;sheet=U0&amp;row=2619&amp;col=7&amp;number=0.00725&amp;sourceID=14","0.00725")</f>
        <v>0.00725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HYPERLINK("http://141.218.60.56/~jnz1568/getInfo.php?workbook=18_08.xlsx&amp;sheet=U0&amp;row=2620&amp;col=6&amp;number=4.6&amp;sourceID=14","4.6")</f>
        <v>4.6</v>
      </c>
      <c r="G2620" s="4" t="str">
        <f>HYPERLINK("http://141.218.60.56/~jnz1568/getInfo.php?workbook=18_08.xlsx&amp;sheet=U0&amp;row=2620&amp;col=7&amp;number=0.00725&amp;sourceID=14","0.00725")</f>
        <v>0.00725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HYPERLINK("http://141.218.60.56/~jnz1568/getInfo.php?workbook=18_08.xlsx&amp;sheet=U0&amp;row=2621&amp;col=6&amp;number=4.7&amp;sourceID=14","4.7")</f>
        <v>4.7</v>
      </c>
      <c r="G2621" s="4" t="str">
        <f>HYPERLINK("http://141.218.60.56/~jnz1568/getInfo.php?workbook=18_08.xlsx&amp;sheet=U0&amp;row=2621&amp;col=7&amp;number=0.00725&amp;sourceID=14","0.00725")</f>
        <v>0.00725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HYPERLINK("http://141.218.60.56/~jnz1568/getInfo.php?workbook=18_08.xlsx&amp;sheet=U0&amp;row=2622&amp;col=6&amp;number=4.8&amp;sourceID=14","4.8")</f>
        <v>4.8</v>
      </c>
      <c r="G2622" s="4" t="str">
        <f>HYPERLINK("http://141.218.60.56/~jnz1568/getInfo.php?workbook=18_08.xlsx&amp;sheet=U0&amp;row=2622&amp;col=7&amp;number=0.00724&amp;sourceID=14","0.00724")</f>
        <v>0.00724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HYPERLINK("http://141.218.60.56/~jnz1568/getInfo.php?workbook=18_08.xlsx&amp;sheet=U0&amp;row=2623&amp;col=6&amp;number=4.9&amp;sourceID=14","4.9")</f>
        <v>4.9</v>
      </c>
      <c r="G2623" s="4" t="str">
        <f>HYPERLINK("http://141.218.60.56/~jnz1568/getInfo.php?workbook=18_08.xlsx&amp;sheet=U0&amp;row=2623&amp;col=7&amp;number=0.00724&amp;sourceID=14","0.00724")</f>
        <v>0.00724</v>
      </c>
    </row>
    <row r="2624" spans="1:7">
      <c r="A2624" s="3">
        <v>18</v>
      </c>
      <c r="B2624" s="3">
        <v>8</v>
      </c>
      <c r="C2624" s="3" t="s">
        <v>57</v>
      </c>
      <c r="D2624" s="3">
        <v>9</v>
      </c>
      <c r="E2624" s="3">
        <v>1</v>
      </c>
      <c r="F2624" s="4" t="str">
        <f>HYPERLINK("http://141.218.60.56/~jnz1568/getInfo.php?workbook=18_08.xlsx&amp;sheet=U0&amp;row=2624&amp;col=6&amp;number=3&amp;sourceID=14","3")</f>
        <v>3</v>
      </c>
      <c r="G2624" s="4" t="str">
        <f>HYPERLINK("http://141.218.60.56/~jnz1568/getInfo.php?workbook=18_08.xlsx&amp;sheet=U0&amp;row=2624&amp;col=7&amp;number=0.00329&amp;sourceID=14","0.00329")</f>
        <v>0.00329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HYPERLINK("http://141.218.60.56/~jnz1568/getInfo.php?workbook=18_08.xlsx&amp;sheet=U0&amp;row=2625&amp;col=6&amp;number=3.1&amp;sourceID=14","3.1")</f>
        <v>3.1</v>
      </c>
      <c r="G2625" s="4" t="str">
        <f>HYPERLINK("http://141.218.60.56/~jnz1568/getInfo.php?workbook=18_08.xlsx&amp;sheet=U0&amp;row=2625&amp;col=7&amp;number=0.00329&amp;sourceID=14","0.00329")</f>
        <v>0.00329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HYPERLINK("http://141.218.60.56/~jnz1568/getInfo.php?workbook=18_08.xlsx&amp;sheet=U0&amp;row=2626&amp;col=6&amp;number=3.2&amp;sourceID=14","3.2")</f>
        <v>3.2</v>
      </c>
      <c r="G2626" s="4" t="str">
        <f>HYPERLINK("http://141.218.60.56/~jnz1568/getInfo.php?workbook=18_08.xlsx&amp;sheet=U0&amp;row=2626&amp;col=7&amp;number=0.00329&amp;sourceID=14","0.00329")</f>
        <v>0.00329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HYPERLINK("http://141.218.60.56/~jnz1568/getInfo.php?workbook=18_08.xlsx&amp;sheet=U0&amp;row=2627&amp;col=6&amp;number=3.3&amp;sourceID=14","3.3")</f>
        <v>3.3</v>
      </c>
      <c r="G2627" s="4" t="str">
        <f>HYPERLINK("http://141.218.60.56/~jnz1568/getInfo.php?workbook=18_08.xlsx&amp;sheet=U0&amp;row=2627&amp;col=7&amp;number=0.00329&amp;sourceID=14","0.00329")</f>
        <v>0.00329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HYPERLINK("http://141.218.60.56/~jnz1568/getInfo.php?workbook=18_08.xlsx&amp;sheet=U0&amp;row=2628&amp;col=6&amp;number=3.4&amp;sourceID=14","3.4")</f>
        <v>3.4</v>
      </c>
      <c r="G2628" s="4" t="str">
        <f>HYPERLINK("http://141.218.60.56/~jnz1568/getInfo.php?workbook=18_08.xlsx&amp;sheet=U0&amp;row=2628&amp;col=7&amp;number=0.00329&amp;sourceID=14","0.00329")</f>
        <v>0.00329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HYPERLINK("http://141.218.60.56/~jnz1568/getInfo.php?workbook=18_08.xlsx&amp;sheet=U0&amp;row=2629&amp;col=6&amp;number=3.5&amp;sourceID=14","3.5")</f>
        <v>3.5</v>
      </c>
      <c r="G2629" s="4" t="str">
        <f>HYPERLINK("http://141.218.60.56/~jnz1568/getInfo.php?workbook=18_08.xlsx&amp;sheet=U0&amp;row=2629&amp;col=7&amp;number=0.00329&amp;sourceID=14","0.00329")</f>
        <v>0.00329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HYPERLINK("http://141.218.60.56/~jnz1568/getInfo.php?workbook=18_08.xlsx&amp;sheet=U0&amp;row=2630&amp;col=6&amp;number=3.6&amp;sourceID=14","3.6")</f>
        <v>3.6</v>
      </c>
      <c r="G2630" s="4" t="str">
        <f>HYPERLINK("http://141.218.60.56/~jnz1568/getInfo.php?workbook=18_08.xlsx&amp;sheet=U0&amp;row=2630&amp;col=7&amp;number=0.00329&amp;sourceID=14","0.00329")</f>
        <v>0.00329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HYPERLINK("http://141.218.60.56/~jnz1568/getInfo.php?workbook=18_08.xlsx&amp;sheet=U0&amp;row=2631&amp;col=6&amp;number=3.7&amp;sourceID=14","3.7")</f>
        <v>3.7</v>
      </c>
      <c r="G2631" s="4" t="str">
        <f>HYPERLINK("http://141.218.60.56/~jnz1568/getInfo.php?workbook=18_08.xlsx&amp;sheet=U0&amp;row=2631&amp;col=7&amp;number=0.00329&amp;sourceID=14","0.00329")</f>
        <v>0.00329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HYPERLINK("http://141.218.60.56/~jnz1568/getInfo.php?workbook=18_08.xlsx&amp;sheet=U0&amp;row=2632&amp;col=6&amp;number=3.8&amp;sourceID=14","3.8")</f>
        <v>3.8</v>
      </c>
      <c r="G2632" s="4" t="str">
        <f>HYPERLINK("http://141.218.60.56/~jnz1568/getInfo.php?workbook=18_08.xlsx&amp;sheet=U0&amp;row=2632&amp;col=7&amp;number=0.00329&amp;sourceID=14","0.00329")</f>
        <v>0.00329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HYPERLINK("http://141.218.60.56/~jnz1568/getInfo.php?workbook=18_08.xlsx&amp;sheet=U0&amp;row=2633&amp;col=6&amp;number=3.9&amp;sourceID=14","3.9")</f>
        <v>3.9</v>
      </c>
      <c r="G2633" s="4" t="str">
        <f>HYPERLINK("http://141.218.60.56/~jnz1568/getInfo.php?workbook=18_08.xlsx&amp;sheet=U0&amp;row=2633&amp;col=7&amp;number=0.00329&amp;sourceID=14","0.00329")</f>
        <v>0.00329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HYPERLINK("http://141.218.60.56/~jnz1568/getInfo.php?workbook=18_08.xlsx&amp;sheet=U0&amp;row=2634&amp;col=6&amp;number=4&amp;sourceID=14","4")</f>
        <v>4</v>
      </c>
      <c r="G2634" s="4" t="str">
        <f>HYPERLINK("http://141.218.60.56/~jnz1568/getInfo.php?workbook=18_08.xlsx&amp;sheet=U0&amp;row=2634&amp;col=7&amp;number=0.00329&amp;sourceID=14","0.00329")</f>
        <v>0.00329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HYPERLINK("http://141.218.60.56/~jnz1568/getInfo.php?workbook=18_08.xlsx&amp;sheet=U0&amp;row=2635&amp;col=6&amp;number=4.1&amp;sourceID=14","4.1")</f>
        <v>4.1</v>
      </c>
      <c r="G2635" s="4" t="str">
        <f>HYPERLINK("http://141.218.60.56/~jnz1568/getInfo.php?workbook=18_08.xlsx&amp;sheet=U0&amp;row=2635&amp;col=7&amp;number=0.00329&amp;sourceID=14","0.00329")</f>
        <v>0.00329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HYPERLINK("http://141.218.60.56/~jnz1568/getInfo.php?workbook=18_08.xlsx&amp;sheet=U0&amp;row=2636&amp;col=6&amp;number=4.2&amp;sourceID=14","4.2")</f>
        <v>4.2</v>
      </c>
      <c r="G2636" s="4" t="str">
        <f>HYPERLINK("http://141.218.60.56/~jnz1568/getInfo.php?workbook=18_08.xlsx&amp;sheet=U0&amp;row=2636&amp;col=7&amp;number=0.00328&amp;sourceID=14","0.00328")</f>
        <v>0.00328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HYPERLINK("http://141.218.60.56/~jnz1568/getInfo.php?workbook=18_08.xlsx&amp;sheet=U0&amp;row=2637&amp;col=6&amp;number=4.3&amp;sourceID=14","4.3")</f>
        <v>4.3</v>
      </c>
      <c r="G2637" s="4" t="str">
        <f>HYPERLINK("http://141.218.60.56/~jnz1568/getInfo.php?workbook=18_08.xlsx&amp;sheet=U0&amp;row=2637&amp;col=7&amp;number=0.00328&amp;sourceID=14","0.00328")</f>
        <v>0.00328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HYPERLINK("http://141.218.60.56/~jnz1568/getInfo.php?workbook=18_08.xlsx&amp;sheet=U0&amp;row=2638&amp;col=6&amp;number=4.4&amp;sourceID=14","4.4")</f>
        <v>4.4</v>
      </c>
      <c r="G2638" s="4" t="str">
        <f>HYPERLINK("http://141.218.60.56/~jnz1568/getInfo.php?workbook=18_08.xlsx&amp;sheet=U0&amp;row=2638&amp;col=7&amp;number=0.00328&amp;sourceID=14","0.00328")</f>
        <v>0.00328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HYPERLINK("http://141.218.60.56/~jnz1568/getInfo.php?workbook=18_08.xlsx&amp;sheet=U0&amp;row=2639&amp;col=6&amp;number=4.5&amp;sourceID=14","4.5")</f>
        <v>4.5</v>
      </c>
      <c r="G2639" s="4" t="str">
        <f>HYPERLINK("http://141.218.60.56/~jnz1568/getInfo.php?workbook=18_08.xlsx&amp;sheet=U0&amp;row=2639&amp;col=7&amp;number=0.00328&amp;sourceID=14","0.00328")</f>
        <v>0.00328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HYPERLINK("http://141.218.60.56/~jnz1568/getInfo.php?workbook=18_08.xlsx&amp;sheet=U0&amp;row=2640&amp;col=6&amp;number=4.6&amp;sourceID=14","4.6")</f>
        <v>4.6</v>
      </c>
      <c r="G2640" s="4" t="str">
        <f>HYPERLINK("http://141.218.60.56/~jnz1568/getInfo.php?workbook=18_08.xlsx&amp;sheet=U0&amp;row=2640&amp;col=7&amp;number=0.00328&amp;sourceID=14","0.00328")</f>
        <v>0.00328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HYPERLINK("http://141.218.60.56/~jnz1568/getInfo.php?workbook=18_08.xlsx&amp;sheet=U0&amp;row=2641&amp;col=6&amp;number=4.7&amp;sourceID=14","4.7")</f>
        <v>4.7</v>
      </c>
      <c r="G2641" s="4" t="str">
        <f>HYPERLINK("http://141.218.60.56/~jnz1568/getInfo.php?workbook=18_08.xlsx&amp;sheet=U0&amp;row=2641&amp;col=7&amp;number=0.00327&amp;sourceID=14","0.00327")</f>
        <v>0.00327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HYPERLINK("http://141.218.60.56/~jnz1568/getInfo.php?workbook=18_08.xlsx&amp;sheet=U0&amp;row=2642&amp;col=6&amp;number=4.8&amp;sourceID=14","4.8")</f>
        <v>4.8</v>
      </c>
      <c r="G2642" s="4" t="str">
        <f>HYPERLINK("http://141.218.60.56/~jnz1568/getInfo.php?workbook=18_08.xlsx&amp;sheet=U0&amp;row=2642&amp;col=7&amp;number=0.00327&amp;sourceID=14","0.00327")</f>
        <v>0.00327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HYPERLINK("http://141.218.60.56/~jnz1568/getInfo.php?workbook=18_08.xlsx&amp;sheet=U0&amp;row=2643&amp;col=6&amp;number=4.9&amp;sourceID=14","4.9")</f>
        <v>4.9</v>
      </c>
      <c r="G2643" s="4" t="str">
        <f>HYPERLINK("http://141.218.60.56/~jnz1568/getInfo.php?workbook=18_08.xlsx&amp;sheet=U0&amp;row=2643&amp;col=7&amp;number=0.00326&amp;sourceID=14","0.00326")</f>
        <v>0.00326</v>
      </c>
    </row>
    <row r="2644" spans="1:7">
      <c r="A2644" s="3">
        <v>18</v>
      </c>
      <c r="B2644" s="3">
        <v>8</v>
      </c>
      <c r="C2644" s="3" t="s">
        <v>58</v>
      </c>
      <c r="D2644" s="3">
        <v>0</v>
      </c>
      <c r="E2644" s="3">
        <v>1</v>
      </c>
      <c r="F2644" s="4" t="str">
        <f>HYPERLINK("http://141.218.60.56/~jnz1568/getInfo.php?workbook=18_08.xlsx&amp;sheet=U0&amp;row=2644&amp;col=6&amp;number=3&amp;sourceID=14","3")</f>
        <v>3</v>
      </c>
      <c r="G2644" s="4" t="str">
        <f>HYPERLINK("http://141.218.60.56/~jnz1568/getInfo.php?workbook=18_08.xlsx&amp;sheet=U0&amp;row=2644&amp;col=7&amp;number=0.139&amp;sourceID=14","0.139")</f>
        <v>0.139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HYPERLINK("http://141.218.60.56/~jnz1568/getInfo.php?workbook=18_08.xlsx&amp;sheet=U0&amp;row=2645&amp;col=6&amp;number=3.1&amp;sourceID=14","3.1")</f>
        <v>3.1</v>
      </c>
      <c r="G2645" s="4" t="str">
        <f>HYPERLINK("http://141.218.60.56/~jnz1568/getInfo.php?workbook=18_08.xlsx&amp;sheet=U0&amp;row=2645&amp;col=7&amp;number=0.139&amp;sourceID=14","0.139")</f>
        <v>0.139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HYPERLINK("http://141.218.60.56/~jnz1568/getInfo.php?workbook=18_08.xlsx&amp;sheet=U0&amp;row=2646&amp;col=6&amp;number=3.2&amp;sourceID=14","3.2")</f>
        <v>3.2</v>
      </c>
      <c r="G2646" s="4" t="str">
        <f>HYPERLINK("http://141.218.60.56/~jnz1568/getInfo.php?workbook=18_08.xlsx&amp;sheet=U0&amp;row=2646&amp;col=7&amp;number=0.139&amp;sourceID=14","0.139")</f>
        <v>0.139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HYPERLINK("http://141.218.60.56/~jnz1568/getInfo.php?workbook=18_08.xlsx&amp;sheet=U0&amp;row=2647&amp;col=6&amp;number=3.3&amp;sourceID=14","3.3")</f>
        <v>3.3</v>
      </c>
      <c r="G2647" s="4" t="str">
        <f>HYPERLINK("http://141.218.60.56/~jnz1568/getInfo.php?workbook=18_08.xlsx&amp;sheet=U0&amp;row=2647&amp;col=7&amp;number=0.139&amp;sourceID=14","0.139")</f>
        <v>0.139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HYPERLINK("http://141.218.60.56/~jnz1568/getInfo.php?workbook=18_08.xlsx&amp;sheet=U0&amp;row=2648&amp;col=6&amp;number=3.4&amp;sourceID=14","3.4")</f>
        <v>3.4</v>
      </c>
      <c r="G2648" s="4" t="str">
        <f>HYPERLINK("http://141.218.60.56/~jnz1568/getInfo.php?workbook=18_08.xlsx&amp;sheet=U0&amp;row=2648&amp;col=7&amp;number=0.139&amp;sourceID=14","0.139")</f>
        <v>0.139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HYPERLINK("http://141.218.60.56/~jnz1568/getInfo.php?workbook=18_08.xlsx&amp;sheet=U0&amp;row=2649&amp;col=6&amp;number=3.5&amp;sourceID=14","3.5")</f>
        <v>3.5</v>
      </c>
      <c r="G2649" s="4" t="str">
        <f>HYPERLINK("http://141.218.60.56/~jnz1568/getInfo.php?workbook=18_08.xlsx&amp;sheet=U0&amp;row=2649&amp;col=7&amp;number=0.139&amp;sourceID=14","0.139")</f>
        <v>0.139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HYPERLINK("http://141.218.60.56/~jnz1568/getInfo.php?workbook=18_08.xlsx&amp;sheet=U0&amp;row=2650&amp;col=6&amp;number=3.6&amp;sourceID=14","3.6")</f>
        <v>3.6</v>
      </c>
      <c r="G2650" s="4" t="str">
        <f>HYPERLINK("http://141.218.60.56/~jnz1568/getInfo.php?workbook=18_08.xlsx&amp;sheet=U0&amp;row=2650&amp;col=7&amp;number=0.139&amp;sourceID=14","0.139")</f>
        <v>0.139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HYPERLINK("http://141.218.60.56/~jnz1568/getInfo.php?workbook=18_08.xlsx&amp;sheet=U0&amp;row=2651&amp;col=6&amp;number=3.7&amp;sourceID=14","3.7")</f>
        <v>3.7</v>
      </c>
      <c r="G2651" s="4" t="str">
        <f>HYPERLINK("http://141.218.60.56/~jnz1568/getInfo.php?workbook=18_08.xlsx&amp;sheet=U0&amp;row=2651&amp;col=7&amp;number=0.139&amp;sourceID=14","0.139")</f>
        <v>0.139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HYPERLINK("http://141.218.60.56/~jnz1568/getInfo.php?workbook=18_08.xlsx&amp;sheet=U0&amp;row=2652&amp;col=6&amp;number=3.8&amp;sourceID=14","3.8")</f>
        <v>3.8</v>
      </c>
      <c r="G2652" s="4" t="str">
        <f>HYPERLINK("http://141.218.60.56/~jnz1568/getInfo.php?workbook=18_08.xlsx&amp;sheet=U0&amp;row=2652&amp;col=7&amp;number=0.139&amp;sourceID=14","0.139")</f>
        <v>0.139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HYPERLINK("http://141.218.60.56/~jnz1568/getInfo.php?workbook=18_08.xlsx&amp;sheet=U0&amp;row=2653&amp;col=6&amp;number=3.9&amp;sourceID=14","3.9")</f>
        <v>3.9</v>
      </c>
      <c r="G2653" s="4" t="str">
        <f>HYPERLINK("http://141.218.60.56/~jnz1568/getInfo.php?workbook=18_08.xlsx&amp;sheet=U0&amp;row=2653&amp;col=7&amp;number=0.139&amp;sourceID=14","0.139")</f>
        <v>0.139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HYPERLINK("http://141.218.60.56/~jnz1568/getInfo.php?workbook=18_08.xlsx&amp;sheet=U0&amp;row=2654&amp;col=6&amp;number=4&amp;sourceID=14","4")</f>
        <v>4</v>
      </c>
      <c r="G2654" s="4" t="str">
        <f>HYPERLINK("http://141.218.60.56/~jnz1568/getInfo.php?workbook=18_08.xlsx&amp;sheet=U0&amp;row=2654&amp;col=7&amp;number=0.139&amp;sourceID=14","0.139")</f>
        <v>0.139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HYPERLINK("http://141.218.60.56/~jnz1568/getInfo.php?workbook=18_08.xlsx&amp;sheet=U0&amp;row=2655&amp;col=6&amp;number=4.1&amp;sourceID=14","4.1")</f>
        <v>4.1</v>
      </c>
      <c r="G2655" s="4" t="str">
        <f>HYPERLINK("http://141.218.60.56/~jnz1568/getInfo.php?workbook=18_08.xlsx&amp;sheet=U0&amp;row=2655&amp;col=7&amp;number=0.139&amp;sourceID=14","0.139")</f>
        <v>0.139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HYPERLINK("http://141.218.60.56/~jnz1568/getInfo.php?workbook=18_08.xlsx&amp;sheet=U0&amp;row=2656&amp;col=6&amp;number=4.2&amp;sourceID=14","4.2")</f>
        <v>4.2</v>
      </c>
      <c r="G2656" s="4" t="str">
        <f>HYPERLINK("http://141.218.60.56/~jnz1568/getInfo.php?workbook=18_08.xlsx&amp;sheet=U0&amp;row=2656&amp;col=7&amp;number=0.139&amp;sourceID=14","0.139")</f>
        <v>0.139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HYPERLINK("http://141.218.60.56/~jnz1568/getInfo.php?workbook=18_08.xlsx&amp;sheet=U0&amp;row=2657&amp;col=6&amp;number=4.3&amp;sourceID=14","4.3")</f>
        <v>4.3</v>
      </c>
      <c r="G2657" s="4" t="str">
        <f>HYPERLINK("http://141.218.60.56/~jnz1568/getInfo.php?workbook=18_08.xlsx&amp;sheet=U0&amp;row=2657&amp;col=7&amp;number=0.139&amp;sourceID=14","0.139")</f>
        <v>0.139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HYPERLINK("http://141.218.60.56/~jnz1568/getInfo.php?workbook=18_08.xlsx&amp;sheet=U0&amp;row=2658&amp;col=6&amp;number=4.4&amp;sourceID=14","4.4")</f>
        <v>4.4</v>
      </c>
      <c r="G2658" s="4" t="str">
        <f>HYPERLINK("http://141.218.60.56/~jnz1568/getInfo.php?workbook=18_08.xlsx&amp;sheet=U0&amp;row=2658&amp;col=7&amp;number=0.139&amp;sourceID=14","0.139")</f>
        <v>0.139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HYPERLINK("http://141.218.60.56/~jnz1568/getInfo.php?workbook=18_08.xlsx&amp;sheet=U0&amp;row=2659&amp;col=6&amp;number=4.5&amp;sourceID=14","4.5")</f>
        <v>4.5</v>
      </c>
      <c r="G2659" s="4" t="str">
        <f>HYPERLINK("http://141.218.60.56/~jnz1568/getInfo.php?workbook=18_08.xlsx&amp;sheet=U0&amp;row=2659&amp;col=7&amp;number=0.139&amp;sourceID=14","0.139")</f>
        <v>0.139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HYPERLINK("http://141.218.60.56/~jnz1568/getInfo.php?workbook=18_08.xlsx&amp;sheet=U0&amp;row=2660&amp;col=6&amp;number=4.6&amp;sourceID=14","4.6")</f>
        <v>4.6</v>
      </c>
      <c r="G2660" s="4" t="str">
        <f>HYPERLINK("http://141.218.60.56/~jnz1568/getInfo.php?workbook=18_08.xlsx&amp;sheet=U0&amp;row=2660&amp;col=7&amp;number=0.139&amp;sourceID=14","0.139")</f>
        <v>0.139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HYPERLINK("http://141.218.60.56/~jnz1568/getInfo.php?workbook=18_08.xlsx&amp;sheet=U0&amp;row=2661&amp;col=6&amp;number=4.7&amp;sourceID=14","4.7")</f>
        <v>4.7</v>
      </c>
      <c r="G2661" s="4" t="str">
        <f>HYPERLINK("http://141.218.60.56/~jnz1568/getInfo.php?workbook=18_08.xlsx&amp;sheet=U0&amp;row=2661&amp;col=7&amp;number=0.139&amp;sourceID=14","0.139")</f>
        <v>0.139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HYPERLINK("http://141.218.60.56/~jnz1568/getInfo.php?workbook=18_08.xlsx&amp;sheet=U0&amp;row=2662&amp;col=6&amp;number=4.8&amp;sourceID=14","4.8")</f>
        <v>4.8</v>
      </c>
      <c r="G2662" s="4" t="str">
        <f>HYPERLINK("http://141.218.60.56/~jnz1568/getInfo.php?workbook=18_08.xlsx&amp;sheet=U0&amp;row=2662&amp;col=7&amp;number=0.139&amp;sourceID=14","0.139")</f>
        <v>0.139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HYPERLINK("http://141.218.60.56/~jnz1568/getInfo.php?workbook=18_08.xlsx&amp;sheet=U0&amp;row=2663&amp;col=6&amp;number=4.9&amp;sourceID=14","4.9")</f>
        <v>4.9</v>
      </c>
      <c r="G2663" s="4" t="str">
        <f>HYPERLINK("http://141.218.60.56/~jnz1568/getInfo.php?workbook=18_08.xlsx&amp;sheet=U0&amp;row=2663&amp;col=7&amp;number=0.139&amp;sourceID=14","0.139")</f>
        <v>0.139</v>
      </c>
    </row>
    <row r="2664" spans="1:7">
      <c r="A2664" s="3">
        <v>18</v>
      </c>
      <c r="B2664" s="3">
        <v>8</v>
      </c>
      <c r="C2664" s="3" t="s">
        <v>58</v>
      </c>
      <c r="D2664" s="3">
        <v>1</v>
      </c>
      <c r="E2664" s="3">
        <v>1</v>
      </c>
      <c r="F2664" s="4" t="str">
        <f>HYPERLINK("http://141.218.60.56/~jnz1568/getInfo.php?workbook=18_08.xlsx&amp;sheet=U0&amp;row=2664&amp;col=6&amp;number=3&amp;sourceID=14","3")</f>
        <v>3</v>
      </c>
      <c r="G2664" s="4" t="str">
        <f>HYPERLINK("http://141.218.60.56/~jnz1568/getInfo.php?workbook=18_08.xlsx&amp;sheet=U0&amp;row=2664&amp;col=7&amp;number=0.0419&amp;sourceID=14","0.0419")</f>
        <v>0.0419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HYPERLINK("http://141.218.60.56/~jnz1568/getInfo.php?workbook=18_08.xlsx&amp;sheet=U0&amp;row=2665&amp;col=6&amp;number=3.1&amp;sourceID=14","3.1")</f>
        <v>3.1</v>
      </c>
      <c r="G2665" s="4" t="str">
        <f>HYPERLINK("http://141.218.60.56/~jnz1568/getInfo.php?workbook=18_08.xlsx&amp;sheet=U0&amp;row=2665&amp;col=7&amp;number=0.0419&amp;sourceID=14","0.0419")</f>
        <v>0.0419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HYPERLINK("http://141.218.60.56/~jnz1568/getInfo.php?workbook=18_08.xlsx&amp;sheet=U0&amp;row=2666&amp;col=6&amp;number=3.2&amp;sourceID=14","3.2")</f>
        <v>3.2</v>
      </c>
      <c r="G2666" s="4" t="str">
        <f>HYPERLINK("http://141.218.60.56/~jnz1568/getInfo.php?workbook=18_08.xlsx&amp;sheet=U0&amp;row=2666&amp;col=7&amp;number=0.0419&amp;sourceID=14","0.0419")</f>
        <v>0.0419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HYPERLINK("http://141.218.60.56/~jnz1568/getInfo.php?workbook=18_08.xlsx&amp;sheet=U0&amp;row=2667&amp;col=6&amp;number=3.3&amp;sourceID=14","3.3")</f>
        <v>3.3</v>
      </c>
      <c r="G2667" s="4" t="str">
        <f>HYPERLINK("http://141.218.60.56/~jnz1568/getInfo.php?workbook=18_08.xlsx&amp;sheet=U0&amp;row=2667&amp;col=7&amp;number=0.0419&amp;sourceID=14","0.0419")</f>
        <v>0.0419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HYPERLINK("http://141.218.60.56/~jnz1568/getInfo.php?workbook=18_08.xlsx&amp;sheet=U0&amp;row=2668&amp;col=6&amp;number=3.4&amp;sourceID=14","3.4")</f>
        <v>3.4</v>
      </c>
      <c r="G2668" s="4" t="str">
        <f>HYPERLINK("http://141.218.60.56/~jnz1568/getInfo.php?workbook=18_08.xlsx&amp;sheet=U0&amp;row=2668&amp;col=7&amp;number=0.0419&amp;sourceID=14","0.0419")</f>
        <v>0.0419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HYPERLINK("http://141.218.60.56/~jnz1568/getInfo.php?workbook=18_08.xlsx&amp;sheet=U0&amp;row=2669&amp;col=6&amp;number=3.5&amp;sourceID=14","3.5")</f>
        <v>3.5</v>
      </c>
      <c r="G2669" s="4" t="str">
        <f>HYPERLINK("http://141.218.60.56/~jnz1568/getInfo.php?workbook=18_08.xlsx&amp;sheet=U0&amp;row=2669&amp;col=7&amp;number=0.0419&amp;sourceID=14","0.0419")</f>
        <v>0.0419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HYPERLINK("http://141.218.60.56/~jnz1568/getInfo.php?workbook=18_08.xlsx&amp;sheet=U0&amp;row=2670&amp;col=6&amp;number=3.6&amp;sourceID=14","3.6")</f>
        <v>3.6</v>
      </c>
      <c r="G2670" s="4" t="str">
        <f>HYPERLINK("http://141.218.60.56/~jnz1568/getInfo.php?workbook=18_08.xlsx&amp;sheet=U0&amp;row=2670&amp;col=7&amp;number=0.0419&amp;sourceID=14","0.0419")</f>
        <v>0.0419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HYPERLINK("http://141.218.60.56/~jnz1568/getInfo.php?workbook=18_08.xlsx&amp;sheet=U0&amp;row=2671&amp;col=6&amp;number=3.7&amp;sourceID=14","3.7")</f>
        <v>3.7</v>
      </c>
      <c r="G2671" s="4" t="str">
        <f>HYPERLINK("http://141.218.60.56/~jnz1568/getInfo.php?workbook=18_08.xlsx&amp;sheet=U0&amp;row=2671&amp;col=7&amp;number=0.042&amp;sourceID=14","0.042")</f>
        <v>0.042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HYPERLINK("http://141.218.60.56/~jnz1568/getInfo.php?workbook=18_08.xlsx&amp;sheet=U0&amp;row=2672&amp;col=6&amp;number=3.8&amp;sourceID=14","3.8")</f>
        <v>3.8</v>
      </c>
      <c r="G2672" s="4" t="str">
        <f>HYPERLINK("http://141.218.60.56/~jnz1568/getInfo.php?workbook=18_08.xlsx&amp;sheet=U0&amp;row=2672&amp;col=7&amp;number=0.042&amp;sourceID=14","0.042")</f>
        <v>0.042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HYPERLINK("http://141.218.60.56/~jnz1568/getInfo.php?workbook=18_08.xlsx&amp;sheet=U0&amp;row=2673&amp;col=6&amp;number=3.9&amp;sourceID=14","3.9")</f>
        <v>3.9</v>
      </c>
      <c r="G2673" s="4" t="str">
        <f>HYPERLINK("http://141.218.60.56/~jnz1568/getInfo.php?workbook=18_08.xlsx&amp;sheet=U0&amp;row=2673&amp;col=7&amp;number=0.042&amp;sourceID=14","0.042")</f>
        <v>0.042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HYPERLINK("http://141.218.60.56/~jnz1568/getInfo.php?workbook=18_08.xlsx&amp;sheet=U0&amp;row=2674&amp;col=6&amp;number=4&amp;sourceID=14","4")</f>
        <v>4</v>
      </c>
      <c r="G2674" s="4" t="str">
        <f>HYPERLINK("http://141.218.60.56/~jnz1568/getInfo.php?workbook=18_08.xlsx&amp;sheet=U0&amp;row=2674&amp;col=7&amp;number=0.042&amp;sourceID=14","0.042")</f>
        <v>0.042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HYPERLINK("http://141.218.60.56/~jnz1568/getInfo.php?workbook=18_08.xlsx&amp;sheet=U0&amp;row=2675&amp;col=6&amp;number=4.1&amp;sourceID=14","4.1")</f>
        <v>4.1</v>
      </c>
      <c r="G2675" s="4" t="str">
        <f>HYPERLINK("http://141.218.60.56/~jnz1568/getInfo.php?workbook=18_08.xlsx&amp;sheet=U0&amp;row=2675&amp;col=7&amp;number=0.042&amp;sourceID=14","0.042")</f>
        <v>0.042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HYPERLINK("http://141.218.60.56/~jnz1568/getInfo.php?workbook=18_08.xlsx&amp;sheet=U0&amp;row=2676&amp;col=6&amp;number=4.2&amp;sourceID=14","4.2")</f>
        <v>4.2</v>
      </c>
      <c r="G2676" s="4" t="str">
        <f>HYPERLINK("http://141.218.60.56/~jnz1568/getInfo.php?workbook=18_08.xlsx&amp;sheet=U0&amp;row=2676&amp;col=7&amp;number=0.0421&amp;sourceID=14","0.0421")</f>
        <v>0.0421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HYPERLINK("http://141.218.60.56/~jnz1568/getInfo.php?workbook=18_08.xlsx&amp;sheet=U0&amp;row=2677&amp;col=6&amp;number=4.3&amp;sourceID=14","4.3")</f>
        <v>4.3</v>
      </c>
      <c r="G2677" s="4" t="str">
        <f>HYPERLINK("http://141.218.60.56/~jnz1568/getInfo.php?workbook=18_08.xlsx&amp;sheet=U0&amp;row=2677&amp;col=7&amp;number=0.0421&amp;sourceID=14","0.0421")</f>
        <v>0.0421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HYPERLINK("http://141.218.60.56/~jnz1568/getInfo.php?workbook=18_08.xlsx&amp;sheet=U0&amp;row=2678&amp;col=6&amp;number=4.4&amp;sourceID=14","4.4")</f>
        <v>4.4</v>
      </c>
      <c r="G2678" s="4" t="str">
        <f>HYPERLINK("http://141.218.60.56/~jnz1568/getInfo.php?workbook=18_08.xlsx&amp;sheet=U0&amp;row=2678&amp;col=7&amp;number=0.0422&amp;sourceID=14","0.0422")</f>
        <v>0.0422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HYPERLINK("http://141.218.60.56/~jnz1568/getInfo.php?workbook=18_08.xlsx&amp;sheet=U0&amp;row=2679&amp;col=6&amp;number=4.5&amp;sourceID=14","4.5")</f>
        <v>4.5</v>
      </c>
      <c r="G2679" s="4" t="str">
        <f>HYPERLINK("http://141.218.60.56/~jnz1568/getInfo.php?workbook=18_08.xlsx&amp;sheet=U0&amp;row=2679&amp;col=7&amp;number=0.0422&amp;sourceID=14","0.0422")</f>
        <v>0.0422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HYPERLINK("http://141.218.60.56/~jnz1568/getInfo.php?workbook=18_08.xlsx&amp;sheet=U0&amp;row=2680&amp;col=6&amp;number=4.6&amp;sourceID=14","4.6")</f>
        <v>4.6</v>
      </c>
      <c r="G2680" s="4" t="str">
        <f>HYPERLINK("http://141.218.60.56/~jnz1568/getInfo.php?workbook=18_08.xlsx&amp;sheet=U0&amp;row=2680&amp;col=7&amp;number=0.0423&amp;sourceID=14","0.0423")</f>
        <v>0.0423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HYPERLINK("http://141.218.60.56/~jnz1568/getInfo.php?workbook=18_08.xlsx&amp;sheet=U0&amp;row=2681&amp;col=6&amp;number=4.7&amp;sourceID=14","4.7")</f>
        <v>4.7</v>
      </c>
      <c r="G2681" s="4" t="str">
        <f>HYPERLINK("http://141.218.60.56/~jnz1568/getInfo.php?workbook=18_08.xlsx&amp;sheet=U0&amp;row=2681&amp;col=7&amp;number=0.0424&amp;sourceID=14","0.0424")</f>
        <v>0.0424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HYPERLINK("http://141.218.60.56/~jnz1568/getInfo.php?workbook=18_08.xlsx&amp;sheet=U0&amp;row=2682&amp;col=6&amp;number=4.8&amp;sourceID=14","4.8")</f>
        <v>4.8</v>
      </c>
      <c r="G2682" s="4" t="str">
        <f>HYPERLINK("http://141.218.60.56/~jnz1568/getInfo.php?workbook=18_08.xlsx&amp;sheet=U0&amp;row=2682&amp;col=7&amp;number=0.0426&amp;sourceID=14","0.0426")</f>
        <v>0.0426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HYPERLINK("http://141.218.60.56/~jnz1568/getInfo.php?workbook=18_08.xlsx&amp;sheet=U0&amp;row=2683&amp;col=6&amp;number=4.9&amp;sourceID=14","4.9")</f>
        <v>4.9</v>
      </c>
      <c r="G2683" s="4" t="str">
        <f>HYPERLINK("http://141.218.60.56/~jnz1568/getInfo.php?workbook=18_08.xlsx&amp;sheet=U0&amp;row=2683&amp;col=7&amp;number=0.0428&amp;sourceID=14","0.0428")</f>
        <v>0.0428</v>
      </c>
    </row>
    <row r="2684" spans="1:7">
      <c r="A2684" s="3">
        <v>18</v>
      </c>
      <c r="B2684" s="3">
        <v>8</v>
      </c>
      <c r="C2684" s="3" t="s">
        <v>58</v>
      </c>
      <c r="D2684" s="3">
        <v>2</v>
      </c>
      <c r="E2684" s="3">
        <v>1</v>
      </c>
      <c r="F2684" s="4" t="str">
        <f>HYPERLINK("http://141.218.60.56/~jnz1568/getInfo.php?workbook=18_08.xlsx&amp;sheet=U0&amp;row=2684&amp;col=6&amp;number=3&amp;sourceID=14","3")</f>
        <v>3</v>
      </c>
      <c r="G2684" s="4" t="str">
        <f>HYPERLINK("http://141.218.60.56/~jnz1568/getInfo.php?workbook=18_08.xlsx&amp;sheet=U0&amp;row=2684&amp;col=7&amp;number=0.0214&amp;sourceID=14","0.0214")</f>
        <v>0.0214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HYPERLINK("http://141.218.60.56/~jnz1568/getInfo.php?workbook=18_08.xlsx&amp;sheet=U0&amp;row=2685&amp;col=6&amp;number=3.1&amp;sourceID=14","3.1")</f>
        <v>3.1</v>
      </c>
      <c r="G2685" s="4" t="str">
        <f>HYPERLINK("http://141.218.60.56/~jnz1568/getInfo.php?workbook=18_08.xlsx&amp;sheet=U0&amp;row=2685&amp;col=7&amp;number=0.0214&amp;sourceID=14","0.0214")</f>
        <v>0.0214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HYPERLINK("http://141.218.60.56/~jnz1568/getInfo.php?workbook=18_08.xlsx&amp;sheet=U0&amp;row=2686&amp;col=6&amp;number=3.2&amp;sourceID=14","3.2")</f>
        <v>3.2</v>
      </c>
      <c r="G2686" s="4" t="str">
        <f>HYPERLINK("http://141.218.60.56/~jnz1568/getInfo.php?workbook=18_08.xlsx&amp;sheet=U0&amp;row=2686&amp;col=7&amp;number=0.0214&amp;sourceID=14","0.0214")</f>
        <v>0.0214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HYPERLINK("http://141.218.60.56/~jnz1568/getInfo.php?workbook=18_08.xlsx&amp;sheet=U0&amp;row=2687&amp;col=6&amp;number=3.3&amp;sourceID=14","3.3")</f>
        <v>3.3</v>
      </c>
      <c r="G2687" s="4" t="str">
        <f>HYPERLINK("http://141.218.60.56/~jnz1568/getInfo.php?workbook=18_08.xlsx&amp;sheet=U0&amp;row=2687&amp;col=7&amp;number=0.0214&amp;sourceID=14","0.0214")</f>
        <v>0.0214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HYPERLINK("http://141.218.60.56/~jnz1568/getInfo.php?workbook=18_08.xlsx&amp;sheet=U0&amp;row=2688&amp;col=6&amp;number=3.4&amp;sourceID=14","3.4")</f>
        <v>3.4</v>
      </c>
      <c r="G2688" s="4" t="str">
        <f>HYPERLINK("http://141.218.60.56/~jnz1568/getInfo.php?workbook=18_08.xlsx&amp;sheet=U0&amp;row=2688&amp;col=7&amp;number=0.0214&amp;sourceID=14","0.0214")</f>
        <v>0.0214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HYPERLINK("http://141.218.60.56/~jnz1568/getInfo.php?workbook=18_08.xlsx&amp;sheet=U0&amp;row=2689&amp;col=6&amp;number=3.5&amp;sourceID=14","3.5")</f>
        <v>3.5</v>
      </c>
      <c r="G2689" s="4" t="str">
        <f>HYPERLINK("http://141.218.60.56/~jnz1568/getInfo.php?workbook=18_08.xlsx&amp;sheet=U0&amp;row=2689&amp;col=7&amp;number=0.0214&amp;sourceID=14","0.0214")</f>
        <v>0.0214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HYPERLINK("http://141.218.60.56/~jnz1568/getInfo.php?workbook=18_08.xlsx&amp;sheet=U0&amp;row=2690&amp;col=6&amp;number=3.6&amp;sourceID=14","3.6")</f>
        <v>3.6</v>
      </c>
      <c r="G2690" s="4" t="str">
        <f>HYPERLINK("http://141.218.60.56/~jnz1568/getInfo.php?workbook=18_08.xlsx&amp;sheet=U0&amp;row=2690&amp;col=7&amp;number=0.0214&amp;sourceID=14","0.0214")</f>
        <v>0.0214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HYPERLINK("http://141.218.60.56/~jnz1568/getInfo.php?workbook=18_08.xlsx&amp;sheet=U0&amp;row=2691&amp;col=6&amp;number=3.7&amp;sourceID=14","3.7")</f>
        <v>3.7</v>
      </c>
      <c r="G2691" s="4" t="str">
        <f>HYPERLINK("http://141.218.60.56/~jnz1568/getInfo.php?workbook=18_08.xlsx&amp;sheet=U0&amp;row=2691&amp;col=7&amp;number=0.0214&amp;sourceID=14","0.0214")</f>
        <v>0.0214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HYPERLINK("http://141.218.60.56/~jnz1568/getInfo.php?workbook=18_08.xlsx&amp;sheet=U0&amp;row=2692&amp;col=6&amp;number=3.8&amp;sourceID=14","3.8")</f>
        <v>3.8</v>
      </c>
      <c r="G2692" s="4" t="str">
        <f>HYPERLINK("http://141.218.60.56/~jnz1568/getInfo.php?workbook=18_08.xlsx&amp;sheet=U0&amp;row=2692&amp;col=7&amp;number=0.0214&amp;sourceID=14","0.0214")</f>
        <v>0.0214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HYPERLINK("http://141.218.60.56/~jnz1568/getInfo.php?workbook=18_08.xlsx&amp;sheet=U0&amp;row=2693&amp;col=6&amp;number=3.9&amp;sourceID=14","3.9")</f>
        <v>3.9</v>
      </c>
      <c r="G2693" s="4" t="str">
        <f>HYPERLINK("http://141.218.60.56/~jnz1568/getInfo.php?workbook=18_08.xlsx&amp;sheet=U0&amp;row=2693&amp;col=7&amp;number=0.0214&amp;sourceID=14","0.0214")</f>
        <v>0.0214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HYPERLINK("http://141.218.60.56/~jnz1568/getInfo.php?workbook=18_08.xlsx&amp;sheet=U0&amp;row=2694&amp;col=6&amp;number=4&amp;sourceID=14","4")</f>
        <v>4</v>
      </c>
      <c r="G2694" s="4" t="str">
        <f>HYPERLINK("http://141.218.60.56/~jnz1568/getInfo.php?workbook=18_08.xlsx&amp;sheet=U0&amp;row=2694&amp;col=7&amp;number=0.0214&amp;sourceID=14","0.0214")</f>
        <v>0.0214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HYPERLINK("http://141.218.60.56/~jnz1568/getInfo.php?workbook=18_08.xlsx&amp;sheet=U0&amp;row=2695&amp;col=6&amp;number=4.1&amp;sourceID=14","4.1")</f>
        <v>4.1</v>
      </c>
      <c r="G2695" s="4" t="str">
        <f>HYPERLINK("http://141.218.60.56/~jnz1568/getInfo.php?workbook=18_08.xlsx&amp;sheet=U0&amp;row=2695&amp;col=7&amp;number=0.0214&amp;sourceID=14","0.0214")</f>
        <v>0.0214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HYPERLINK("http://141.218.60.56/~jnz1568/getInfo.php?workbook=18_08.xlsx&amp;sheet=U0&amp;row=2696&amp;col=6&amp;number=4.2&amp;sourceID=14","4.2")</f>
        <v>4.2</v>
      </c>
      <c r="G2696" s="4" t="str">
        <f>HYPERLINK("http://141.218.60.56/~jnz1568/getInfo.php?workbook=18_08.xlsx&amp;sheet=U0&amp;row=2696&amp;col=7&amp;number=0.0214&amp;sourceID=14","0.0214")</f>
        <v>0.0214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HYPERLINK("http://141.218.60.56/~jnz1568/getInfo.php?workbook=18_08.xlsx&amp;sheet=U0&amp;row=2697&amp;col=6&amp;number=4.3&amp;sourceID=14","4.3")</f>
        <v>4.3</v>
      </c>
      <c r="G2697" s="4" t="str">
        <f>HYPERLINK("http://141.218.60.56/~jnz1568/getInfo.php?workbook=18_08.xlsx&amp;sheet=U0&amp;row=2697&amp;col=7&amp;number=0.0214&amp;sourceID=14","0.0214")</f>
        <v>0.0214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HYPERLINK("http://141.218.60.56/~jnz1568/getInfo.php?workbook=18_08.xlsx&amp;sheet=U0&amp;row=2698&amp;col=6&amp;number=4.4&amp;sourceID=14","4.4")</f>
        <v>4.4</v>
      </c>
      <c r="G2698" s="4" t="str">
        <f>HYPERLINK("http://141.218.60.56/~jnz1568/getInfo.php?workbook=18_08.xlsx&amp;sheet=U0&amp;row=2698&amp;col=7&amp;number=0.0214&amp;sourceID=14","0.0214")</f>
        <v>0.0214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HYPERLINK("http://141.218.60.56/~jnz1568/getInfo.php?workbook=18_08.xlsx&amp;sheet=U0&amp;row=2699&amp;col=6&amp;number=4.5&amp;sourceID=14","4.5")</f>
        <v>4.5</v>
      </c>
      <c r="G2699" s="4" t="str">
        <f>HYPERLINK("http://141.218.60.56/~jnz1568/getInfo.php?workbook=18_08.xlsx&amp;sheet=U0&amp;row=2699&amp;col=7&amp;number=0.0214&amp;sourceID=14","0.0214")</f>
        <v>0.0214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HYPERLINK("http://141.218.60.56/~jnz1568/getInfo.php?workbook=18_08.xlsx&amp;sheet=U0&amp;row=2700&amp;col=6&amp;number=4.6&amp;sourceID=14","4.6")</f>
        <v>4.6</v>
      </c>
      <c r="G2700" s="4" t="str">
        <f>HYPERLINK("http://141.218.60.56/~jnz1568/getInfo.php?workbook=18_08.xlsx&amp;sheet=U0&amp;row=2700&amp;col=7&amp;number=0.0215&amp;sourceID=14","0.0215")</f>
        <v>0.0215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HYPERLINK("http://141.218.60.56/~jnz1568/getInfo.php?workbook=18_08.xlsx&amp;sheet=U0&amp;row=2701&amp;col=6&amp;number=4.7&amp;sourceID=14","4.7")</f>
        <v>4.7</v>
      </c>
      <c r="G2701" s="4" t="str">
        <f>HYPERLINK("http://141.218.60.56/~jnz1568/getInfo.php?workbook=18_08.xlsx&amp;sheet=U0&amp;row=2701&amp;col=7&amp;number=0.0215&amp;sourceID=14","0.0215")</f>
        <v>0.0215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HYPERLINK("http://141.218.60.56/~jnz1568/getInfo.php?workbook=18_08.xlsx&amp;sheet=U0&amp;row=2702&amp;col=6&amp;number=4.8&amp;sourceID=14","4.8")</f>
        <v>4.8</v>
      </c>
      <c r="G2702" s="4" t="str">
        <f>HYPERLINK("http://141.218.60.56/~jnz1568/getInfo.php?workbook=18_08.xlsx&amp;sheet=U0&amp;row=2702&amp;col=7&amp;number=0.0215&amp;sourceID=14","0.0215")</f>
        <v>0.0215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HYPERLINK("http://141.218.60.56/~jnz1568/getInfo.php?workbook=18_08.xlsx&amp;sheet=U0&amp;row=2703&amp;col=6&amp;number=4.9&amp;sourceID=14","4.9")</f>
        <v>4.9</v>
      </c>
      <c r="G2703" s="4" t="str">
        <f>HYPERLINK("http://141.218.60.56/~jnz1568/getInfo.php?workbook=18_08.xlsx&amp;sheet=U0&amp;row=2703&amp;col=7&amp;number=0.0216&amp;sourceID=14","0.0216")</f>
        <v>0.0216</v>
      </c>
    </row>
    <row r="2704" spans="1:7">
      <c r="A2704" s="3">
        <v>18</v>
      </c>
      <c r="B2704" s="3">
        <v>8</v>
      </c>
      <c r="C2704" s="3" t="s">
        <v>58</v>
      </c>
      <c r="D2704" s="3">
        <v>3</v>
      </c>
      <c r="E2704" s="3">
        <v>1</v>
      </c>
      <c r="F2704" s="4" t="str">
        <f>HYPERLINK("http://141.218.60.56/~jnz1568/getInfo.php?workbook=18_08.xlsx&amp;sheet=U0&amp;row=2704&amp;col=6&amp;number=3&amp;sourceID=14","3")</f>
        <v>3</v>
      </c>
      <c r="G2704" s="4" t="str">
        <f>HYPERLINK("http://141.218.60.56/~jnz1568/getInfo.php?workbook=18_08.xlsx&amp;sheet=U0&amp;row=2704&amp;col=7&amp;number=0.00167&amp;sourceID=14","0.00167")</f>
        <v>0.00167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HYPERLINK("http://141.218.60.56/~jnz1568/getInfo.php?workbook=18_08.xlsx&amp;sheet=U0&amp;row=2705&amp;col=6&amp;number=3.1&amp;sourceID=14","3.1")</f>
        <v>3.1</v>
      </c>
      <c r="G2705" s="4" t="str">
        <f>HYPERLINK("http://141.218.60.56/~jnz1568/getInfo.php?workbook=18_08.xlsx&amp;sheet=U0&amp;row=2705&amp;col=7&amp;number=0.00167&amp;sourceID=14","0.00167")</f>
        <v>0.00167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HYPERLINK("http://141.218.60.56/~jnz1568/getInfo.php?workbook=18_08.xlsx&amp;sheet=U0&amp;row=2706&amp;col=6&amp;number=3.2&amp;sourceID=14","3.2")</f>
        <v>3.2</v>
      </c>
      <c r="G2706" s="4" t="str">
        <f>HYPERLINK("http://141.218.60.56/~jnz1568/getInfo.php?workbook=18_08.xlsx&amp;sheet=U0&amp;row=2706&amp;col=7&amp;number=0.00167&amp;sourceID=14","0.00167")</f>
        <v>0.00167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HYPERLINK("http://141.218.60.56/~jnz1568/getInfo.php?workbook=18_08.xlsx&amp;sheet=U0&amp;row=2707&amp;col=6&amp;number=3.3&amp;sourceID=14","3.3")</f>
        <v>3.3</v>
      </c>
      <c r="G2707" s="4" t="str">
        <f>HYPERLINK("http://141.218.60.56/~jnz1568/getInfo.php?workbook=18_08.xlsx&amp;sheet=U0&amp;row=2707&amp;col=7&amp;number=0.00167&amp;sourceID=14","0.00167")</f>
        <v>0.00167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HYPERLINK("http://141.218.60.56/~jnz1568/getInfo.php?workbook=18_08.xlsx&amp;sheet=U0&amp;row=2708&amp;col=6&amp;number=3.4&amp;sourceID=14","3.4")</f>
        <v>3.4</v>
      </c>
      <c r="G2708" s="4" t="str">
        <f>HYPERLINK("http://141.218.60.56/~jnz1568/getInfo.php?workbook=18_08.xlsx&amp;sheet=U0&amp;row=2708&amp;col=7&amp;number=0.00167&amp;sourceID=14","0.00167")</f>
        <v>0.00167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HYPERLINK("http://141.218.60.56/~jnz1568/getInfo.php?workbook=18_08.xlsx&amp;sheet=U0&amp;row=2709&amp;col=6&amp;number=3.5&amp;sourceID=14","3.5")</f>
        <v>3.5</v>
      </c>
      <c r="G2709" s="4" t="str">
        <f>HYPERLINK("http://141.218.60.56/~jnz1568/getInfo.php?workbook=18_08.xlsx&amp;sheet=U0&amp;row=2709&amp;col=7&amp;number=0.00167&amp;sourceID=14","0.00167")</f>
        <v>0.00167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HYPERLINK("http://141.218.60.56/~jnz1568/getInfo.php?workbook=18_08.xlsx&amp;sheet=U0&amp;row=2710&amp;col=6&amp;number=3.6&amp;sourceID=14","3.6")</f>
        <v>3.6</v>
      </c>
      <c r="G2710" s="4" t="str">
        <f>HYPERLINK("http://141.218.60.56/~jnz1568/getInfo.php?workbook=18_08.xlsx&amp;sheet=U0&amp;row=2710&amp;col=7&amp;number=0.00167&amp;sourceID=14","0.00167")</f>
        <v>0.00167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HYPERLINK("http://141.218.60.56/~jnz1568/getInfo.php?workbook=18_08.xlsx&amp;sheet=U0&amp;row=2711&amp;col=6&amp;number=3.7&amp;sourceID=14","3.7")</f>
        <v>3.7</v>
      </c>
      <c r="G2711" s="4" t="str">
        <f>HYPERLINK("http://141.218.60.56/~jnz1568/getInfo.php?workbook=18_08.xlsx&amp;sheet=U0&amp;row=2711&amp;col=7&amp;number=0.00167&amp;sourceID=14","0.00167")</f>
        <v>0.00167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HYPERLINK("http://141.218.60.56/~jnz1568/getInfo.php?workbook=18_08.xlsx&amp;sheet=U0&amp;row=2712&amp;col=6&amp;number=3.8&amp;sourceID=14","3.8")</f>
        <v>3.8</v>
      </c>
      <c r="G2712" s="4" t="str">
        <f>HYPERLINK("http://141.218.60.56/~jnz1568/getInfo.php?workbook=18_08.xlsx&amp;sheet=U0&amp;row=2712&amp;col=7&amp;number=0.00167&amp;sourceID=14","0.00167")</f>
        <v>0.00167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HYPERLINK("http://141.218.60.56/~jnz1568/getInfo.php?workbook=18_08.xlsx&amp;sheet=U0&amp;row=2713&amp;col=6&amp;number=3.9&amp;sourceID=14","3.9")</f>
        <v>3.9</v>
      </c>
      <c r="G2713" s="4" t="str">
        <f>HYPERLINK("http://141.218.60.56/~jnz1568/getInfo.php?workbook=18_08.xlsx&amp;sheet=U0&amp;row=2713&amp;col=7&amp;number=0.00167&amp;sourceID=14","0.00167")</f>
        <v>0.00167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HYPERLINK("http://141.218.60.56/~jnz1568/getInfo.php?workbook=18_08.xlsx&amp;sheet=U0&amp;row=2714&amp;col=6&amp;number=4&amp;sourceID=14","4")</f>
        <v>4</v>
      </c>
      <c r="G2714" s="4" t="str">
        <f>HYPERLINK("http://141.218.60.56/~jnz1568/getInfo.php?workbook=18_08.xlsx&amp;sheet=U0&amp;row=2714&amp;col=7&amp;number=0.00167&amp;sourceID=14","0.00167")</f>
        <v>0.00167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HYPERLINK("http://141.218.60.56/~jnz1568/getInfo.php?workbook=18_08.xlsx&amp;sheet=U0&amp;row=2715&amp;col=6&amp;number=4.1&amp;sourceID=14","4.1")</f>
        <v>4.1</v>
      </c>
      <c r="G2715" s="4" t="str">
        <f>HYPERLINK("http://141.218.60.56/~jnz1568/getInfo.php?workbook=18_08.xlsx&amp;sheet=U0&amp;row=2715&amp;col=7&amp;number=0.00167&amp;sourceID=14","0.00167")</f>
        <v>0.00167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HYPERLINK("http://141.218.60.56/~jnz1568/getInfo.php?workbook=18_08.xlsx&amp;sheet=U0&amp;row=2716&amp;col=6&amp;number=4.2&amp;sourceID=14","4.2")</f>
        <v>4.2</v>
      </c>
      <c r="G2716" s="4" t="str">
        <f>HYPERLINK("http://141.218.60.56/~jnz1568/getInfo.php?workbook=18_08.xlsx&amp;sheet=U0&amp;row=2716&amp;col=7&amp;number=0.00167&amp;sourceID=14","0.00167")</f>
        <v>0.00167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HYPERLINK("http://141.218.60.56/~jnz1568/getInfo.php?workbook=18_08.xlsx&amp;sheet=U0&amp;row=2717&amp;col=6&amp;number=4.3&amp;sourceID=14","4.3")</f>
        <v>4.3</v>
      </c>
      <c r="G2717" s="4" t="str">
        <f>HYPERLINK("http://141.218.60.56/~jnz1568/getInfo.php?workbook=18_08.xlsx&amp;sheet=U0&amp;row=2717&amp;col=7&amp;number=0.00167&amp;sourceID=14","0.00167")</f>
        <v>0.00167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HYPERLINK("http://141.218.60.56/~jnz1568/getInfo.php?workbook=18_08.xlsx&amp;sheet=U0&amp;row=2718&amp;col=6&amp;number=4.4&amp;sourceID=14","4.4")</f>
        <v>4.4</v>
      </c>
      <c r="G2718" s="4" t="str">
        <f>HYPERLINK("http://141.218.60.56/~jnz1568/getInfo.php?workbook=18_08.xlsx&amp;sheet=U0&amp;row=2718&amp;col=7&amp;number=0.00167&amp;sourceID=14","0.00167")</f>
        <v>0.00167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HYPERLINK("http://141.218.60.56/~jnz1568/getInfo.php?workbook=18_08.xlsx&amp;sheet=U0&amp;row=2719&amp;col=6&amp;number=4.5&amp;sourceID=14","4.5")</f>
        <v>4.5</v>
      </c>
      <c r="G2719" s="4" t="str">
        <f>HYPERLINK("http://141.218.60.56/~jnz1568/getInfo.php?workbook=18_08.xlsx&amp;sheet=U0&amp;row=2719&amp;col=7&amp;number=0.00167&amp;sourceID=14","0.00167")</f>
        <v>0.00167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HYPERLINK("http://141.218.60.56/~jnz1568/getInfo.php?workbook=18_08.xlsx&amp;sheet=U0&amp;row=2720&amp;col=6&amp;number=4.6&amp;sourceID=14","4.6")</f>
        <v>4.6</v>
      </c>
      <c r="G2720" s="4" t="str">
        <f>HYPERLINK("http://141.218.60.56/~jnz1568/getInfo.php?workbook=18_08.xlsx&amp;sheet=U0&amp;row=2720&amp;col=7&amp;number=0.00166&amp;sourceID=14","0.00166")</f>
        <v>0.00166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HYPERLINK("http://141.218.60.56/~jnz1568/getInfo.php?workbook=18_08.xlsx&amp;sheet=U0&amp;row=2721&amp;col=6&amp;number=4.7&amp;sourceID=14","4.7")</f>
        <v>4.7</v>
      </c>
      <c r="G2721" s="4" t="str">
        <f>HYPERLINK("http://141.218.60.56/~jnz1568/getInfo.php?workbook=18_08.xlsx&amp;sheet=U0&amp;row=2721&amp;col=7&amp;number=0.00166&amp;sourceID=14","0.00166")</f>
        <v>0.00166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HYPERLINK("http://141.218.60.56/~jnz1568/getInfo.php?workbook=18_08.xlsx&amp;sheet=U0&amp;row=2722&amp;col=6&amp;number=4.8&amp;sourceID=14","4.8")</f>
        <v>4.8</v>
      </c>
      <c r="G2722" s="4" t="str">
        <f>HYPERLINK("http://141.218.60.56/~jnz1568/getInfo.php?workbook=18_08.xlsx&amp;sheet=U0&amp;row=2722&amp;col=7&amp;number=0.00166&amp;sourceID=14","0.00166")</f>
        <v>0.00166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HYPERLINK("http://141.218.60.56/~jnz1568/getInfo.php?workbook=18_08.xlsx&amp;sheet=U0&amp;row=2723&amp;col=6&amp;number=4.9&amp;sourceID=14","4.9")</f>
        <v>4.9</v>
      </c>
      <c r="G2723" s="4" t="str">
        <f>HYPERLINK("http://141.218.60.56/~jnz1568/getInfo.php?workbook=18_08.xlsx&amp;sheet=U0&amp;row=2723&amp;col=7&amp;number=0.00166&amp;sourceID=14","0.00166")</f>
        <v>0.00166</v>
      </c>
    </row>
    <row r="2724" spans="1:7">
      <c r="A2724" s="3">
        <v>18</v>
      </c>
      <c r="B2724" s="3">
        <v>8</v>
      </c>
      <c r="C2724" s="3" t="s">
        <v>58</v>
      </c>
      <c r="D2724" s="3">
        <v>4</v>
      </c>
      <c r="E2724" s="3">
        <v>1</v>
      </c>
      <c r="F2724" s="4" t="str">
        <f>HYPERLINK("http://141.218.60.56/~jnz1568/getInfo.php?workbook=18_08.xlsx&amp;sheet=U0&amp;row=2724&amp;col=6&amp;number=3&amp;sourceID=14","3")</f>
        <v>3</v>
      </c>
      <c r="G2724" s="4" t="str">
        <f>HYPERLINK("http://141.218.60.56/~jnz1568/getInfo.php?workbook=18_08.xlsx&amp;sheet=U0&amp;row=2724&amp;col=7&amp;number=0.0127&amp;sourceID=14","0.0127")</f>
        <v>0.0127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HYPERLINK("http://141.218.60.56/~jnz1568/getInfo.php?workbook=18_08.xlsx&amp;sheet=U0&amp;row=2725&amp;col=6&amp;number=3.1&amp;sourceID=14","3.1")</f>
        <v>3.1</v>
      </c>
      <c r="G2725" s="4" t="str">
        <f>HYPERLINK("http://141.218.60.56/~jnz1568/getInfo.php?workbook=18_08.xlsx&amp;sheet=U0&amp;row=2725&amp;col=7&amp;number=0.0127&amp;sourceID=14","0.0127")</f>
        <v>0.0127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HYPERLINK("http://141.218.60.56/~jnz1568/getInfo.php?workbook=18_08.xlsx&amp;sheet=U0&amp;row=2726&amp;col=6&amp;number=3.2&amp;sourceID=14","3.2")</f>
        <v>3.2</v>
      </c>
      <c r="G2726" s="4" t="str">
        <f>HYPERLINK("http://141.218.60.56/~jnz1568/getInfo.php?workbook=18_08.xlsx&amp;sheet=U0&amp;row=2726&amp;col=7&amp;number=0.0127&amp;sourceID=14","0.0127")</f>
        <v>0.0127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HYPERLINK("http://141.218.60.56/~jnz1568/getInfo.php?workbook=18_08.xlsx&amp;sheet=U0&amp;row=2727&amp;col=6&amp;number=3.3&amp;sourceID=14","3.3")</f>
        <v>3.3</v>
      </c>
      <c r="G2727" s="4" t="str">
        <f>HYPERLINK("http://141.218.60.56/~jnz1568/getInfo.php?workbook=18_08.xlsx&amp;sheet=U0&amp;row=2727&amp;col=7&amp;number=0.0127&amp;sourceID=14","0.0127")</f>
        <v>0.0127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HYPERLINK("http://141.218.60.56/~jnz1568/getInfo.php?workbook=18_08.xlsx&amp;sheet=U0&amp;row=2728&amp;col=6&amp;number=3.4&amp;sourceID=14","3.4")</f>
        <v>3.4</v>
      </c>
      <c r="G2728" s="4" t="str">
        <f>HYPERLINK("http://141.218.60.56/~jnz1568/getInfo.php?workbook=18_08.xlsx&amp;sheet=U0&amp;row=2728&amp;col=7&amp;number=0.0127&amp;sourceID=14","0.0127")</f>
        <v>0.0127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HYPERLINK("http://141.218.60.56/~jnz1568/getInfo.php?workbook=18_08.xlsx&amp;sheet=U0&amp;row=2729&amp;col=6&amp;number=3.5&amp;sourceID=14","3.5")</f>
        <v>3.5</v>
      </c>
      <c r="G2729" s="4" t="str">
        <f>HYPERLINK("http://141.218.60.56/~jnz1568/getInfo.php?workbook=18_08.xlsx&amp;sheet=U0&amp;row=2729&amp;col=7&amp;number=0.0127&amp;sourceID=14","0.0127")</f>
        <v>0.0127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HYPERLINK("http://141.218.60.56/~jnz1568/getInfo.php?workbook=18_08.xlsx&amp;sheet=U0&amp;row=2730&amp;col=6&amp;number=3.6&amp;sourceID=14","3.6")</f>
        <v>3.6</v>
      </c>
      <c r="G2730" s="4" t="str">
        <f>HYPERLINK("http://141.218.60.56/~jnz1568/getInfo.php?workbook=18_08.xlsx&amp;sheet=U0&amp;row=2730&amp;col=7&amp;number=0.0127&amp;sourceID=14","0.0127")</f>
        <v>0.0127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HYPERLINK("http://141.218.60.56/~jnz1568/getInfo.php?workbook=18_08.xlsx&amp;sheet=U0&amp;row=2731&amp;col=6&amp;number=3.7&amp;sourceID=14","3.7")</f>
        <v>3.7</v>
      </c>
      <c r="G2731" s="4" t="str">
        <f>HYPERLINK("http://141.218.60.56/~jnz1568/getInfo.php?workbook=18_08.xlsx&amp;sheet=U0&amp;row=2731&amp;col=7&amp;number=0.0127&amp;sourceID=14","0.0127")</f>
        <v>0.0127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HYPERLINK("http://141.218.60.56/~jnz1568/getInfo.php?workbook=18_08.xlsx&amp;sheet=U0&amp;row=2732&amp;col=6&amp;number=3.8&amp;sourceID=14","3.8")</f>
        <v>3.8</v>
      </c>
      <c r="G2732" s="4" t="str">
        <f>HYPERLINK("http://141.218.60.56/~jnz1568/getInfo.php?workbook=18_08.xlsx&amp;sheet=U0&amp;row=2732&amp;col=7&amp;number=0.0127&amp;sourceID=14","0.0127")</f>
        <v>0.0127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HYPERLINK("http://141.218.60.56/~jnz1568/getInfo.php?workbook=18_08.xlsx&amp;sheet=U0&amp;row=2733&amp;col=6&amp;number=3.9&amp;sourceID=14","3.9")</f>
        <v>3.9</v>
      </c>
      <c r="G2733" s="4" t="str">
        <f>HYPERLINK("http://141.218.60.56/~jnz1568/getInfo.php?workbook=18_08.xlsx&amp;sheet=U0&amp;row=2733&amp;col=7&amp;number=0.0127&amp;sourceID=14","0.0127")</f>
        <v>0.0127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HYPERLINK("http://141.218.60.56/~jnz1568/getInfo.php?workbook=18_08.xlsx&amp;sheet=U0&amp;row=2734&amp;col=6&amp;number=4&amp;sourceID=14","4")</f>
        <v>4</v>
      </c>
      <c r="G2734" s="4" t="str">
        <f>HYPERLINK("http://141.218.60.56/~jnz1568/getInfo.php?workbook=18_08.xlsx&amp;sheet=U0&amp;row=2734&amp;col=7&amp;number=0.0127&amp;sourceID=14","0.0127")</f>
        <v>0.0127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HYPERLINK("http://141.218.60.56/~jnz1568/getInfo.php?workbook=18_08.xlsx&amp;sheet=U0&amp;row=2735&amp;col=6&amp;number=4.1&amp;sourceID=14","4.1")</f>
        <v>4.1</v>
      </c>
      <c r="G2735" s="4" t="str">
        <f>HYPERLINK("http://141.218.60.56/~jnz1568/getInfo.php?workbook=18_08.xlsx&amp;sheet=U0&amp;row=2735&amp;col=7&amp;number=0.0127&amp;sourceID=14","0.0127")</f>
        <v>0.0127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HYPERLINK("http://141.218.60.56/~jnz1568/getInfo.php?workbook=18_08.xlsx&amp;sheet=U0&amp;row=2736&amp;col=6&amp;number=4.2&amp;sourceID=14","4.2")</f>
        <v>4.2</v>
      </c>
      <c r="G2736" s="4" t="str">
        <f>HYPERLINK("http://141.218.60.56/~jnz1568/getInfo.php?workbook=18_08.xlsx&amp;sheet=U0&amp;row=2736&amp;col=7&amp;number=0.0127&amp;sourceID=14","0.0127")</f>
        <v>0.0127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HYPERLINK("http://141.218.60.56/~jnz1568/getInfo.php?workbook=18_08.xlsx&amp;sheet=U0&amp;row=2737&amp;col=6&amp;number=4.3&amp;sourceID=14","4.3")</f>
        <v>4.3</v>
      </c>
      <c r="G2737" s="4" t="str">
        <f>HYPERLINK("http://141.218.60.56/~jnz1568/getInfo.php?workbook=18_08.xlsx&amp;sheet=U0&amp;row=2737&amp;col=7&amp;number=0.0127&amp;sourceID=14","0.0127")</f>
        <v>0.0127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HYPERLINK("http://141.218.60.56/~jnz1568/getInfo.php?workbook=18_08.xlsx&amp;sheet=U0&amp;row=2738&amp;col=6&amp;number=4.4&amp;sourceID=14","4.4")</f>
        <v>4.4</v>
      </c>
      <c r="G2738" s="4" t="str">
        <f>HYPERLINK("http://141.218.60.56/~jnz1568/getInfo.php?workbook=18_08.xlsx&amp;sheet=U0&amp;row=2738&amp;col=7&amp;number=0.0127&amp;sourceID=14","0.0127")</f>
        <v>0.0127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HYPERLINK("http://141.218.60.56/~jnz1568/getInfo.php?workbook=18_08.xlsx&amp;sheet=U0&amp;row=2739&amp;col=6&amp;number=4.5&amp;sourceID=14","4.5")</f>
        <v>4.5</v>
      </c>
      <c r="G2739" s="4" t="str">
        <f>HYPERLINK("http://141.218.60.56/~jnz1568/getInfo.php?workbook=18_08.xlsx&amp;sheet=U0&amp;row=2739&amp;col=7&amp;number=0.0127&amp;sourceID=14","0.0127")</f>
        <v>0.0127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HYPERLINK("http://141.218.60.56/~jnz1568/getInfo.php?workbook=18_08.xlsx&amp;sheet=U0&amp;row=2740&amp;col=6&amp;number=4.6&amp;sourceID=14","4.6")</f>
        <v>4.6</v>
      </c>
      <c r="G2740" s="4" t="str">
        <f>HYPERLINK("http://141.218.60.56/~jnz1568/getInfo.php?workbook=18_08.xlsx&amp;sheet=U0&amp;row=2740&amp;col=7&amp;number=0.0127&amp;sourceID=14","0.0127")</f>
        <v>0.0127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HYPERLINK("http://141.218.60.56/~jnz1568/getInfo.php?workbook=18_08.xlsx&amp;sheet=U0&amp;row=2741&amp;col=6&amp;number=4.7&amp;sourceID=14","4.7")</f>
        <v>4.7</v>
      </c>
      <c r="G2741" s="4" t="str">
        <f>HYPERLINK("http://141.218.60.56/~jnz1568/getInfo.php?workbook=18_08.xlsx&amp;sheet=U0&amp;row=2741&amp;col=7&amp;number=0.0127&amp;sourceID=14","0.0127")</f>
        <v>0.0127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HYPERLINK("http://141.218.60.56/~jnz1568/getInfo.php?workbook=18_08.xlsx&amp;sheet=U0&amp;row=2742&amp;col=6&amp;number=4.8&amp;sourceID=14","4.8")</f>
        <v>4.8</v>
      </c>
      <c r="G2742" s="4" t="str">
        <f>HYPERLINK("http://141.218.60.56/~jnz1568/getInfo.php?workbook=18_08.xlsx&amp;sheet=U0&amp;row=2742&amp;col=7&amp;number=0.0127&amp;sourceID=14","0.0127")</f>
        <v>0.0127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HYPERLINK("http://141.218.60.56/~jnz1568/getInfo.php?workbook=18_08.xlsx&amp;sheet=U0&amp;row=2743&amp;col=6&amp;number=4.9&amp;sourceID=14","4.9")</f>
        <v>4.9</v>
      </c>
      <c r="G2743" s="4" t="str">
        <f>HYPERLINK("http://141.218.60.56/~jnz1568/getInfo.php?workbook=18_08.xlsx&amp;sheet=U0&amp;row=2743&amp;col=7&amp;number=0.0126&amp;sourceID=14","0.0126")</f>
        <v>0.0126</v>
      </c>
    </row>
    <row r="2744" spans="1:7">
      <c r="A2744" s="3">
        <v>18</v>
      </c>
      <c r="B2744" s="3">
        <v>8</v>
      </c>
      <c r="C2744" s="3" t="s">
        <v>58</v>
      </c>
      <c r="D2744" s="3">
        <v>5</v>
      </c>
      <c r="E2744" s="3">
        <v>1</v>
      </c>
      <c r="F2744" s="4" t="str">
        <f>HYPERLINK("http://141.218.60.56/~jnz1568/getInfo.php?workbook=18_08.xlsx&amp;sheet=U0&amp;row=2744&amp;col=6&amp;number=3&amp;sourceID=14","3")</f>
        <v>3</v>
      </c>
      <c r="G2744" s="4" t="str">
        <f>HYPERLINK("http://141.218.60.56/~jnz1568/getInfo.php?workbook=18_08.xlsx&amp;sheet=U0&amp;row=2744&amp;col=7&amp;number=0.00512&amp;sourceID=14","0.00512")</f>
        <v>0.00512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HYPERLINK("http://141.218.60.56/~jnz1568/getInfo.php?workbook=18_08.xlsx&amp;sheet=U0&amp;row=2745&amp;col=6&amp;number=3.1&amp;sourceID=14","3.1")</f>
        <v>3.1</v>
      </c>
      <c r="G2745" s="4" t="str">
        <f>HYPERLINK("http://141.218.60.56/~jnz1568/getInfo.php?workbook=18_08.xlsx&amp;sheet=U0&amp;row=2745&amp;col=7&amp;number=0.00512&amp;sourceID=14","0.00512")</f>
        <v>0.00512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HYPERLINK("http://141.218.60.56/~jnz1568/getInfo.php?workbook=18_08.xlsx&amp;sheet=U0&amp;row=2746&amp;col=6&amp;number=3.2&amp;sourceID=14","3.2")</f>
        <v>3.2</v>
      </c>
      <c r="G2746" s="4" t="str">
        <f>HYPERLINK("http://141.218.60.56/~jnz1568/getInfo.php?workbook=18_08.xlsx&amp;sheet=U0&amp;row=2746&amp;col=7&amp;number=0.00512&amp;sourceID=14","0.00512")</f>
        <v>0.00512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HYPERLINK("http://141.218.60.56/~jnz1568/getInfo.php?workbook=18_08.xlsx&amp;sheet=U0&amp;row=2747&amp;col=6&amp;number=3.3&amp;sourceID=14","3.3")</f>
        <v>3.3</v>
      </c>
      <c r="G2747" s="4" t="str">
        <f>HYPERLINK("http://141.218.60.56/~jnz1568/getInfo.php?workbook=18_08.xlsx&amp;sheet=U0&amp;row=2747&amp;col=7&amp;number=0.00512&amp;sourceID=14","0.00512")</f>
        <v>0.00512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HYPERLINK("http://141.218.60.56/~jnz1568/getInfo.php?workbook=18_08.xlsx&amp;sheet=U0&amp;row=2748&amp;col=6&amp;number=3.4&amp;sourceID=14","3.4")</f>
        <v>3.4</v>
      </c>
      <c r="G2748" s="4" t="str">
        <f>HYPERLINK("http://141.218.60.56/~jnz1568/getInfo.php?workbook=18_08.xlsx&amp;sheet=U0&amp;row=2748&amp;col=7&amp;number=0.00512&amp;sourceID=14","0.00512")</f>
        <v>0.00512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HYPERLINK("http://141.218.60.56/~jnz1568/getInfo.php?workbook=18_08.xlsx&amp;sheet=U0&amp;row=2749&amp;col=6&amp;number=3.5&amp;sourceID=14","3.5")</f>
        <v>3.5</v>
      </c>
      <c r="G2749" s="4" t="str">
        <f>HYPERLINK("http://141.218.60.56/~jnz1568/getInfo.php?workbook=18_08.xlsx&amp;sheet=U0&amp;row=2749&amp;col=7&amp;number=0.00511&amp;sourceID=14","0.00511")</f>
        <v>0.00511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HYPERLINK("http://141.218.60.56/~jnz1568/getInfo.php?workbook=18_08.xlsx&amp;sheet=U0&amp;row=2750&amp;col=6&amp;number=3.6&amp;sourceID=14","3.6")</f>
        <v>3.6</v>
      </c>
      <c r="G2750" s="4" t="str">
        <f>HYPERLINK("http://141.218.60.56/~jnz1568/getInfo.php?workbook=18_08.xlsx&amp;sheet=U0&amp;row=2750&amp;col=7&amp;number=0.00511&amp;sourceID=14","0.00511")</f>
        <v>0.00511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HYPERLINK("http://141.218.60.56/~jnz1568/getInfo.php?workbook=18_08.xlsx&amp;sheet=U0&amp;row=2751&amp;col=6&amp;number=3.7&amp;sourceID=14","3.7")</f>
        <v>3.7</v>
      </c>
      <c r="G2751" s="4" t="str">
        <f>HYPERLINK("http://141.218.60.56/~jnz1568/getInfo.php?workbook=18_08.xlsx&amp;sheet=U0&amp;row=2751&amp;col=7&amp;number=0.00511&amp;sourceID=14","0.00511")</f>
        <v>0.00511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HYPERLINK("http://141.218.60.56/~jnz1568/getInfo.php?workbook=18_08.xlsx&amp;sheet=U0&amp;row=2752&amp;col=6&amp;number=3.8&amp;sourceID=14","3.8")</f>
        <v>3.8</v>
      </c>
      <c r="G2752" s="4" t="str">
        <f>HYPERLINK("http://141.218.60.56/~jnz1568/getInfo.php?workbook=18_08.xlsx&amp;sheet=U0&amp;row=2752&amp;col=7&amp;number=0.00511&amp;sourceID=14","0.00511")</f>
        <v>0.00511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HYPERLINK("http://141.218.60.56/~jnz1568/getInfo.php?workbook=18_08.xlsx&amp;sheet=U0&amp;row=2753&amp;col=6&amp;number=3.9&amp;sourceID=14","3.9")</f>
        <v>3.9</v>
      </c>
      <c r="G2753" s="4" t="str">
        <f>HYPERLINK("http://141.218.60.56/~jnz1568/getInfo.php?workbook=18_08.xlsx&amp;sheet=U0&amp;row=2753&amp;col=7&amp;number=0.00511&amp;sourceID=14","0.00511")</f>
        <v>0.00511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HYPERLINK("http://141.218.60.56/~jnz1568/getInfo.php?workbook=18_08.xlsx&amp;sheet=U0&amp;row=2754&amp;col=6&amp;number=4&amp;sourceID=14","4")</f>
        <v>4</v>
      </c>
      <c r="G2754" s="4" t="str">
        <f>HYPERLINK("http://141.218.60.56/~jnz1568/getInfo.php?workbook=18_08.xlsx&amp;sheet=U0&amp;row=2754&amp;col=7&amp;number=0.00511&amp;sourceID=14","0.00511")</f>
        <v>0.00511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HYPERLINK("http://141.218.60.56/~jnz1568/getInfo.php?workbook=18_08.xlsx&amp;sheet=U0&amp;row=2755&amp;col=6&amp;number=4.1&amp;sourceID=14","4.1")</f>
        <v>4.1</v>
      </c>
      <c r="G2755" s="4" t="str">
        <f>HYPERLINK("http://141.218.60.56/~jnz1568/getInfo.php?workbook=18_08.xlsx&amp;sheet=U0&amp;row=2755&amp;col=7&amp;number=0.0051&amp;sourceID=14","0.0051")</f>
        <v>0.0051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HYPERLINK("http://141.218.60.56/~jnz1568/getInfo.php?workbook=18_08.xlsx&amp;sheet=U0&amp;row=2756&amp;col=6&amp;number=4.2&amp;sourceID=14","4.2")</f>
        <v>4.2</v>
      </c>
      <c r="G2756" s="4" t="str">
        <f>HYPERLINK("http://141.218.60.56/~jnz1568/getInfo.php?workbook=18_08.xlsx&amp;sheet=U0&amp;row=2756&amp;col=7&amp;number=0.0051&amp;sourceID=14","0.0051")</f>
        <v>0.0051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HYPERLINK("http://141.218.60.56/~jnz1568/getInfo.php?workbook=18_08.xlsx&amp;sheet=U0&amp;row=2757&amp;col=6&amp;number=4.3&amp;sourceID=14","4.3")</f>
        <v>4.3</v>
      </c>
      <c r="G2757" s="4" t="str">
        <f>HYPERLINK("http://141.218.60.56/~jnz1568/getInfo.php?workbook=18_08.xlsx&amp;sheet=U0&amp;row=2757&amp;col=7&amp;number=0.0051&amp;sourceID=14","0.0051")</f>
        <v>0.0051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HYPERLINK("http://141.218.60.56/~jnz1568/getInfo.php?workbook=18_08.xlsx&amp;sheet=U0&amp;row=2758&amp;col=6&amp;number=4.4&amp;sourceID=14","4.4")</f>
        <v>4.4</v>
      </c>
      <c r="G2758" s="4" t="str">
        <f>HYPERLINK("http://141.218.60.56/~jnz1568/getInfo.php?workbook=18_08.xlsx&amp;sheet=U0&amp;row=2758&amp;col=7&amp;number=0.00509&amp;sourceID=14","0.00509")</f>
        <v>0.00509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HYPERLINK("http://141.218.60.56/~jnz1568/getInfo.php?workbook=18_08.xlsx&amp;sheet=U0&amp;row=2759&amp;col=6&amp;number=4.5&amp;sourceID=14","4.5")</f>
        <v>4.5</v>
      </c>
      <c r="G2759" s="4" t="str">
        <f>HYPERLINK("http://141.218.60.56/~jnz1568/getInfo.php?workbook=18_08.xlsx&amp;sheet=U0&amp;row=2759&amp;col=7&amp;number=0.00508&amp;sourceID=14","0.00508")</f>
        <v>0.00508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HYPERLINK("http://141.218.60.56/~jnz1568/getInfo.php?workbook=18_08.xlsx&amp;sheet=U0&amp;row=2760&amp;col=6&amp;number=4.6&amp;sourceID=14","4.6")</f>
        <v>4.6</v>
      </c>
      <c r="G2760" s="4" t="str">
        <f>HYPERLINK("http://141.218.60.56/~jnz1568/getInfo.php?workbook=18_08.xlsx&amp;sheet=U0&amp;row=2760&amp;col=7&amp;number=0.00507&amp;sourceID=14","0.00507")</f>
        <v>0.00507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HYPERLINK("http://141.218.60.56/~jnz1568/getInfo.php?workbook=18_08.xlsx&amp;sheet=U0&amp;row=2761&amp;col=6&amp;number=4.7&amp;sourceID=14","4.7")</f>
        <v>4.7</v>
      </c>
      <c r="G2761" s="4" t="str">
        <f>HYPERLINK("http://141.218.60.56/~jnz1568/getInfo.php?workbook=18_08.xlsx&amp;sheet=U0&amp;row=2761&amp;col=7&amp;number=0.00506&amp;sourceID=14","0.00506")</f>
        <v>0.00506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HYPERLINK("http://141.218.60.56/~jnz1568/getInfo.php?workbook=18_08.xlsx&amp;sheet=U0&amp;row=2762&amp;col=6&amp;number=4.8&amp;sourceID=14","4.8")</f>
        <v>4.8</v>
      </c>
      <c r="G2762" s="4" t="str">
        <f>HYPERLINK("http://141.218.60.56/~jnz1568/getInfo.php?workbook=18_08.xlsx&amp;sheet=U0&amp;row=2762&amp;col=7&amp;number=0.00505&amp;sourceID=14","0.00505")</f>
        <v>0.00505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HYPERLINK("http://141.218.60.56/~jnz1568/getInfo.php?workbook=18_08.xlsx&amp;sheet=U0&amp;row=2763&amp;col=6&amp;number=4.9&amp;sourceID=14","4.9")</f>
        <v>4.9</v>
      </c>
      <c r="G2763" s="4" t="str">
        <f>HYPERLINK("http://141.218.60.56/~jnz1568/getInfo.php?workbook=18_08.xlsx&amp;sheet=U0&amp;row=2763&amp;col=7&amp;number=0.00503&amp;sourceID=14","0.00503")</f>
        <v>0.00503</v>
      </c>
    </row>
    <row r="2764" spans="1:7">
      <c r="A2764" s="3">
        <v>18</v>
      </c>
      <c r="B2764" s="3">
        <v>8</v>
      </c>
      <c r="C2764" s="3" t="s">
        <v>58</v>
      </c>
      <c r="D2764" s="3">
        <v>6</v>
      </c>
      <c r="E2764" s="3">
        <v>1</v>
      </c>
      <c r="F2764" s="4" t="str">
        <f>HYPERLINK("http://141.218.60.56/~jnz1568/getInfo.php?workbook=18_08.xlsx&amp;sheet=U0&amp;row=2764&amp;col=6&amp;number=3&amp;sourceID=14","3")</f>
        <v>3</v>
      </c>
      <c r="G2764" s="4" t="str">
        <f>HYPERLINK("http://141.218.60.56/~jnz1568/getInfo.php?workbook=18_08.xlsx&amp;sheet=U0&amp;row=2764&amp;col=7&amp;number=0.00542&amp;sourceID=14","0.00542")</f>
        <v>0.00542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HYPERLINK("http://141.218.60.56/~jnz1568/getInfo.php?workbook=18_08.xlsx&amp;sheet=U0&amp;row=2765&amp;col=6&amp;number=3.1&amp;sourceID=14","3.1")</f>
        <v>3.1</v>
      </c>
      <c r="G2765" s="4" t="str">
        <f>HYPERLINK("http://141.218.60.56/~jnz1568/getInfo.php?workbook=18_08.xlsx&amp;sheet=U0&amp;row=2765&amp;col=7&amp;number=0.00542&amp;sourceID=14","0.00542")</f>
        <v>0.00542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HYPERLINK("http://141.218.60.56/~jnz1568/getInfo.php?workbook=18_08.xlsx&amp;sheet=U0&amp;row=2766&amp;col=6&amp;number=3.2&amp;sourceID=14","3.2")</f>
        <v>3.2</v>
      </c>
      <c r="G2766" s="4" t="str">
        <f>HYPERLINK("http://141.218.60.56/~jnz1568/getInfo.php?workbook=18_08.xlsx&amp;sheet=U0&amp;row=2766&amp;col=7&amp;number=0.00542&amp;sourceID=14","0.00542")</f>
        <v>0.00542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HYPERLINK("http://141.218.60.56/~jnz1568/getInfo.php?workbook=18_08.xlsx&amp;sheet=U0&amp;row=2767&amp;col=6&amp;number=3.3&amp;sourceID=14","3.3")</f>
        <v>3.3</v>
      </c>
      <c r="G2767" s="4" t="str">
        <f>HYPERLINK("http://141.218.60.56/~jnz1568/getInfo.php?workbook=18_08.xlsx&amp;sheet=U0&amp;row=2767&amp;col=7&amp;number=0.00542&amp;sourceID=14","0.00542")</f>
        <v>0.00542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HYPERLINK("http://141.218.60.56/~jnz1568/getInfo.php?workbook=18_08.xlsx&amp;sheet=U0&amp;row=2768&amp;col=6&amp;number=3.4&amp;sourceID=14","3.4")</f>
        <v>3.4</v>
      </c>
      <c r="G2768" s="4" t="str">
        <f>HYPERLINK("http://141.218.60.56/~jnz1568/getInfo.php?workbook=18_08.xlsx&amp;sheet=U0&amp;row=2768&amp;col=7&amp;number=0.00542&amp;sourceID=14","0.00542")</f>
        <v>0.00542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HYPERLINK("http://141.218.60.56/~jnz1568/getInfo.php?workbook=18_08.xlsx&amp;sheet=U0&amp;row=2769&amp;col=6&amp;number=3.5&amp;sourceID=14","3.5")</f>
        <v>3.5</v>
      </c>
      <c r="G2769" s="4" t="str">
        <f>HYPERLINK("http://141.218.60.56/~jnz1568/getInfo.php?workbook=18_08.xlsx&amp;sheet=U0&amp;row=2769&amp;col=7&amp;number=0.00542&amp;sourceID=14","0.00542")</f>
        <v>0.00542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HYPERLINK("http://141.218.60.56/~jnz1568/getInfo.php?workbook=18_08.xlsx&amp;sheet=U0&amp;row=2770&amp;col=6&amp;number=3.6&amp;sourceID=14","3.6")</f>
        <v>3.6</v>
      </c>
      <c r="G2770" s="4" t="str">
        <f>HYPERLINK("http://141.218.60.56/~jnz1568/getInfo.php?workbook=18_08.xlsx&amp;sheet=U0&amp;row=2770&amp;col=7&amp;number=0.00542&amp;sourceID=14","0.00542")</f>
        <v>0.00542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HYPERLINK("http://141.218.60.56/~jnz1568/getInfo.php?workbook=18_08.xlsx&amp;sheet=U0&amp;row=2771&amp;col=6&amp;number=3.7&amp;sourceID=14","3.7")</f>
        <v>3.7</v>
      </c>
      <c r="G2771" s="4" t="str">
        <f>HYPERLINK("http://141.218.60.56/~jnz1568/getInfo.php?workbook=18_08.xlsx&amp;sheet=U0&amp;row=2771&amp;col=7&amp;number=0.00542&amp;sourceID=14","0.00542")</f>
        <v>0.00542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HYPERLINK("http://141.218.60.56/~jnz1568/getInfo.php?workbook=18_08.xlsx&amp;sheet=U0&amp;row=2772&amp;col=6&amp;number=3.8&amp;sourceID=14","3.8")</f>
        <v>3.8</v>
      </c>
      <c r="G2772" s="4" t="str">
        <f>HYPERLINK("http://141.218.60.56/~jnz1568/getInfo.php?workbook=18_08.xlsx&amp;sheet=U0&amp;row=2772&amp;col=7&amp;number=0.00541&amp;sourceID=14","0.00541")</f>
        <v>0.00541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HYPERLINK("http://141.218.60.56/~jnz1568/getInfo.php?workbook=18_08.xlsx&amp;sheet=U0&amp;row=2773&amp;col=6&amp;number=3.9&amp;sourceID=14","3.9")</f>
        <v>3.9</v>
      </c>
      <c r="G2773" s="4" t="str">
        <f>HYPERLINK("http://141.218.60.56/~jnz1568/getInfo.php?workbook=18_08.xlsx&amp;sheet=U0&amp;row=2773&amp;col=7&amp;number=0.00541&amp;sourceID=14","0.00541")</f>
        <v>0.00541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HYPERLINK("http://141.218.60.56/~jnz1568/getInfo.php?workbook=18_08.xlsx&amp;sheet=U0&amp;row=2774&amp;col=6&amp;number=4&amp;sourceID=14","4")</f>
        <v>4</v>
      </c>
      <c r="G2774" s="4" t="str">
        <f>HYPERLINK("http://141.218.60.56/~jnz1568/getInfo.php?workbook=18_08.xlsx&amp;sheet=U0&amp;row=2774&amp;col=7&amp;number=0.00541&amp;sourceID=14","0.00541")</f>
        <v>0.00541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HYPERLINK("http://141.218.60.56/~jnz1568/getInfo.php?workbook=18_08.xlsx&amp;sheet=U0&amp;row=2775&amp;col=6&amp;number=4.1&amp;sourceID=14","4.1")</f>
        <v>4.1</v>
      </c>
      <c r="G2775" s="4" t="str">
        <f>HYPERLINK("http://141.218.60.56/~jnz1568/getInfo.php?workbook=18_08.xlsx&amp;sheet=U0&amp;row=2775&amp;col=7&amp;number=0.00541&amp;sourceID=14","0.00541")</f>
        <v>0.00541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HYPERLINK("http://141.218.60.56/~jnz1568/getInfo.php?workbook=18_08.xlsx&amp;sheet=U0&amp;row=2776&amp;col=6&amp;number=4.2&amp;sourceID=14","4.2")</f>
        <v>4.2</v>
      </c>
      <c r="G2776" s="4" t="str">
        <f>HYPERLINK("http://141.218.60.56/~jnz1568/getInfo.php?workbook=18_08.xlsx&amp;sheet=U0&amp;row=2776&amp;col=7&amp;number=0.00541&amp;sourceID=14","0.00541")</f>
        <v>0.00541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HYPERLINK("http://141.218.60.56/~jnz1568/getInfo.php?workbook=18_08.xlsx&amp;sheet=U0&amp;row=2777&amp;col=6&amp;number=4.3&amp;sourceID=14","4.3")</f>
        <v>4.3</v>
      </c>
      <c r="G2777" s="4" t="str">
        <f>HYPERLINK("http://141.218.60.56/~jnz1568/getInfo.php?workbook=18_08.xlsx&amp;sheet=U0&amp;row=2777&amp;col=7&amp;number=0.00541&amp;sourceID=14","0.00541")</f>
        <v>0.00541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HYPERLINK("http://141.218.60.56/~jnz1568/getInfo.php?workbook=18_08.xlsx&amp;sheet=U0&amp;row=2778&amp;col=6&amp;number=4.4&amp;sourceID=14","4.4")</f>
        <v>4.4</v>
      </c>
      <c r="G2778" s="4" t="str">
        <f>HYPERLINK("http://141.218.60.56/~jnz1568/getInfo.php?workbook=18_08.xlsx&amp;sheet=U0&amp;row=2778&amp;col=7&amp;number=0.00541&amp;sourceID=14","0.00541")</f>
        <v>0.00541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HYPERLINK("http://141.218.60.56/~jnz1568/getInfo.php?workbook=18_08.xlsx&amp;sheet=U0&amp;row=2779&amp;col=6&amp;number=4.5&amp;sourceID=14","4.5")</f>
        <v>4.5</v>
      </c>
      <c r="G2779" s="4" t="str">
        <f>HYPERLINK("http://141.218.60.56/~jnz1568/getInfo.php?workbook=18_08.xlsx&amp;sheet=U0&amp;row=2779&amp;col=7&amp;number=0.0054&amp;sourceID=14","0.0054")</f>
        <v>0.0054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HYPERLINK("http://141.218.60.56/~jnz1568/getInfo.php?workbook=18_08.xlsx&amp;sheet=U0&amp;row=2780&amp;col=6&amp;number=4.6&amp;sourceID=14","4.6")</f>
        <v>4.6</v>
      </c>
      <c r="G2780" s="4" t="str">
        <f>HYPERLINK("http://141.218.60.56/~jnz1568/getInfo.php?workbook=18_08.xlsx&amp;sheet=U0&amp;row=2780&amp;col=7&amp;number=0.0054&amp;sourceID=14","0.0054")</f>
        <v>0.0054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HYPERLINK("http://141.218.60.56/~jnz1568/getInfo.php?workbook=18_08.xlsx&amp;sheet=U0&amp;row=2781&amp;col=6&amp;number=4.7&amp;sourceID=14","4.7")</f>
        <v>4.7</v>
      </c>
      <c r="G2781" s="4" t="str">
        <f>HYPERLINK("http://141.218.60.56/~jnz1568/getInfo.php?workbook=18_08.xlsx&amp;sheet=U0&amp;row=2781&amp;col=7&amp;number=0.00539&amp;sourceID=14","0.00539")</f>
        <v>0.00539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HYPERLINK("http://141.218.60.56/~jnz1568/getInfo.php?workbook=18_08.xlsx&amp;sheet=U0&amp;row=2782&amp;col=6&amp;number=4.8&amp;sourceID=14","4.8")</f>
        <v>4.8</v>
      </c>
      <c r="G2782" s="4" t="str">
        <f>HYPERLINK("http://141.218.60.56/~jnz1568/getInfo.php?workbook=18_08.xlsx&amp;sheet=U0&amp;row=2782&amp;col=7&amp;number=0.00539&amp;sourceID=14","0.00539")</f>
        <v>0.00539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HYPERLINK("http://141.218.60.56/~jnz1568/getInfo.php?workbook=18_08.xlsx&amp;sheet=U0&amp;row=2783&amp;col=6&amp;number=4.9&amp;sourceID=14","4.9")</f>
        <v>4.9</v>
      </c>
      <c r="G2783" s="4" t="str">
        <f>HYPERLINK("http://141.218.60.56/~jnz1568/getInfo.php?workbook=18_08.xlsx&amp;sheet=U0&amp;row=2783&amp;col=7&amp;number=0.00538&amp;sourceID=14","0.00538")</f>
        <v>0.00538</v>
      </c>
    </row>
    <row r="2784" spans="1:7">
      <c r="A2784" s="3">
        <v>18</v>
      </c>
      <c r="B2784" s="3">
        <v>8</v>
      </c>
      <c r="C2784" s="3" t="s">
        <v>58</v>
      </c>
      <c r="D2784" s="3">
        <v>7</v>
      </c>
      <c r="E2784" s="3">
        <v>1</v>
      </c>
      <c r="F2784" s="4" t="str">
        <f>HYPERLINK("http://141.218.60.56/~jnz1568/getInfo.php?workbook=18_08.xlsx&amp;sheet=U0&amp;row=2784&amp;col=6&amp;number=3&amp;sourceID=14","3")</f>
        <v>3</v>
      </c>
      <c r="G2784" s="4" t="str">
        <f>HYPERLINK("http://141.218.60.56/~jnz1568/getInfo.php?workbook=18_08.xlsx&amp;sheet=U0&amp;row=2784&amp;col=7&amp;number=0.00509&amp;sourceID=14","0.00509")</f>
        <v>0.00509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HYPERLINK("http://141.218.60.56/~jnz1568/getInfo.php?workbook=18_08.xlsx&amp;sheet=U0&amp;row=2785&amp;col=6&amp;number=3.1&amp;sourceID=14","3.1")</f>
        <v>3.1</v>
      </c>
      <c r="G2785" s="4" t="str">
        <f>HYPERLINK("http://141.218.60.56/~jnz1568/getInfo.php?workbook=18_08.xlsx&amp;sheet=U0&amp;row=2785&amp;col=7&amp;number=0.00509&amp;sourceID=14","0.00509")</f>
        <v>0.00509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HYPERLINK("http://141.218.60.56/~jnz1568/getInfo.php?workbook=18_08.xlsx&amp;sheet=U0&amp;row=2786&amp;col=6&amp;number=3.2&amp;sourceID=14","3.2")</f>
        <v>3.2</v>
      </c>
      <c r="G2786" s="4" t="str">
        <f>HYPERLINK("http://141.218.60.56/~jnz1568/getInfo.php?workbook=18_08.xlsx&amp;sheet=U0&amp;row=2786&amp;col=7&amp;number=0.00509&amp;sourceID=14","0.00509")</f>
        <v>0.00509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HYPERLINK("http://141.218.60.56/~jnz1568/getInfo.php?workbook=18_08.xlsx&amp;sheet=U0&amp;row=2787&amp;col=6&amp;number=3.3&amp;sourceID=14","3.3")</f>
        <v>3.3</v>
      </c>
      <c r="G2787" s="4" t="str">
        <f>HYPERLINK("http://141.218.60.56/~jnz1568/getInfo.php?workbook=18_08.xlsx&amp;sheet=U0&amp;row=2787&amp;col=7&amp;number=0.00509&amp;sourceID=14","0.00509")</f>
        <v>0.00509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HYPERLINK("http://141.218.60.56/~jnz1568/getInfo.php?workbook=18_08.xlsx&amp;sheet=U0&amp;row=2788&amp;col=6&amp;number=3.4&amp;sourceID=14","3.4")</f>
        <v>3.4</v>
      </c>
      <c r="G2788" s="4" t="str">
        <f>HYPERLINK("http://141.218.60.56/~jnz1568/getInfo.php?workbook=18_08.xlsx&amp;sheet=U0&amp;row=2788&amp;col=7&amp;number=0.00509&amp;sourceID=14","0.00509")</f>
        <v>0.00509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HYPERLINK("http://141.218.60.56/~jnz1568/getInfo.php?workbook=18_08.xlsx&amp;sheet=U0&amp;row=2789&amp;col=6&amp;number=3.5&amp;sourceID=14","3.5")</f>
        <v>3.5</v>
      </c>
      <c r="G2789" s="4" t="str">
        <f>HYPERLINK("http://141.218.60.56/~jnz1568/getInfo.php?workbook=18_08.xlsx&amp;sheet=U0&amp;row=2789&amp;col=7&amp;number=0.00509&amp;sourceID=14","0.00509")</f>
        <v>0.00509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HYPERLINK("http://141.218.60.56/~jnz1568/getInfo.php?workbook=18_08.xlsx&amp;sheet=U0&amp;row=2790&amp;col=6&amp;number=3.6&amp;sourceID=14","3.6")</f>
        <v>3.6</v>
      </c>
      <c r="G2790" s="4" t="str">
        <f>HYPERLINK("http://141.218.60.56/~jnz1568/getInfo.php?workbook=18_08.xlsx&amp;sheet=U0&amp;row=2790&amp;col=7&amp;number=0.00509&amp;sourceID=14","0.00509")</f>
        <v>0.00509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HYPERLINK("http://141.218.60.56/~jnz1568/getInfo.php?workbook=18_08.xlsx&amp;sheet=U0&amp;row=2791&amp;col=6&amp;number=3.7&amp;sourceID=14","3.7")</f>
        <v>3.7</v>
      </c>
      <c r="G2791" s="4" t="str">
        <f>HYPERLINK("http://141.218.60.56/~jnz1568/getInfo.php?workbook=18_08.xlsx&amp;sheet=U0&amp;row=2791&amp;col=7&amp;number=0.00509&amp;sourceID=14","0.00509")</f>
        <v>0.00509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HYPERLINK("http://141.218.60.56/~jnz1568/getInfo.php?workbook=18_08.xlsx&amp;sheet=U0&amp;row=2792&amp;col=6&amp;number=3.8&amp;sourceID=14","3.8")</f>
        <v>3.8</v>
      </c>
      <c r="G2792" s="4" t="str">
        <f>HYPERLINK("http://141.218.60.56/~jnz1568/getInfo.php?workbook=18_08.xlsx&amp;sheet=U0&amp;row=2792&amp;col=7&amp;number=0.00508&amp;sourceID=14","0.00508")</f>
        <v>0.00508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HYPERLINK("http://141.218.60.56/~jnz1568/getInfo.php?workbook=18_08.xlsx&amp;sheet=U0&amp;row=2793&amp;col=6&amp;number=3.9&amp;sourceID=14","3.9")</f>
        <v>3.9</v>
      </c>
      <c r="G2793" s="4" t="str">
        <f>HYPERLINK("http://141.218.60.56/~jnz1568/getInfo.php?workbook=18_08.xlsx&amp;sheet=U0&amp;row=2793&amp;col=7&amp;number=0.00508&amp;sourceID=14","0.00508")</f>
        <v>0.00508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HYPERLINK("http://141.218.60.56/~jnz1568/getInfo.php?workbook=18_08.xlsx&amp;sheet=U0&amp;row=2794&amp;col=6&amp;number=4&amp;sourceID=14","4")</f>
        <v>4</v>
      </c>
      <c r="G2794" s="4" t="str">
        <f>HYPERLINK("http://141.218.60.56/~jnz1568/getInfo.php?workbook=18_08.xlsx&amp;sheet=U0&amp;row=2794&amp;col=7&amp;number=0.00508&amp;sourceID=14","0.00508")</f>
        <v>0.00508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HYPERLINK("http://141.218.60.56/~jnz1568/getInfo.php?workbook=18_08.xlsx&amp;sheet=U0&amp;row=2795&amp;col=6&amp;number=4.1&amp;sourceID=14","4.1")</f>
        <v>4.1</v>
      </c>
      <c r="G2795" s="4" t="str">
        <f>HYPERLINK("http://141.218.60.56/~jnz1568/getInfo.php?workbook=18_08.xlsx&amp;sheet=U0&amp;row=2795&amp;col=7&amp;number=0.00508&amp;sourceID=14","0.00508")</f>
        <v>0.00508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HYPERLINK("http://141.218.60.56/~jnz1568/getInfo.php?workbook=18_08.xlsx&amp;sheet=U0&amp;row=2796&amp;col=6&amp;number=4.2&amp;sourceID=14","4.2")</f>
        <v>4.2</v>
      </c>
      <c r="G2796" s="4" t="str">
        <f>HYPERLINK("http://141.218.60.56/~jnz1568/getInfo.php?workbook=18_08.xlsx&amp;sheet=U0&amp;row=2796&amp;col=7&amp;number=0.00508&amp;sourceID=14","0.00508")</f>
        <v>0.00508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HYPERLINK("http://141.218.60.56/~jnz1568/getInfo.php?workbook=18_08.xlsx&amp;sheet=U0&amp;row=2797&amp;col=6&amp;number=4.3&amp;sourceID=14","4.3")</f>
        <v>4.3</v>
      </c>
      <c r="G2797" s="4" t="str">
        <f>HYPERLINK("http://141.218.60.56/~jnz1568/getInfo.php?workbook=18_08.xlsx&amp;sheet=U0&amp;row=2797&amp;col=7&amp;number=0.00507&amp;sourceID=14","0.00507")</f>
        <v>0.00507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HYPERLINK("http://141.218.60.56/~jnz1568/getInfo.php?workbook=18_08.xlsx&amp;sheet=U0&amp;row=2798&amp;col=6&amp;number=4.4&amp;sourceID=14","4.4")</f>
        <v>4.4</v>
      </c>
      <c r="G2798" s="4" t="str">
        <f>HYPERLINK("http://141.218.60.56/~jnz1568/getInfo.php?workbook=18_08.xlsx&amp;sheet=U0&amp;row=2798&amp;col=7&amp;number=0.00507&amp;sourceID=14","0.00507")</f>
        <v>0.00507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HYPERLINK("http://141.218.60.56/~jnz1568/getInfo.php?workbook=18_08.xlsx&amp;sheet=U0&amp;row=2799&amp;col=6&amp;number=4.5&amp;sourceID=14","4.5")</f>
        <v>4.5</v>
      </c>
      <c r="G2799" s="4" t="str">
        <f>HYPERLINK("http://141.218.60.56/~jnz1568/getInfo.php?workbook=18_08.xlsx&amp;sheet=U0&amp;row=2799&amp;col=7&amp;number=0.00506&amp;sourceID=14","0.00506")</f>
        <v>0.00506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HYPERLINK("http://141.218.60.56/~jnz1568/getInfo.php?workbook=18_08.xlsx&amp;sheet=U0&amp;row=2800&amp;col=6&amp;number=4.6&amp;sourceID=14","4.6")</f>
        <v>4.6</v>
      </c>
      <c r="G2800" s="4" t="str">
        <f>HYPERLINK("http://141.218.60.56/~jnz1568/getInfo.php?workbook=18_08.xlsx&amp;sheet=U0&amp;row=2800&amp;col=7&amp;number=0.00505&amp;sourceID=14","0.00505")</f>
        <v>0.00505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HYPERLINK("http://141.218.60.56/~jnz1568/getInfo.php?workbook=18_08.xlsx&amp;sheet=U0&amp;row=2801&amp;col=6&amp;number=4.7&amp;sourceID=14","4.7")</f>
        <v>4.7</v>
      </c>
      <c r="G2801" s="4" t="str">
        <f>HYPERLINK("http://141.218.60.56/~jnz1568/getInfo.php?workbook=18_08.xlsx&amp;sheet=U0&amp;row=2801&amp;col=7&amp;number=0.00504&amp;sourceID=14","0.00504")</f>
        <v>0.00504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HYPERLINK("http://141.218.60.56/~jnz1568/getInfo.php?workbook=18_08.xlsx&amp;sheet=U0&amp;row=2802&amp;col=6&amp;number=4.8&amp;sourceID=14","4.8")</f>
        <v>4.8</v>
      </c>
      <c r="G2802" s="4" t="str">
        <f>HYPERLINK("http://141.218.60.56/~jnz1568/getInfo.php?workbook=18_08.xlsx&amp;sheet=U0&amp;row=2802&amp;col=7&amp;number=0.00503&amp;sourceID=14","0.00503")</f>
        <v>0.00503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HYPERLINK("http://141.218.60.56/~jnz1568/getInfo.php?workbook=18_08.xlsx&amp;sheet=U0&amp;row=2803&amp;col=6&amp;number=4.9&amp;sourceID=14","4.9")</f>
        <v>4.9</v>
      </c>
      <c r="G2803" s="4" t="str">
        <f>HYPERLINK("http://141.218.60.56/~jnz1568/getInfo.php?workbook=18_08.xlsx&amp;sheet=U0&amp;row=2803&amp;col=7&amp;number=0.00501&amp;sourceID=14","0.00501")</f>
        <v>0.00501</v>
      </c>
    </row>
    <row r="2804" spans="1:7">
      <c r="A2804" s="3">
        <v>18</v>
      </c>
      <c r="B2804" s="3">
        <v>8</v>
      </c>
      <c r="C2804" s="3" t="s">
        <v>58</v>
      </c>
      <c r="D2804" s="3">
        <v>8</v>
      </c>
      <c r="E2804" s="3">
        <v>1</v>
      </c>
      <c r="F2804" s="4" t="str">
        <f>HYPERLINK("http://141.218.60.56/~jnz1568/getInfo.php?workbook=18_08.xlsx&amp;sheet=U0&amp;row=2804&amp;col=6&amp;number=3&amp;sourceID=14","3")</f>
        <v>3</v>
      </c>
      <c r="G2804" s="4" t="str">
        <f>HYPERLINK("http://141.218.60.56/~jnz1568/getInfo.php?workbook=18_08.xlsx&amp;sheet=U0&amp;row=2804&amp;col=7&amp;number=0.00238&amp;sourceID=14","0.00238")</f>
        <v>0.00238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HYPERLINK("http://141.218.60.56/~jnz1568/getInfo.php?workbook=18_08.xlsx&amp;sheet=U0&amp;row=2805&amp;col=6&amp;number=3.1&amp;sourceID=14","3.1")</f>
        <v>3.1</v>
      </c>
      <c r="G2805" s="4" t="str">
        <f>HYPERLINK("http://141.218.60.56/~jnz1568/getInfo.php?workbook=18_08.xlsx&amp;sheet=U0&amp;row=2805&amp;col=7&amp;number=0.00238&amp;sourceID=14","0.00238")</f>
        <v>0.00238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HYPERLINK("http://141.218.60.56/~jnz1568/getInfo.php?workbook=18_08.xlsx&amp;sheet=U0&amp;row=2806&amp;col=6&amp;number=3.2&amp;sourceID=14","3.2")</f>
        <v>3.2</v>
      </c>
      <c r="G2806" s="4" t="str">
        <f>HYPERLINK("http://141.218.60.56/~jnz1568/getInfo.php?workbook=18_08.xlsx&amp;sheet=U0&amp;row=2806&amp;col=7&amp;number=0.00238&amp;sourceID=14","0.00238")</f>
        <v>0.00238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HYPERLINK("http://141.218.60.56/~jnz1568/getInfo.php?workbook=18_08.xlsx&amp;sheet=U0&amp;row=2807&amp;col=6&amp;number=3.3&amp;sourceID=14","3.3")</f>
        <v>3.3</v>
      </c>
      <c r="G2807" s="4" t="str">
        <f>HYPERLINK("http://141.218.60.56/~jnz1568/getInfo.php?workbook=18_08.xlsx&amp;sheet=U0&amp;row=2807&amp;col=7&amp;number=0.00238&amp;sourceID=14","0.00238")</f>
        <v>0.00238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HYPERLINK("http://141.218.60.56/~jnz1568/getInfo.php?workbook=18_08.xlsx&amp;sheet=U0&amp;row=2808&amp;col=6&amp;number=3.4&amp;sourceID=14","3.4")</f>
        <v>3.4</v>
      </c>
      <c r="G2808" s="4" t="str">
        <f>HYPERLINK("http://141.218.60.56/~jnz1568/getInfo.php?workbook=18_08.xlsx&amp;sheet=U0&amp;row=2808&amp;col=7&amp;number=0.00238&amp;sourceID=14","0.00238")</f>
        <v>0.00238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HYPERLINK("http://141.218.60.56/~jnz1568/getInfo.php?workbook=18_08.xlsx&amp;sheet=U0&amp;row=2809&amp;col=6&amp;number=3.5&amp;sourceID=14","3.5")</f>
        <v>3.5</v>
      </c>
      <c r="G2809" s="4" t="str">
        <f>HYPERLINK("http://141.218.60.56/~jnz1568/getInfo.php?workbook=18_08.xlsx&amp;sheet=U0&amp;row=2809&amp;col=7&amp;number=0.00238&amp;sourceID=14","0.00238")</f>
        <v>0.00238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HYPERLINK("http://141.218.60.56/~jnz1568/getInfo.php?workbook=18_08.xlsx&amp;sheet=U0&amp;row=2810&amp;col=6&amp;number=3.6&amp;sourceID=14","3.6")</f>
        <v>3.6</v>
      </c>
      <c r="G2810" s="4" t="str">
        <f>HYPERLINK("http://141.218.60.56/~jnz1568/getInfo.php?workbook=18_08.xlsx&amp;sheet=U0&amp;row=2810&amp;col=7&amp;number=0.00238&amp;sourceID=14","0.00238")</f>
        <v>0.00238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HYPERLINK("http://141.218.60.56/~jnz1568/getInfo.php?workbook=18_08.xlsx&amp;sheet=U0&amp;row=2811&amp;col=6&amp;number=3.7&amp;sourceID=14","3.7")</f>
        <v>3.7</v>
      </c>
      <c r="G2811" s="4" t="str">
        <f>HYPERLINK("http://141.218.60.56/~jnz1568/getInfo.php?workbook=18_08.xlsx&amp;sheet=U0&amp;row=2811&amp;col=7&amp;number=0.00238&amp;sourceID=14","0.00238")</f>
        <v>0.00238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HYPERLINK("http://141.218.60.56/~jnz1568/getInfo.php?workbook=18_08.xlsx&amp;sheet=U0&amp;row=2812&amp;col=6&amp;number=3.8&amp;sourceID=14","3.8")</f>
        <v>3.8</v>
      </c>
      <c r="G2812" s="4" t="str">
        <f>HYPERLINK("http://141.218.60.56/~jnz1568/getInfo.php?workbook=18_08.xlsx&amp;sheet=U0&amp;row=2812&amp;col=7&amp;number=0.00238&amp;sourceID=14","0.00238")</f>
        <v>0.00238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HYPERLINK("http://141.218.60.56/~jnz1568/getInfo.php?workbook=18_08.xlsx&amp;sheet=U0&amp;row=2813&amp;col=6&amp;number=3.9&amp;sourceID=14","3.9")</f>
        <v>3.9</v>
      </c>
      <c r="G2813" s="4" t="str">
        <f>HYPERLINK("http://141.218.60.56/~jnz1568/getInfo.php?workbook=18_08.xlsx&amp;sheet=U0&amp;row=2813&amp;col=7&amp;number=0.00238&amp;sourceID=14","0.00238")</f>
        <v>0.00238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HYPERLINK("http://141.218.60.56/~jnz1568/getInfo.php?workbook=18_08.xlsx&amp;sheet=U0&amp;row=2814&amp;col=6&amp;number=4&amp;sourceID=14","4")</f>
        <v>4</v>
      </c>
      <c r="G2814" s="4" t="str">
        <f>HYPERLINK("http://141.218.60.56/~jnz1568/getInfo.php?workbook=18_08.xlsx&amp;sheet=U0&amp;row=2814&amp;col=7&amp;number=0.00238&amp;sourceID=14","0.00238")</f>
        <v>0.00238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HYPERLINK("http://141.218.60.56/~jnz1568/getInfo.php?workbook=18_08.xlsx&amp;sheet=U0&amp;row=2815&amp;col=6&amp;number=4.1&amp;sourceID=14","4.1")</f>
        <v>4.1</v>
      </c>
      <c r="G2815" s="4" t="str">
        <f>HYPERLINK("http://141.218.60.56/~jnz1568/getInfo.php?workbook=18_08.xlsx&amp;sheet=U0&amp;row=2815&amp;col=7&amp;number=0.00238&amp;sourceID=14","0.00238")</f>
        <v>0.00238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HYPERLINK("http://141.218.60.56/~jnz1568/getInfo.php?workbook=18_08.xlsx&amp;sheet=U0&amp;row=2816&amp;col=6&amp;number=4.2&amp;sourceID=14","4.2")</f>
        <v>4.2</v>
      </c>
      <c r="G2816" s="4" t="str">
        <f>HYPERLINK("http://141.218.60.56/~jnz1568/getInfo.php?workbook=18_08.xlsx&amp;sheet=U0&amp;row=2816&amp;col=7&amp;number=0.00238&amp;sourceID=14","0.00238")</f>
        <v>0.00238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HYPERLINK("http://141.218.60.56/~jnz1568/getInfo.php?workbook=18_08.xlsx&amp;sheet=U0&amp;row=2817&amp;col=6&amp;number=4.3&amp;sourceID=14","4.3")</f>
        <v>4.3</v>
      </c>
      <c r="G2817" s="4" t="str">
        <f>HYPERLINK("http://141.218.60.56/~jnz1568/getInfo.php?workbook=18_08.xlsx&amp;sheet=U0&amp;row=2817&amp;col=7&amp;number=0.00238&amp;sourceID=14","0.00238")</f>
        <v>0.00238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HYPERLINK("http://141.218.60.56/~jnz1568/getInfo.php?workbook=18_08.xlsx&amp;sheet=U0&amp;row=2818&amp;col=6&amp;number=4.4&amp;sourceID=14","4.4")</f>
        <v>4.4</v>
      </c>
      <c r="G2818" s="4" t="str">
        <f>HYPERLINK("http://141.218.60.56/~jnz1568/getInfo.php?workbook=18_08.xlsx&amp;sheet=U0&amp;row=2818&amp;col=7&amp;number=0.00237&amp;sourceID=14","0.00237")</f>
        <v>0.00237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HYPERLINK("http://141.218.60.56/~jnz1568/getInfo.php?workbook=18_08.xlsx&amp;sheet=U0&amp;row=2819&amp;col=6&amp;number=4.5&amp;sourceID=14","4.5")</f>
        <v>4.5</v>
      </c>
      <c r="G2819" s="4" t="str">
        <f>HYPERLINK("http://141.218.60.56/~jnz1568/getInfo.php?workbook=18_08.xlsx&amp;sheet=U0&amp;row=2819&amp;col=7&amp;number=0.00237&amp;sourceID=14","0.00237")</f>
        <v>0.00237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HYPERLINK("http://141.218.60.56/~jnz1568/getInfo.php?workbook=18_08.xlsx&amp;sheet=U0&amp;row=2820&amp;col=6&amp;number=4.6&amp;sourceID=14","4.6")</f>
        <v>4.6</v>
      </c>
      <c r="G2820" s="4" t="str">
        <f>HYPERLINK("http://141.218.60.56/~jnz1568/getInfo.php?workbook=18_08.xlsx&amp;sheet=U0&amp;row=2820&amp;col=7&amp;number=0.00237&amp;sourceID=14","0.00237")</f>
        <v>0.00237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HYPERLINK("http://141.218.60.56/~jnz1568/getInfo.php?workbook=18_08.xlsx&amp;sheet=U0&amp;row=2821&amp;col=6&amp;number=4.7&amp;sourceID=14","4.7")</f>
        <v>4.7</v>
      </c>
      <c r="G2821" s="4" t="str">
        <f>HYPERLINK("http://141.218.60.56/~jnz1568/getInfo.php?workbook=18_08.xlsx&amp;sheet=U0&amp;row=2821&amp;col=7&amp;number=0.00236&amp;sourceID=14","0.00236")</f>
        <v>0.00236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HYPERLINK("http://141.218.60.56/~jnz1568/getInfo.php?workbook=18_08.xlsx&amp;sheet=U0&amp;row=2822&amp;col=6&amp;number=4.8&amp;sourceID=14","4.8")</f>
        <v>4.8</v>
      </c>
      <c r="G2822" s="4" t="str">
        <f>HYPERLINK("http://141.218.60.56/~jnz1568/getInfo.php?workbook=18_08.xlsx&amp;sheet=U0&amp;row=2822&amp;col=7&amp;number=0.00236&amp;sourceID=14","0.00236")</f>
        <v>0.00236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HYPERLINK("http://141.218.60.56/~jnz1568/getInfo.php?workbook=18_08.xlsx&amp;sheet=U0&amp;row=2823&amp;col=6&amp;number=4.9&amp;sourceID=14","4.9")</f>
        <v>4.9</v>
      </c>
      <c r="G2823" s="4" t="str">
        <f>HYPERLINK("http://141.218.60.56/~jnz1568/getInfo.php?workbook=18_08.xlsx&amp;sheet=U0&amp;row=2823&amp;col=7&amp;number=0.00235&amp;sourceID=14","0.00235")</f>
        <v>0.00235</v>
      </c>
    </row>
    <row r="2824" spans="1:7">
      <c r="A2824" s="3">
        <v>18</v>
      </c>
      <c r="B2824" s="3">
        <v>8</v>
      </c>
      <c r="C2824" s="3" t="s">
        <v>58</v>
      </c>
      <c r="D2824" s="3">
        <v>9</v>
      </c>
      <c r="E2824" s="3">
        <v>1</v>
      </c>
      <c r="F2824" s="4" t="str">
        <f>HYPERLINK("http://141.218.60.56/~jnz1568/getInfo.php?workbook=18_08.xlsx&amp;sheet=U0&amp;row=2824&amp;col=6&amp;number=3&amp;sourceID=14","3")</f>
        <v>3</v>
      </c>
      <c r="G2824" s="4" t="str">
        <f>HYPERLINK("http://141.218.60.56/~jnz1568/getInfo.php?workbook=18_08.xlsx&amp;sheet=U0&amp;row=2824&amp;col=7&amp;number=0.00379&amp;sourceID=14","0.00379")</f>
        <v>0.00379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HYPERLINK("http://141.218.60.56/~jnz1568/getInfo.php?workbook=18_08.xlsx&amp;sheet=U0&amp;row=2825&amp;col=6&amp;number=3.1&amp;sourceID=14","3.1")</f>
        <v>3.1</v>
      </c>
      <c r="G2825" s="4" t="str">
        <f>HYPERLINK("http://141.218.60.56/~jnz1568/getInfo.php?workbook=18_08.xlsx&amp;sheet=U0&amp;row=2825&amp;col=7&amp;number=0.00378&amp;sourceID=14","0.00378")</f>
        <v>0.00378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HYPERLINK("http://141.218.60.56/~jnz1568/getInfo.php?workbook=18_08.xlsx&amp;sheet=U0&amp;row=2826&amp;col=6&amp;number=3.2&amp;sourceID=14","3.2")</f>
        <v>3.2</v>
      </c>
      <c r="G2826" s="4" t="str">
        <f>HYPERLINK("http://141.218.60.56/~jnz1568/getInfo.php?workbook=18_08.xlsx&amp;sheet=U0&amp;row=2826&amp;col=7&amp;number=0.00378&amp;sourceID=14","0.00378")</f>
        <v>0.00378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HYPERLINK("http://141.218.60.56/~jnz1568/getInfo.php?workbook=18_08.xlsx&amp;sheet=U0&amp;row=2827&amp;col=6&amp;number=3.3&amp;sourceID=14","3.3")</f>
        <v>3.3</v>
      </c>
      <c r="G2827" s="4" t="str">
        <f>HYPERLINK("http://141.218.60.56/~jnz1568/getInfo.php?workbook=18_08.xlsx&amp;sheet=U0&amp;row=2827&amp;col=7&amp;number=0.00378&amp;sourceID=14","0.00378")</f>
        <v>0.00378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HYPERLINK("http://141.218.60.56/~jnz1568/getInfo.php?workbook=18_08.xlsx&amp;sheet=U0&amp;row=2828&amp;col=6&amp;number=3.4&amp;sourceID=14","3.4")</f>
        <v>3.4</v>
      </c>
      <c r="G2828" s="4" t="str">
        <f>HYPERLINK("http://141.218.60.56/~jnz1568/getInfo.php?workbook=18_08.xlsx&amp;sheet=U0&amp;row=2828&amp;col=7&amp;number=0.00378&amp;sourceID=14","0.00378")</f>
        <v>0.00378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HYPERLINK("http://141.218.60.56/~jnz1568/getInfo.php?workbook=18_08.xlsx&amp;sheet=U0&amp;row=2829&amp;col=6&amp;number=3.5&amp;sourceID=14","3.5")</f>
        <v>3.5</v>
      </c>
      <c r="G2829" s="4" t="str">
        <f>HYPERLINK("http://141.218.60.56/~jnz1568/getInfo.php?workbook=18_08.xlsx&amp;sheet=U0&amp;row=2829&amp;col=7&amp;number=0.00378&amp;sourceID=14","0.00378")</f>
        <v>0.00378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HYPERLINK("http://141.218.60.56/~jnz1568/getInfo.php?workbook=18_08.xlsx&amp;sheet=U0&amp;row=2830&amp;col=6&amp;number=3.6&amp;sourceID=14","3.6")</f>
        <v>3.6</v>
      </c>
      <c r="G2830" s="4" t="str">
        <f>HYPERLINK("http://141.218.60.56/~jnz1568/getInfo.php?workbook=18_08.xlsx&amp;sheet=U0&amp;row=2830&amp;col=7&amp;number=0.00378&amp;sourceID=14","0.00378")</f>
        <v>0.00378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HYPERLINK("http://141.218.60.56/~jnz1568/getInfo.php?workbook=18_08.xlsx&amp;sheet=U0&amp;row=2831&amp;col=6&amp;number=3.7&amp;sourceID=14","3.7")</f>
        <v>3.7</v>
      </c>
      <c r="G2831" s="4" t="str">
        <f>HYPERLINK("http://141.218.60.56/~jnz1568/getInfo.php?workbook=18_08.xlsx&amp;sheet=U0&amp;row=2831&amp;col=7&amp;number=0.00378&amp;sourceID=14","0.00378")</f>
        <v>0.00378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HYPERLINK("http://141.218.60.56/~jnz1568/getInfo.php?workbook=18_08.xlsx&amp;sheet=U0&amp;row=2832&amp;col=6&amp;number=3.8&amp;sourceID=14","3.8")</f>
        <v>3.8</v>
      </c>
      <c r="G2832" s="4" t="str">
        <f>HYPERLINK("http://141.218.60.56/~jnz1568/getInfo.php?workbook=18_08.xlsx&amp;sheet=U0&amp;row=2832&amp;col=7&amp;number=0.00378&amp;sourceID=14","0.00378")</f>
        <v>0.00378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HYPERLINK("http://141.218.60.56/~jnz1568/getInfo.php?workbook=18_08.xlsx&amp;sheet=U0&amp;row=2833&amp;col=6&amp;number=3.9&amp;sourceID=14","3.9")</f>
        <v>3.9</v>
      </c>
      <c r="G2833" s="4" t="str">
        <f>HYPERLINK("http://141.218.60.56/~jnz1568/getInfo.php?workbook=18_08.xlsx&amp;sheet=U0&amp;row=2833&amp;col=7&amp;number=0.00378&amp;sourceID=14","0.00378")</f>
        <v>0.00378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HYPERLINK("http://141.218.60.56/~jnz1568/getInfo.php?workbook=18_08.xlsx&amp;sheet=U0&amp;row=2834&amp;col=6&amp;number=4&amp;sourceID=14","4")</f>
        <v>4</v>
      </c>
      <c r="G2834" s="4" t="str">
        <f>HYPERLINK("http://141.218.60.56/~jnz1568/getInfo.php?workbook=18_08.xlsx&amp;sheet=U0&amp;row=2834&amp;col=7&amp;number=0.00378&amp;sourceID=14","0.00378")</f>
        <v>0.00378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HYPERLINK("http://141.218.60.56/~jnz1568/getInfo.php?workbook=18_08.xlsx&amp;sheet=U0&amp;row=2835&amp;col=6&amp;number=4.1&amp;sourceID=14","4.1")</f>
        <v>4.1</v>
      </c>
      <c r="G2835" s="4" t="str">
        <f>HYPERLINK("http://141.218.60.56/~jnz1568/getInfo.php?workbook=18_08.xlsx&amp;sheet=U0&amp;row=2835&amp;col=7&amp;number=0.00378&amp;sourceID=14","0.00378")</f>
        <v>0.00378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HYPERLINK("http://141.218.60.56/~jnz1568/getInfo.php?workbook=18_08.xlsx&amp;sheet=U0&amp;row=2836&amp;col=6&amp;number=4.2&amp;sourceID=14","4.2")</f>
        <v>4.2</v>
      </c>
      <c r="G2836" s="4" t="str">
        <f>HYPERLINK("http://141.218.60.56/~jnz1568/getInfo.php?workbook=18_08.xlsx&amp;sheet=U0&amp;row=2836&amp;col=7&amp;number=0.00377&amp;sourceID=14","0.00377")</f>
        <v>0.00377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HYPERLINK("http://141.218.60.56/~jnz1568/getInfo.php?workbook=18_08.xlsx&amp;sheet=U0&amp;row=2837&amp;col=6&amp;number=4.3&amp;sourceID=14","4.3")</f>
        <v>4.3</v>
      </c>
      <c r="G2837" s="4" t="str">
        <f>HYPERLINK("http://141.218.60.56/~jnz1568/getInfo.php?workbook=18_08.xlsx&amp;sheet=U0&amp;row=2837&amp;col=7&amp;number=0.00377&amp;sourceID=14","0.00377")</f>
        <v>0.00377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HYPERLINK("http://141.218.60.56/~jnz1568/getInfo.php?workbook=18_08.xlsx&amp;sheet=U0&amp;row=2838&amp;col=6&amp;number=4.4&amp;sourceID=14","4.4")</f>
        <v>4.4</v>
      </c>
      <c r="G2838" s="4" t="str">
        <f>HYPERLINK("http://141.218.60.56/~jnz1568/getInfo.php?workbook=18_08.xlsx&amp;sheet=U0&amp;row=2838&amp;col=7&amp;number=0.00377&amp;sourceID=14","0.00377")</f>
        <v>0.00377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HYPERLINK("http://141.218.60.56/~jnz1568/getInfo.php?workbook=18_08.xlsx&amp;sheet=U0&amp;row=2839&amp;col=6&amp;number=4.5&amp;sourceID=14","4.5")</f>
        <v>4.5</v>
      </c>
      <c r="G2839" s="4" t="str">
        <f>HYPERLINK("http://141.218.60.56/~jnz1568/getInfo.php?workbook=18_08.xlsx&amp;sheet=U0&amp;row=2839&amp;col=7&amp;number=0.00376&amp;sourceID=14","0.00376")</f>
        <v>0.00376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HYPERLINK("http://141.218.60.56/~jnz1568/getInfo.php?workbook=18_08.xlsx&amp;sheet=U0&amp;row=2840&amp;col=6&amp;number=4.6&amp;sourceID=14","4.6")</f>
        <v>4.6</v>
      </c>
      <c r="G2840" s="4" t="str">
        <f>HYPERLINK("http://141.218.60.56/~jnz1568/getInfo.php?workbook=18_08.xlsx&amp;sheet=U0&amp;row=2840&amp;col=7&amp;number=0.00375&amp;sourceID=14","0.00375")</f>
        <v>0.00375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HYPERLINK("http://141.218.60.56/~jnz1568/getInfo.php?workbook=18_08.xlsx&amp;sheet=U0&amp;row=2841&amp;col=6&amp;number=4.7&amp;sourceID=14","4.7")</f>
        <v>4.7</v>
      </c>
      <c r="G2841" s="4" t="str">
        <f>HYPERLINK("http://141.218.60.56/~jnz1568/getInfo.php?workbook=18_08.xlsx&amp;sheet=U0&amp;row=2841&amp;col=7&amp;number=0.00375&amp;sourceID=14","0.00375")</f>
        <v>0.00375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HYPERLINK("http://141.218.60.56/~jnz1568/getInfo.php?workbook=18_08.xlsx&amp;sheet=U0&amp;row=2842&amp;col=6&amp;number=4.8&amp;sourceID=14","4.8")</f>
        <v>4.8</v>
      </c>
      <c r="G2842" s="4" t="str">
        <f>HYPERLINK("http://141.218.60.56/~jnz1568/getInfo.php?workbook=18_08.xlsx&amp;sheet=U0&amp;row=2842&amp;col=7&amp;number=0.00374&amp;sourceID=14","0.00374")</f>
        <v>0.00374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HYPERLINK("http://141.218.60.56/~jnz1568/getInfo.php?workbook=18_08.xlsx&amp;sheet=U0&amp;row=2843&amp;col=6&amp;number=4.9&amp;sourceID=14","4.9")</f>
        <v>4.9</v>
      </c>
      <c r="G2843" s="4" t="str">
        <f>HYPERLINK("http://141.218.60.56/~jnz1568/getInfo.php?workbook=18_08.xlsx&amp;sheet=U0&amp;row=2843&amp;col=7&amp;number=0.00372&amp;sourceID=14","0.00372")</f>
        <v>0.00372</v>
      </c>
    </row>
    <row r="2844" spans="1:7">
      <c r="A2844" s="3">
        <v>18</v>
      </c>
      <c r="B2844" s="3">
        <v>8</v>
      </c>
      <c r="C2844" s="3" t="s">
        <v>59</v>
      </c>
      <c r="D2844" s="3">
        <v>0</v>
      </c>
      <c r="E2844" s="3">
        <v>1</v>
      </c>
      <c r="F2844" s="4" t="str">
        <f>HYPERLINK("http://141.218.60.56/~jnz1568/getInfo.php?workbook=18_08.xlsx&amp;sheet=U0&amp;row=2844&amp;col=6&amp;number=3&amp;sourceID=14","3")</f>
        <v>3</v>
      </c>
      <c r="G2844" s="4" t="str">
        <f>HYPERLINK("http://141.218.60.56/~jnz1568/getInfo.php?workbook=18_08.xlsx&amp;sheet=U0&amp;row=2844&amp;col=7&amp;number=0.00938&amp;sourceID=14","0.00938")</f>
        <v>0.00938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HYPERLINK("http://141.218.60.56/~jnz1568/getInfo.php?workbook=18_08.xlsx&amp;sheet=U0&amp;row=2845&amp;col=6&amp;number=3.1&amp;sourceID=14","3.1")</f>
        <v>3.1</v>
      </c>
      <c r="G2845" s="4" t="str">
        <f>HYPERLINK("http://141.218.60.56/~jnz1568/getInfo.php?workbook=18_08.xlsx&amp;sheet=U0&amp;row=2845&amp;col=7&amp;number=0.00938&amp;sourceID=14","0.00938")</f>
        <v>0.00938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HYPERLINK("http://141.218.60.56/~jnz1568/getInfo.php?workbook=18_08.xlsx&amp;sheet=U0&amp;row=2846&amp;col=6&amp;number=3.2&amp;sourceID=14","3.2")</f>
        <v>3.2</v>
      </c>
      <c r="G2846" s="4" t="str">
        <f>HYPERLINK("http://141.218.60.56/~jnz1568/getInfo.php?workbook=18_08.xlsx&amp;sheet=U0&amp;row=2846&amp;col=7&amp;number=0.00938&amp;sourceID=14","0.00938")</f>
        <v>0.00938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HYPERLINK("http://141.218.60.56/~jnz1568/getInfo.php?workbook=18_08.xlsx&amp;sheet=U0&amp;row=2847&amp;col=6&amp;number=3.3&amp;sourceID=14","3.3")</f>
        <v>3.3</v>
      </c>
      <c r="G2847" s="4" t="str">
        <f>HYPERLINK("http://141.218.60.56/~jnz1568/getInfo.php?workbook=18_08.xlsx&amp;sheet=U0&amp;row=2847&amp;col=7&amp;number=0.00938&amp;sourceID=14","0.00938")</f>
        <v>0.00938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HYPERLINK("http://141.218.60.56/~jnz1568/getInfo.php?workbook=18_08.xlsx&amp;sheet=U0&amp;row=2848&amp;col=6&amp;number=3.4&amp;sourceID=14","3.4")</f>
        <v>3.4</v>
      </c>
      <c r="G2848" s="4" t="str">
        <f>HYPERLINK("http://141.218.60.56/~jnz1568/getInfo.php?workbook=18_08.xlsx&amp;sheet=U0&amp;row=2848&amp;col=7&amp;number=0.00938&amp;sourceID=14","0.00938")</f>
        <v>0.00938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HYPERLINK("http://141.218.60.56/~jnz1568/getInfo.php?workbook=18_08.xlsx&amp;sheet=U0&amp;row=2849&amp;col=6&amp;number=3.5&amp;sourceID=14","3.5")</f>
        <v>3.5</v>
      </c>
      <c r="G2849" s="4" t="str">
        <f>HYPERLINK("http://141.218.60.56/~jnz1568/getInfo.php?workbook=18_08.xlsx&amp;sheet=U0&amp;row=2849&amp;col=7&amp;number=0.00938&amp;sourceID=14","0.00938")</f>
        <v>0.00938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HYPERLINK("http://141.218.60.56/~jnz1568/getInfo.php?workbook=18_08.xlsx&amp;sheet=U0&amp;row=2850&amp;col=6&amp;number=3.6&amp;sourceID=14","3.6")</f>
        <v>3.6</v>
      </c>
      <c r="G2850" s="4" t="str">
        <f>HYPERLINK("http://141.218.60.56/~jnz1568/getInfo.php?workbook=18_08.xlsx&amp;sheet=U0&amp;row=2850&amp;col=7&amp;number=0.00938&amp;sourceID=14","0.00938")</f>
        <v>0.00938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HYPERLINK("http://141.218.60.56/~jnz1568/getInfo.php?workbook=18_08.xlsx&amp;sheet=U0&amp;row=2851&amp;col=6&amp;number=3.7&amp;sourceID=14","3.7")</f>
        <v>3.7</v>
      </c>
      <c r="G2851" s="4" t="str">
        <f>HYPERLINK("http://141.218.60.56/~jnz1568/getInfo.php?workbook=18_08.xlsx&amp;sheet=U0&amp;row=2851&amp;col=7&amp;number=0.00938&amp;sourceID=14","0.00938")</f>
        <v>0.00938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HYPERLINK("http://141.218.60.56/~jnz1568/getInfo.php?workbook=18_08.xlsx&amp;sheet=U0&amp;row=2852&amp;col=6&amp;number=3.8&amp;sourceID=14","3.8")</f>
        <v>3.8</v>
      </c>
      <c r="G2852" s="4" t="str">
        <f>HYPERLINK("http://141.218.60.56/~jnz1568/getInfo.php?workbook=18_08.xlsx&amp;sheet=U0&amp;row=2852&amp;col=7&amp;number=0.00938&amp;sourceID=14","0.00938")</f>
        <v>0.00938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HYPERLINK("http://141.218.60.56/~jnz1568/getInfo.php?workbook=18_08.xlsx&amp;sheet=U0&amp;row=2853&amp;col=6&amp;number=3.9&amp;sourceID=14","3.9")</f>
        <v>3.9</v>
      </c>
      <c r="G2853" s="4" t="str">
        <f>HYPERLINK("http://141.218.60.56/~jnz1568/getInfo.php?workbook=18_08.xlsx&amp;sheet=U0&amp;row=2853&amp;col=7&amp;number=0.00937&amp;sourceID=14","0.00937")</f>
        <v>0.00937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HYPERLINK("http://141.218.60.56/~jnz1568/getInfo.php?workbook=18_08.xlsx&amp;sheet=U0&amp;row=2854&amp;col=6&amp;number=4&amp;sourceID=14","4")</f>
        <v>4</v>
      </c>
      <c r="G2854" s="4" t="str">
        <f>HYPERLINK("http://141.218.60.56/~jnz1568/getInfo.php?workbook=18_08.xlsx&amp;sheet=U0&amp;row=2854&amp;col=7&amp;number=0.00937&amp;sourceID=14","0.00937")</f>
        <v>0.00937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HYPERLINK("http://141.218.60.56/~jnz1568/getInfo.php?workbook=18_08.xlsx&amp;sheet=U0&amp;row=2855&amp;col=6&amp;number=4.1&amp;sourceID=14","4.1")</f>
        <v>4.1</v>
      </c>
      <c r="G2855" s="4" t="str">
        <f>HYPERLINK("http://141.218.60.56/~jnz1568/getInfo.php?workbook=18_08.xlsx&amp;sheet=U0&amp;row=2855&amp;col=7&amp;number=0.00937&amp;sourceID=14","0.00937")</f>
        <v>0.00937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HYPERLINK("http://141.218.60.56/~jnz1568/getInfo.php?workbook=18_08.xlsx&amp;sheet=U0&amp;row=2856&amp;col=6&amp;number=4.2&amp;sourceID=14","4.2")</f>
        <v>4.2</v>
      </c>
      <c r="G2856" s="4" t="str">
        <f>HYPERLINK("http://141.218.60.56/~jnz1568/getInfo.php?workbook=18_08.xlsx&amp;sheet=U0&amp;row=2856&amp;col=7&amp;number=0.00936&amp;sourceID=14","0.00936")</f>
        <v>0.00936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HYPERLINK("http://141.218.60.56/~jnz1568/getInfo.php?workbook=18_08.xlsx&amp;sheet=U0&amp;row=2857&amp;col=6&amp;number=4.3&amp;sourceID=14","4.3")</f>
        <v>4.3</v>
      </c>
      <c r="G2857" s="4" t="str">
        <f>HYPERLINK("http://141.218.60.56/~jnz1568/getInfo.php?workbook=18_08.xlsx&amp;sheet=U0&amp;row=2857&amp;col=7&amp;number=0.00936&amp;sourceID=14","0.00936")</f>
        <v>0.00936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HYPERLINK("http://141.218.60.56/~jnz1568/getInfo.php?workbook=18_08.xlsx&amp;sheet=U0&amp;row=2858&amp;col=6&amp;number=4.4&amp;sourceID=14","4.4")</f>
        <v>4.4</v>
      </c>
      <c r="G2858" s="4" t="str">
        <f>HYPERLINK("http://141.218.60.56/~jnz1568/getInfo.php?workbook=18_08.xlsx&amp;sheet=U0&amp;row=2858&amp;col=7&amp;number=0.00935&amp;sourceID=14","0.00935")</f>
        <v>0.00935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HYPERLINK("http://141.218.60.56/~jnz1568/getInfo.php?workbook=18_08.xlsx&amp;sheet=U0&amp;row=2859&amp;col=6&amp;number=4.5&amp;sourceID=14","4.5")</f>
        <v>4.5</v>
      </c>
      <c r="G2859" s="4" t="str">
        <f>HYPERLINK("http://141.218.60.56/~jnz1568/getInfo.php?workbook=18_08.xlsx&amp;sheet=U0&amp;row=2859&amp;col=7&amp;number=0.00934&amp;sourceID=14","0.00934")</f>
        <v>0.00934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HYPERLINK("http://141.218.60.56/~jnz1568/getInfo.php?workbook=18_08.xlsx&amp;sheet=U0&amp;row=2860&amp;col=6&amp;number=4.6&amp;sourceID=14","4.6")</f>
        <v>4.6</v>
      </c>
      <c r="G2860" s="4" t="str">
        <f>HYPERLINK("http://141.218.60.56/~jnz1568/getInfo.php?workbook=18_08.xlsx&amp;sheet=U0&amp;row=2860&amp;col=7&amp;number=0.00933&amp;sourceID=14","0.00933")</f>
        <v>0.00933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HYPERLINK("http://141.218.60.56/~jnz1568/getInfo.php?workbook=18_08.xlsx&amp;sheet=U0&amp;row=2861&amp;col=6&amp;number=4.7&amp;sourceID=14","4.7")</f>
        <v>4.7</v>
      </c>
      <c r="G2861" s="4" t="str">
        <f>HYPERLINK("http://141.218.60.56/~jnz1568/getInfo.php?workbook=18_08.xlsx&amp;sheet=U0&amp;row=2861&amp;col=7&amp;number=0.00932&amp;sourceID=14","0.00932")</f>
        <v>0.00932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HYPERLINK("http://141.218.60.56/~jnz1568/getInfo.php?workbook=18_08.xlsx&amp;sheet=U0&amp;row=2862&amp;col=6&amp;number=4.8&amp;sourceID=14","4.8")</f>
        <v>4.8</v>
      </c>
      <c r="G2862" s="4" t="str">
        <f>HYPERLINK("http://141.218.60.56/~jnz1568/getInfo.php?workbook=18_08.xlsx&amp;sheet=U0&amp;row=2862&amp;col=7&amp;number=0.00931&amp;sourceID=14","0.00931")</f>
        <v>0.00931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HYPERLINK("http://141.218.60.56/~jnz1568/getInfo.php?workbook=18_08.xlsx&amp;sheet=U0&amp;row=2863&amp;col=6&amp;number=4.9&amp;sourceID=14","4.9")</f>
        <v>4.9</v>
      </c>
      <c r="G2863" s="4" t="str">
        <f>HYPERLINK("http://141.218.60.56/~jnz1568/getInfo.php?workbook=18_08.xlsx&amp;sheet=U0&amp;row=2863&amp;col=7&amp;number=0.00928&amp;sourceID=14","0.00928")</f>
        <v>0.00928</v>
      </c>
    </row>
    <row r="2864" spans="1:7">
      <c r="A2864" s="3">
        <v>18</v>
      </c>
      <c r="B2864" s="3">
        <v>8</v>
      </c>
      <c r="C2864" s="3" t="s">
        <v>59</v>
      </c>
      <c r="D2864" s="3">
        <v>1</v>
      </c>
      <c r="E2864" s="3">
        <v>1</v>
      </c>
      <c r="F2864" s="4" t="str">
        <f>HYPERLINK("http://141.218.60.56/~jnz1568/getInfo.php?workbook=18_08.xlsx&amp;sheet=U0&amp;row=2864&amp;col=6&amp;number=3&amp;sourceID=14","3")</f>
        <v>3</v>
      </c>
      <c r="G2864" s="4" t="str">
        <f>HYPERLINK("http://141.218.60.56/~jnz1568/getInfo.php?workbook=18_08.xlsx&amp;sheet=U0&amp;row=2864&amp;col=7&amp;number=0.00805&amp;sourceID=14","0.00805")</f>
        <v>0.00805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HYPERLINK("http://141.218.60.56/~jnz1568/getInfo.php?workbook=18_08.xlsx&amp;sheet=U0&amp;row=2865&amp;col=6&amp;number=3.1&amp;sourceID=14","3.1")</f>
        <v>3.1</v>
      </c>
      <c r="G2865" s="4" t="str">
        <f>HYPERLINK("http://141.218.60.56/~jnz1568/getInfo.php?workbook=18_08.xlsx&amp;sheet=U0&amp;row=2865&amp;col=7&amp;number=0.00805&amp;sourceID=14","0.00805")</f>
        <v>0.00805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HYPERLINK("http://141.218.60.56/~jnz1568/getInfo.php?workbook=18_08.xlsx&amp;sheet=U0&amp;row=2866&amp;col=6&amp;number=3.2&amp;sourceID=14","3.2")</f>
        <v>3.2</v>
      </c>
      <c r="G2866" s="4" t="str">
        <f>HYPERLINK("http://141.218.60.56/~jnz1568/getInfo.php?workbook=18_08.xlsx&amp;sheet=U0&amp;row=2866&amp;col=7&amp;number=0.00805&amp;sourceID=14","0.00805")</f>
        <v>0.00805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HYPERLINK("http://141.218.60.56/~jnz1568/getInfo.php?workbook=18_08.xlsx&amp;sheet=U0&amp;row=2867&amp;col=6&amp;number=3.3&amp;sourceID=14","3.3")</f>
        <v>3.3</v>
      </c>
      <c r="G2867" s="4" t="str">
        <f>HYPERLINK("http://141.218.60.56/~jnz1568/getInfo.php?workbook=18_08.xlsx&amp;sheet=U0&amp;row=2867&amp;col=7&amp;number=0.00805&amp;sourceID=14","0.00805")</f>
        <v>0.00805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HYPERLINK("http://141.218.60.56/~jnz1568/getInfo.php?workbook=18_08.xlsx&amp;sheet=U0&amp;row=2868&amp;col=6&amp;number=3.4&amp;sourceID=14","3.4")</f>
        <v>3.4</v>
      </c>
      <c r="G2868" s="4" t="str">
        <f>HYPERLINK("http://141.218.60.56/~jnz1568/getInfo.php?workbook=18_08.xlsx&amp;sheet=U0&amp;row=2868&amp;col=7&amp;number=0.00805&amp;sourceID=14","0.00805")</f>
        <v>0.00805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HYPERLINK("http://141.218.60.56/~jnz1568/getInfo.php?workbook=18_08.xlsx&amp;sheet=U0&amp;row=2869&amp;col=6&amp;number=3.5&amp;sourceID=14","3.5")</f>
        <v>3.5</v>
      </c>
      <c r="G2869" s="4" t="str">
        <f>HYPERLINK("http://141.218.60.56/~jnz1568/getInfo.php?workbook=18_08.xlsx&amp;sheet=U0&amp;row=2869&amp;col=7&amp;number=0.00805&amp;sourceID=14","0.00805")</f>
        <v>0.00805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HYPERLINK("http://141.218.60.56/~jnz1568/getInfo.php?workbook=18_08.xlsx&amp;sheet=U0&amp;row=2870&amp;col=6&amp;number=3.6&amp;sourceID=14","3.6")</f>
        <v>3.6</v>
      </c>
      <c r="G2870" s="4" t="str">
        <f>HYPERLINK("http://141.218.60.56/~jnz1568/getInfo.php?workbook=18_08.xlsx&amp;sheet=U0&amp;row=2870&amp;col=7&amp;number=0.00805&amp;sourceID=14","0.00805")</f>
        <v>0.00805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HYPERLINK("http://141.218.60.56/~jnz1568/getInfo.php?workbook=18_08.xlsx&amp;sheet=U0&amp;row=2871&amp;col=6&amp;number=3.7&amp;sourceID=14","3.7")</f>
        <v>3.7</v>
      </c>
      <c r="G2871" s="4" t="str">
        <f>HYPERLINK("http://141.218.60.56/~jnz1568/getInfo.php?workbook=18_08.xlsx&amp;sheet=U0&amp;row=2871&amp;col=7&amp;number=0.00805&amp;sourceID=14","0.00805")</f>
        <v>0.00805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HYPERLINK("http://141.218.60.56/~jnz1568/getInfo.php?workbook=18_08.xlsx&amp;sheet=U0&amp;row=2872&amp;col=6&amp;number=3.8&amp;sourceID=14","3.8")</f>
        <v>3.8</v>
      </c>
      <c r="G2872" s="4" t="str">
        <f>HYPERLINK("http://141.218.60.56/~jnz1568/getInfo.php?workbook=18_08.xlsx&amp;sheet=U0&amp;row=2872&amp;col=7&amp;number=0.00805&amp;sourceID=14","0.00805")</f>
        <v>0.00805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HYPERLINK("http://141.218.60.56/~jnz1568/getInfo.php?workbook=18_08.xlsx&amp;sheet=U0&amp;row=2873&amp;col=6&amp;number=3.9&amp;sourceID=14","3.9")</f>
        <v>3.9</v>
      </c>
      <c r="G2873" s="4" t="str">
        <f>HYPERLINK("http://141.218.60.56/~jnz1568/getInfo.php?workbook=18_08.xlsx&amp;sheet=U0&amp;row=2873&amp;col=7&amp;number=0.00805&amp;sourceID=14","0.00805")</f>
        <v>0.00805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HYPERLINK("http://141.218.60.56/~jnz1568/getInfo.php?workbook=18_08.xlsx&amp;sheet=U0&amp;row=2874&amp;col=6&amp;number=4&amp;sourceID=14","4")</f>
        <v>4</v>
      </c>
      <c r="G2874" s="4" t="str">
        <f>HYPERLINK("http://141.218.60.56/~jnz1568/getInfo.php?workbook=18_08.xlsx&amp;sheet=U0&amp;row=2874&amp;col=7&amp;number=0.00805&amp;sourceID=14","0.00805")</f>
        <v>0.00805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HYPERLINK("http://141.218.60.56/~jnz1568/getInfo.php?workbook=18_08.xlsx&amp;sheet=U0&amp;row=2875&amp;col=6&amp;number=4.1&amp;sourceID=14","4.1")</f>
        <v>4.1</v>
      </c>
      <c r="G2875" s="4" t="str">
        <f>HYPERLINK("http://141.218.60.56/~jnz1568/getInfo.php?workbook=18_08.xlsx&amp;sheet=U0&amp;row=2875&amp;col=7&amp;number=0.00805&amp;sourceID=14","0.00805")</f>
        <v>0.00805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HYPERLINK("http://141.218.60.56/~jnz1568/getInfo.php?workbook=18_08.xlsx&amp;sheet=U0&amp;row=2876&amp;col=6&amp;number=4.2&amp;sourceID=14","4.2")</f>
        <v>4.2</v>
      </c>
      <c r="G2876" s="4" t="str">
        <f>HYPERLINK("http://141.218.60.56/~jnz1568/getInfo.php?workbook=18_08.xlsx&amp;sheet=U0&amp;row=2876&amp;col=7&amp;number=0.00804&amp;sourceID=14","0.00804")</f>
        <v>0.00804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HYPERLINK("http://141.218.60.56/~jnz1568/getInfo.php?workbook=18_08.xlsx&amp;sheet=U0&amp;row=2877&amp;col=6&amp;number=4.3&amp;sourceID=14","4.3")</f>
        <v>4.3</v>
      </c>
      <c r="G2877" s="4" t="str">
        <f>HYPERLINK("http://141.218.60.56/~jnz1568/getInfo.php?workbook=18_08.xlsx&amp;sheet=U0&amp;row=2877&amp;col=7&amp;number=0.00804&amp;sourceID=14","0.00804")</f>
        <v>0.00804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HYPERLINK("http://141.218.60.56/~jnz1568/getInfo.php?workbook=18_08.xlsx&amp;sheet=U0&amp;row=2878&amp;col=6&amp;number=4.4&amp;sourceID=14","4.4")</f>
        <v>4.4</v>
      </c>
      <c r="G2878" s="4" t="str">
        <f>HYPERLINK("http://141.218.60.56/~jnz1568/getInfo.php?workbook=18_08.xlsx&amp;sheet=U0&amp;row=2878&amp;col=7&amp;number=0.00804&amp;sourceID=14","0.00804")</f>
        <v>0.00804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HYPERLINK("http://141.218.60.56/~jnz1568/getInfo.php?workbook=18_08.xlsx&amp;sheet=U0&amp;row=2879&amp;col=6&amp;number=4.5&amp;sourceID=14","4.5")</f>
        <v>4.5</v>
      </c>
      <c r="G2879" s="4" t="str">
        <f>HYPERLINK("http://141.218.60.56/~jnz1568/getInfo.php?workbook=18_08.xlsx&amp;sheet=U0&amp;row=2879&amp;col=7&amp;number=0.00804&amp;sourceID=14","0.00804")</f>
        <v>0.00804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HYPERLINK("http://141.218.60.56/~jnz1568/getInfo.php?workbook=18_08.xlsx&amp;sheet=U0&amp;row=2880&amp;col=6&amp;number=4.6&amp;sourceID=14","4.6")</f>
        <v>4.6</v>
      </c>
      <c r="G2880" s="4" t="str">
        <f>HYPERLINK("http://141.218.60.56/~jnz1568/getInfo.php?workbook=18_08.xlsx&amp;sheet=U0&amp;row=2880&amp;col=7&amp;number=0.00804&amp;sourceID=14","0.00804")</f>
        <v>0.00804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HYPERLINK("http://141.218.60.56/~jnz1568/getInfo.php?workbook=18_08.xlsx&amp;sheet=U0&amp;row=2881&amp;col=6&amp;number=4.7&amp;sourceID=14","4.7")</f>
        <v>4.7</v>
      </c>
      <c r="G2881" s="4" t="str">
        <f>HYPERLINK("http://141.218.60.56/~jnz1568/getInfo.php?workbook=18_08.xlsx&amp;sheet=U0&amp;row=2881&amp;col=7&amp;number=0.00803&amp;sourceID=14","0.00803")</f>
        <v>0.00803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HYPERLINK("http://141.218.60.56/~jnz1568/getInfo.php?workbook=18_08.xlsx&amp;sheet=U0&amp;row=2882&amp;col=6&amp;number=4.8&amp;sourceID=14","4.8")</f>
        <v>4.8</v>
      </c>
      <c r="G2882" s="4" t="str">
        <f>HYPERLINK("http://141.218.60.56/~jnz1568/getInfo.php?workbook=18_08.xlsx&amp;sheet=U0&amp;row=2882&amp;col=7&amp;number=0.00803&amp;sourceID=14","0.00803")</f>
        <v>0.00803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HYPERLINK("http://141.218.60.56/~jnz1568/getInfo.php?workbook=18_08.xlsx&amp;sheet=U0&amp;row=2883&amp;col=6&amp;number=4.9&amp;sourceID=14","4.9")</f>
        <v>4.9</v>
      </c>
      <c r="G2883" s="4" t="str">
        <f>HYPERLINK("http://141.218.60.56/~jnz1568/getInfo.php?workbook=18_08.xlsx&amp;sheet=U0&amp;row=2883&amp;col=7&amp;number=0.00802&amp;sourceID=14","0.00802")</f>
        <v>0.00802</v>
      </c>
    </row>
    <row r="2884" spans="1:7">
      <c r="A2884" s="3">
        <v>18</v>
      </c>
      <c r="B2884" s="3">
        <v>8</v>
      </c>
      <c r="C2884" s="3" t="s">
        <v>59</v>
      </c>
      <c r="D2884" s="3">
        <v>2</v>
      </c>
      <c r="E2884" s="3">
        <v>1</v>
      </c>
      <c r="F2884" s="4" t="str">
        <f>HYPERLINK("http://141.218.60.56/~jnz1568/getInfo.php?workbook=18_08.xlsx&amp;sheet=U0&amp;row=2884&amp;col=6&amp;number=3&amp;sourceID=14","3")</f>
        <v>3</v>
      </c>
      <c r="G2884" s="4" t="str">
        <f>HYPERLINK("http://141.218.60.56/~jnz1568/getInfo.php?workbook=18_08.xlsx&amp;sheet=U0&amp;row=2884&amp;col=7&amp;number=0.00551&amp;sourceID=14","0.00551")</f>
        <v>0.00551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HYPERLINK("http://141.218.60.56/~jnz1568/getInfo.php?workbook=18_08.xlsx&amp;sheet=U0&amp;row=2885&amp;col=6&amp;number=3.1&amp;sourceID=14","3.1")</f>
        <v>3.1</v>
      </c>
      <c r="G2885" s="4" t="str">
        <f>HYPERLINK("http://141.218.60.56/~jnz1568/getInfo.php?workbook=18_08.xlsx&amp;sheet=U0&amp;row=2885&amp;col=7&amp;number=0.00551&amp;sourceID=14","0.00551")</f>
        <v>0.00551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HYPERLINK("http://141.218.60.56/~jnz1568/getInfo.php?workbook=18_08.xlsx&amp;sheet=U0&amp;row=2886&amp;col=6&amp;number=3.2&amp;sourceID=14","3.2")</f>
        <v>3.2</v>
      </c>
      <c r="G2886" s="4" t="str">
        <f>HYPERLINK("http://141.218.60.56/~jnz1568/getInfo.php?workbook=18_08.xlsx&amp;sheet=U0&amp;row=2886&amp;col=7&amp;number=0.00551&amp;sourceID=14","0.00551")</f>
        <v>0.00551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HYPERLINK("http://141.218.60.56/~jnz1568/getInfo.php?workbook=18_08.xlsx&amp;sheet=U0&amp;row=2887&amp;col=6&amp;number=3.3&amp;sourceID=14","3.3")</f>
        <v>3.3</v>
      </c>
      <c r="G2887" s="4" t="str">
        <f>HYPERLINK("http://141.218.60.56/~jnz1568/getInfo.php?workbook=18_08.xlsx&amp;sheet=U0&amp;row=2887&amp;col=7&amp;number=0.00551&amp;sourceID=14","0.00551")</f>
        <v>0.00551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HYPERLINK("http://141.218.60.56/~jnz1568/getInfo.php?workbook=18_08.xlsx&amp;sheet=U0&amp;row=2888&amp;col=6&amp;number=3.4&amp;sourceID=14","3.4")</f>
        <v>3.4</v>
      </c>
      <c r="G2888" s="4" t="str">
        <f>HYPERLINK("http://141.218.60.56/~jnz1568/getInfo.php?workbook=18_08.xlsx&amp;sheet=U0&amp;row=2888&amp;col=7&amp;number=0.00551&amp;sourceID=14","0.00551")</f>
        <v>0.00551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HYPERLINK("http://141.218.60.56/~jnz1568/getInfo.php?workbook=18_08.xlsx&amp;sheet=U0&amp;row=2889&amp;col=6&amp;number=3.5&amp;sourceID=14","3.5")</f>
        <v>3.5</v>
      </c>
      <c r="G2889" s="4" t="str">
        <f>HYPERLINK("http://141.218.60.56/~jnz1568/getInfo.php?workbook=18_08.xlsx&amp;sheet=U0&amp;row=2889&amp;col=7&amp;number=0.00551&amp;sourceID=14","0.00551")</f>
        <v>0.00551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HYPERLINK("http://141.218.60.56/~jnz1568/getInfo.php?workbook=18_08.xlsx&amp;sheet=U0&amp;row=2890&amp;col=6&amp;number=3.6&amp;sourceID=14","3.6")</f>
        <v>3.6</v>
      </c>
      <c r="G2890" s="4" t="str">
        <f>HYPERLINK("http://141.218.60.56/~jnz1568/getInfo.php?workbook=18_08.xlsx&amp;sheet=U0&amp;row=2890&amp;col=7&amp;number=0.00551&amp;sourceID=14","0.00551")</f>
        <v>0.00551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HYPERLINK("http://141.218.60.56/~jnz1568/getInfo.php?workbook=18_08.xlsx&amp;sheet=U0&amp;row=2891&amp;col=6&amp;number=3.7&amp;sourceID=14","3.7")</f>
        <v>3.7</v>
      </c>
      <c r="G2891" s="4" t="str">
        <f>HYPERLINK("http://141.218.60.56/~jnz1568/getInfo.php?workbook=18_08.xlsx&amp;sheet=U0&amp;row=2891&amp;col=7&amp;number=0.00551&amp;sourceID=14","0.00551")</f>
        <v>0.00551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HYPERLINK("http://141.218.60.56/~jnz1568/getInfo.php?workbook=18_08.xlsx&amp;sheet=U0&amp;row=2892&amp;col=6&amp;number=3.8&amp;sourceID=14","3.8")</f>
        <v>3.8</v>
      </c>
      <c r="G2892" s="4" t="str">
        <f>HYPERLINK("http://141.218.60.56/~jnz1568/getInfo.php?workbook=18_08.xlsx&amp;sheet=U0&amp;row=2892&amp;col=7&amp;number=0.00551&amp;sourceID=14","0.00551")</f>
        <v>0.00551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HYPERLINK("http://141.218.60.56/~jnz1568/getInfo.php?workbook=18_08.xlsx&amp;sheet=U0&amp;row=2893&amp;col=6&amp;number=3.9&amp;sourceID=14","3.9")</f>
        <v>3.9</v>
      </c>
      <c r="G2893" s="4" t="str">
        <f>HYPERLINK("http://141.218.60.56/~jnz1568/getInfo.php?workbook=18_08.xlsx&amp;sheet=U0&amp;row=2893&amp;col=7&amp;number=0.0055&amp;sourceID=14","0.0055")</f>
        <v>0.0055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HYPERLINK("http://141.218.60.56/~jnz1568/getInfo.php?workbook=18_08.xlsx&amp;sheet=U0&amp;row=2894&amp;col=6&amp;number=4&amp;sourceID=14","4")</f>
        <v>4</v>
      </c>
      <c r="G2894" s="4" t="str">
        <f>HYPERLINK("http://141.218.60.56/~jnz1568/getInfo.php?workbook=18_08.xlsx&amp;sheet=U0&amp;row=2894&amp;col=7&amp;number=0.0055&amp;sourceID=14","0.0055")</f>
        <v>0.0055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HYPERLINK("http://141.218.60.56/~jnz1568/getInfo.php?workbook=18_08.xlsx&amp;sheet=U0&amp;row=2895&amp;col=6&amp;number=4.1&amp;sourceID=14","4.1")</f>
        <v>4.1</v>
      </c>
      <c r="G2895" s="4" t="str">
        <f>HYPERLINK("http://141.218.60.56/~jnz1568/getInfo.php?workbook=18_08.xlsx&amp;sheet=U0&amp;row=2895&amp;col=7&amp;number=0.0055&amp;sourceID=14","0.0055")</f>
        <v>0.0055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HYPERLINK("http://141.218.60.56/~jnz1568/getInfo.php?workbook=18_08.xlsx&amp;sheet=U0&amp;row=2896&amp;col=6&amp;number=4.2&amp;sourceID=14","4.2")</f>
        <v>4.2</v>
      </c>
      <c r="G2896" s="4" t="str">
        <f>HYPERLINK("http://141.218.60.56/~jnz1568/getInfo.php?workbook=18_08.xlsx&amp;sheet=U0&amp;row=2896&amp;col=7&amp;number=0.00549&amp;sourceID=14","0.00549")</f>
        <v>0.00549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HYPERLINK("http://141.218.60.56/~jnz1568/getInfo.php?workbook=18_08.xlsx&amp;sheet=U0&amp;row=2897&amp;col=6&amp;number=4.3&amp;sourceID=14","4.3")</f>
        <v>4.3</v>
      </c>
      <c r="G2897" s="4" t="str">
        <f>HYPERLINK("http://141.218.60.56/~jnz1568/getInfo.php?workbook=18_08.xlsx&amp;sheet=U0&amp;row=2897&amp;col=7&amp;number=0.00549&amp;sourceID=14","0.00549")</f>
        <v>0.00549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HYPERLINK("http://141.218.60.56/~jnz1568/getInfo.php?workbook=18_08.xlsx&amp;sheet=U0&amp;row=2898&amp;col=6&amp;number=4.4&amp;sourceID=14","4.4")</f>
        <v>4.4</v>
      </c>
      <c r="G2898" s="4" t="str">
        <f>HYPERLINK("http://141.218.60.56/~jnz1568/getInfo.php?workbook=18_08.xlsx&amp;sheet=U0&amp;row=2898&amp;col=7&amp;number=0.00548&amp;sourceID=14","0.00548")</f>
        <v>0.00548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HYPERLINK("http://141.218.60.56/~jnz1568/getInfo.php?workbook=18_08.xlsx&amp;sheet=U0&amp;row=2899&amp;col=6&amp;number=4.5&amp;sourceID=14","4.5")</f>
        <v>4.5</v>
      </c>
      <c r="G2899" s="4" t="str">
        <f>HYPERLINK("http://141.218.60.56/~jnz1568/getInfo.php?workbook=18_08.xlsx&amp;sheet=U0&amp;row=2899&amp;col=7&amp;number=0.00547&amp;sourceID=14","0.00547")</f>
        <v>0.00547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HYPERLINK("http://141.218.60.56/~jnz1568/getInfo.php?workbook=18_08.xlsx&amp;sheet=U0&amp;row=2900&amp;col=6&amp;number=4.6&amp;sourceID=14","4.6")</f>
        <v>4.6</v>
      </c>
      <c r="G2900" s="4" t="str">
        <f>HYPERLINK("http://141.218.60.56/~jnz1568/getInfo.php?workbook=18_08.xlsx&amp;sheet=U0&amp;row=2900&amp;col=7&amp;number=0.00546&amp;sourceID=14","0.00546")</f>
        <v>0.00546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HYPERLINK("http://141.218.60.56/~jnz1568/getInfo.php?workbook=18_08.xlsx&amp;sheet=U0&amp;row=2901&amp;col=6&amp;number=4.7&amp;sourceID=14","4.7")</f>
        <v>4.7</v>
      </c>
      <c r="G2901" s="4" t="str">
        <f>HYPERLINK("http://141.218.60.56/~jnz1568/getInfo.php?workbook=18_08.xlsx&amp;sheet=U0&amp;row=2901&amp;col=7&amp;number=0.00545&amp;sourceID=14","0.00545")</f>
        <v>0.00545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HYPERLINK("http://141.218.60.56/~jnz1568/getInfo.php?workbook=18_08.xlsx&amp;sheet=U0&amp;row=2902&amp;col=6&amp;number=4.8&amp;sourceID=14","4.8")</f>
        <v>4.8</v>
      </c>
      <c r="G2902" s="4" t="str">
        <f>HYPERLINK("http://141.218.60.56/~jnz1568/getInfo.php?workbook=18_08.xlsx&amp;sheet=U0&amp;row=2902&amp;col=7&amp;number=0.00544&amp;sourceID=14","0.00544")</f>
        <v>0.00544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HYPERLINK("http://141.218.60.56/~jnz1568/getInfo.php?workbook=18_08.xlsx&amp;sheet=U0&amp;row=2903&amp;col=6&amp;number=4.9&amp;sourceID=14","4.9")</f>
        <v>4.9</v>
      </c>
      <c r="G2903" s="4" t="str">
        <f>HYPERLINK("http://141.218.60.56/~jnz1568/getInfo.php?workbook=18_08.xlsx&amp;sheet=U0&amp;row=2903&amp;col=7&amp;number=0.00542&amp;sourceID=14","0.00542")</f>
        <v>0.00542</v>
      </c>
    </row>
    <row r="2904" spans="1:7">
      <c r="A2904" s="3">
        <v>18</v>
      </c>
      <c r="B2904" s="3">
        <v>8</v>
      </c>
      <c r="C2904" s="3" t="s">
        <v>59</v>
      </c>
      <c r="D2904" s="3">
        <v>3</v>
      </c>
      <c r="E2904" s="3">
        <v>1</v>
      </c>
      <c r="F2904" s="4" t="str">
        <f>HYPERLINK("http://141.218.60.56/~jnz1568/getInfo.php?workbook=18_08.xlsx&amp;sheet=U0&amp;row=2904&amp;col=6&amp;number=3&amp;sourceID=14","3")</f>
        <v>3</v>
      </c>
      <c r="G2904" s="4" t="str">
        <f>HYPERLINK("http://141.218.60.56/~jnz1568/getInfo.php?workbook=18_08.xlsx&amp;sheet=U0&amp;row=2904&amp;col=7&amp;number=0.00833&amp;sourceID=14","0.00833")</f>
        <v>0.00833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HYPERLINK("http://141.218.60.56/~jnz1568/getInfo.php?workbook=18_08.xlsx&amp;sheet=U0&amp;row=2905&amp;col=6&amp;number=3.1&amp;sourceID=14","3.1")</f>
        <v>3.1</v>
      </c>
      <c r="G2905" s="4" t="str">
        <f>HYPERLINK("http://141.218.60.56/~jnz1568/getInfo.php?workbook=18_08.xlsx&amp;sheet=U0&amp;row=2905&amp;col=7&amp;number=0.00833&amp;sourceID=14","0.00833")</f>
        <v>0.00833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HYPERLINK("http://141.218.60.56/~jnz1568/getInfo.php?workbook=18_08.xlsx&amp;sheet=U0&amp;row=2906&amp;col=6&amp;number=3.2&amp;sourceID=14","3.2")</f>
        <v>3.2</v>
      </c>
      <c r="G2906" s="4" t="str">
        <f>HYPERLINK("http://141.218.60.56/~jnz1568/getInfo.php?workbook=18_08.xlsx&amp;sheet=U0&amp;row=2906&amp;col=7&amp;number=0.00833&amp;sourceID=14","0.00833")</f>
        <v>0.00833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HYPERLINK("http://141.218.60.56/~jnz1568/getInfo.php?workbook=18_08.xlsx&amp;sheet=U0&amp;row=2907&amp;col=6&amp;number=3.3&amp;sourceID=14","3.3")</f>
        <v>3.3</v>
      </c>
      <c r="G2907" s="4" t="str">
        <f>HYPERLINK("http://141.218.60.56/~jnz1568/getInfo.php?workbook=18_08.xlsx&amp;sheet=U0&amp;row=2907&amp;col=7&amp;number=0.00833&amp;sourceID=14","0.00833")</f>
        <v>0.00833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HYPERLINK("http://141.218.60.56/~jnz1568/getInfo.php?workbook=18_08.xlsx&amp;sheet=U0&amp;row=2908&amp;col=6&amp;number=3.4&amp;sourceID=14","3.4")</f>
        <v>3.4</v>
      </c>
      <c r="G2908" s="4" t="str">
        <f>HYPERLINK("http://141.218.60.56/~jnz1568/getInfo.php?workbook=18_08.xlsx&amp;sheet=U0&amp;row=2908&amp;col=7&amp;number=0.00832&amp;sourceID=14","0.00832")</f>
        <v>0.00832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HYPERLINK("http://141.218.60.56/~jnz1568/getInfo.php?workbook=18_08.xlsx&amp;sheet=U0&amp;row=2909&amp;col=6&amp;number=3.5&amp;sourceID=14","3.5")</f>
        <v>3.5</v>
      </c>
      <c r="G2909" s="4" t="str">
        <f>HYPERLINK("http://141.218.60.56/~jnz1568/getInfo.php?workbook=18_08.xlsx&amp;sheet=U0&amp;row=2909&amp;col=7&amp;number=0.00832&amp;sourceID=14","0.00832")</f>
        <v>0.00832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HYPERLINK("http://141.218.60.56/~jnz1568/getInfo.php?workbook=18_08.xlsx&amp;sheet=U0&amp;row=2910&amp;col=6&amp;number=3.6&amp;sourceID=14","3.6")</f>
        <v>3.6</v>
      </c>
      <c r="G2910" s="4" t="str">
        <f>HYPERLINK("http://141.218.60.56/~jnz1568/getInfo.php?workbook=18_08.xlsx&amp;sheet=U0&amp;row=2910&amp;col=7&amp;number=0.00832&amp;sourceID=14","0.00832")</f>
        <v>0.00832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HYPERLINK("http://141.218.60.56/~jnz1568/getInfo.php?workbook=18_08.xlsx&amp;sheet=U0&amp;row=2911&amp;col=6&amp;number=3.7&amp;sourceID=14","3.7")</f>
        <v>3.7</v>
      </c>
      <c r="G2911" s="4" t="str">
        <f>HYPERLINK("http://141.218.60.56/~jnz1568/getInfo.php?workbook=18_08.xlsx&amp;sheet=U0&amp;row=2911&amp;col=7&amp;number=0.00832&amp;sourceID=14","0.00832")</f>
        <v>0.00832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HYPERLINK("http://141.218.60.56/~jnz1568/getInfo.php?workbook=18_08.xlsx&amp;sheet=U0&amp;row=2912&amp;col=6&amp;number=3.8&amp;sourceID=14","3.8")</f>
        <v>3.8</v>
      </c>
      <c r="G2912" s="4" t="str">
        <f>HYPERLINK("http://141.218.60.56/~jnz1568/getInfo.php?workbook=18_08.xlsx&amp;sheet=U0&amp;row=2912&amp;col=7&amp;number=0.00832&amp;sourceID=14","0.00832")</f>
        <v>0.00832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HYPERLINK("http://141.218.60.56/~jnz1568/getInfo.php?workbook=18_08.xlsx&amp;sheet=U0&amp;row=2913&amp;col=6&amp;number=3.9&amp;sourceID=14","3.9")</f>
        <v>3.9</v>
      </c>
      <c r="G2913" s="4" t="str">
        <f>HYPERLINK("http://141.218.60.56/~jnz1568/getInfo.php?workbook=18_08.xlsx&amp;sheet=U0&amp;row=2913&amp;col=7&amp;number=0.00831&amp;sourceID=14","0.00831")</f>
        <v>0.00831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HYPERLINK("http://141.218.60.56/~jnz1568/getInfo.php?workbook=18_08.xlsx&amp;sheet=U0&amp;row=2914&amp;col=6&amp;number=4&amp;sourceID=14","4")</f>
        <v>4</v>
      </c>
      <c r="G2914" s="4" t="str">
        <f>HYPERLINK("http://141.218.60.56/~jnz1568/getInfo.php?workbook=18_08.xlsx&amp;sheet=U0&amp;row=2914&amp;col=7&amp;number=0.00831&amp;sourceID=14","0.00831")</f>
        <v>0.00831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HYPERLINK("http://141.218.60.56/~jnz1568/getInfo.php?workbook=18_08.xlsx&amp;sheet=U0&amp;row=2915&amp;col=6&amp;number=4.1&amp;sourceID=14","4.1")</f>
        <v>4.1</v>
      </c>
      <c r="G2915" s="4" t="str">
        <f>HYPERLINK("http://141.218.60.56/~jnz1568/getInfo.php?workbook=18_08.xlsx&amp;sheet=U0&amp;row=2915&amp;col=7&amp;number=0.0083&amp;sourceID=14","0.0083")</f>
        <v>0.0083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HYPERLINK("http://141.218.60.56/~jnz1568/getInfo.php?workbook=18_08.xlsx&amp;sheet=U0&amp;row=2916&amp;col=6&amp;number=4.2&amp;sourceID=14","4.2")</f>
        <v>4.2</v>
      </c>
      <c r="G2916" s="4" t="str">
        <f>HYPERLINK("http://141.218.60.56/~jnz1568/getInfo.php?workbook=18_08.xlsx&amp;sheet=U0&amp;row=2916&amp;col=7&amp;number=0.00829&amp;sourceID=14","0.00829")</f>
        <v>0.00829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HYPERLINK("http://141.218.60.56/~jnz1568/getInfo.php?workbook=18_08.xlsx&amp;sheet=U0&amp;row=2917&amp;col=6&amp;number=4.3&amp;sourceID=14","4.3")</f>
        <v>4.3</v>
      </c>
      <c r="G2917" s="4" t="str">
        <f>HYPERLINK("http://141.218.60.56/~jnz1568/getInfo.php?workbook=18_08.xlsx&amp;sheet=U0&amp;row=2917&amp;col=7&amp;number=0.00828&amp;sourceID=14","0.00828")</f>
        <v>0.00828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HYPERLINK("http://141.218.60.56/~jnz1568/getInfo.php?workbook=18_08.xlsx&amp;sheet=U0&amp;row=2918&amp;col=6&amp;number=4.4&amp;sourceID=14","4.4")</f>
        <v>4.4</v>
      </c>
      <c r="G2918" s="4" t="str">
        <f>HYPERLINK("http://141.218.60.56/~jnz1568/getInfo.php?workbook=18_08.xlsx&amp;sheet=U0&amp;row=2918&amp;col=7&amp;number=0.00827&amp;sourceID=14","0.00827")</f>
        <v>0.00827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HYPERLINK("http://141.218.60.56/~jnz1568/getInfo.php?workbook=18_08.xlsx&amp;sheet=U0&amp;row=2919&amp;col=6&amp;number=4.5&amp;sourceID=14","4.5")</f>
        <v>4.5</v>
      </c>
      <c r="G2919" s="4" t="str">
        <f>HYPERLINK("http://141.218.60.56/~jnz1568/getInfo.php?workbook=18_08.xlsx&amp;sheet=U0&amp;row=2919&amp;col=7&amp;number=0.00825&amp;sourceID=14","0.00825")</f>
        <v>0.00825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HYPERLINK("http://141.218.60.56/~jnz1568/getInfo.php?workbook=18_08.xlsx&amp;sheet=U0&amp;row=2920&amp;col=6&amp;number=4.6&amp;sourceID=14","4.6")</f>
        <v>4.6</v>
      </c>
      <c r="G2920" s="4" t="str">
        <f>HYPERLINK("http://141.218.60.56/~jnz1568/getInfo.php?workbook=18_08.xlsx&amp;sheet=U0&amp;row=2920&amp;col=7&amp;number=0.00823&amp;sourceID=14","0.00823")</f>
        <v>0.00823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HYPERLINK("http://141.218.60.56/~jnz1568/getInfo.php?workbook=18_08.xlsx&amp;sheet=U0&amp;row=2921&amp;col=6&amp;number=4.7&amp;sourceID=14","4.7")</f>
        <v>4.7</v>
      </c>
      <c r="G2921" s="4" t="str">
        <f>HYPERLINK("http://141.218.60.56/~jnz1568/getInfo.php?workbook=18_08.xlsx&amp;sheet=U0&amp;row=2921&amp;col=7&amp;number=0.00821&amp;sourceID=14","0.00821")</f>
        <v>0.00821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HYPERLINK("http://141.218.60.56/~jnz1568/getInfo.php?workbook=18_08.xlsx&amp;sheet=U0&amp;row=2922&amp;col=6&amp;number=4.8&amp;sourceID=14","4.8")</f>
        <v>4.8</v>
      </c>
      <c r="G2922" s="4" t="str">
        <f>HYPERLINK("http://141.218.60.56/~jnz1568/getInfo.php?workbook=18_08.xlsx&amp;sheet=U0&amp;row=2922&amp;col=7&amp;number=0.00818&amp;sourceID=14","0.00818")</f>
        <v>0.00818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HYPERLINK("http://141.218.60.56/~jnz1568/getInfo.php?workbook=18_08.xlsx&amp;sheet=U0&amp;row=2923&amp;col=6&amp;number=4.9&amp;sourceID=14","4.9")</f>
        <v>4.9</v>
      </c>
      <c r="G2923" s="4" t="str">
        <f>HYPERLINK("http://141.218.60.56/~jnz1568/getInfo.php?workbook=18_08.xlsx&amp;sheet=U0&amp;row=2923&amp;col=7&amp;number=0.00814&amp;sourceID=14","0.00814")</f>
        <v>0.00814</v>
      </c>
    </row>
    <row r="2924" spans="1:7">
      <c r="A2924" s="3">
        <v>18</v>
      </c>
      <c r="B2924" s="3">
        <v>8</v>
      </c>
      <c r="C2924" s="3" t="s">
        <v>59</v>
      </c>
      <c r="D2924" s="3">
        <v>4</v>
      </c>
      <c r="E2924" s="3">
        <v>1</v>
      </c>
      <c r="F2924" s="4" t="str">
        <f>HYPERLINK("http://141.218.60.56/~jnz1568/getInfo.php?workbook=18_08.xlsx&amp;sheet=U0&amp;row=2924&amp;col=6&amp;number=3&amp;sourceID=14","3")</f>
        <v>3</v>
      </c>
      <c r="G2924" s="4" t="str">
        <f>HYPERLINK("http://141.218.60.56/~jnz1568/getInfo.php?workbook=18_08.xlsx&amp;sheet=U0&amp;row=2924&amp;col=7&amp;number=0.00896&amp;sourceID=14","0.00896")</f>
        <v>0.00896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HYPERLINK("http://141.218.60.56/~jnz1568/getInfo.php?workbook=18_08.xlsx&amp;sheet=U0&amp;row=2925&amp;col=6&amp;number=3.1&amp;sourceID=14","3.1")</f>
        <v>3.1</v>
      </c>
      <c r="G2925" s="4" t="str">
        <f>HYPERLINK("http://141.218.60.56/~jnz1568/getInfo.php?workbook=18_08.xlsx&amp;sheet=U0&amp;row=2925&amp;col=7&amp;number=0.00896&amp;sourceID=14","0.00896")</f>
        <v>0.00896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HYPERLINK("http://141.218.60.56/~jnz1568/getInfo.php?workbook=18_08.xlsx&amp;sheet=U0&amp;row=2926&amp;col=6&amp;number=3.2&amp;sourceID=14","3.2")</f>
        <v>3.2</v>
      </c>
      <c r="G2926" s="4" t="str">
        <f>HYPERLINK("http://141.218.60.56/~jnz1568/getInfo.php?workbook=18_08.xlsx&amp;sheet=U0&amp;row=2926&amp;col=7&amp;number=0.00896&amp;sourceID=14","0.00896")</f>
        <v>0.00896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HYPERLINK("http://141.218.60.56/~jnz1568/getInfo.php?workbook=18_08.xlsx&amp;sheet=U0&amp;row=2927&amp;col=6&amp;number=3.3&amp;sourceID=14","3.3")</f>
        <v>3.3</v>
      </c>
      <c r="G2927" s="4" t="str">
        <f>HYPERLINK("http://141.218.60.56/~jnz1568/getInfo.php?workbook=18_08.xlsx&amp;sheet=U0&amp;row=2927&amp;col=7&amp;number=0.00896&amp;sourceID=14","0.00896")</f>
        <v>0.00896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HYPERLINK("http://141.218.60.56/~jnz1568/getInfo.php?workbook=18_08.xlsx&amp;sheet=U0&amp;row=2928&amp;col=6&amp;number=3.4&amp;sourceID=14","3.4")</f>
        <v>3.4</v>
      </c>
      <c r="G2928" s="4" t="str">
        <f>HYPERLINK("http://141.218.60.56/~jnz1568/getInfo.php?workbook=18_08.xlsx&amp;sheet=U0&amp;row=2928&amp;col=7&amp;number=0.00896&amp;sourceID=14","0.00896")</f>
        <v>0.00896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HYPERLINK("http://141.218.60.56/~jnz1568/getInfo.php?workbook=18_08.xlsx&amp;sheet=U0&amp;row=2929&amp;col=6&amp;number=3.5&amp;sourceID=14","3.5")</f>
        <v>3.5</v>
      </c>
      <c r="G2929" s="4" t="str">
        <f>HYPERLINK("http://141.218.60.56/~jnz1568/getInfo.php?workbook=18_08.xlsx&amp;sheet=U0&amp;row=2929&amp;col=7&amp;number=0.00896&amp;sourceID=14","0.00896")</f>
        <v>0.00896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HYPERLINK("http://141.218.60.56/~jnz1568/getInfo.php?workbook=18_08.xlsx&amp;sheet=U0&amp;row=2930&amp;col=6&amp;number=3.6&amp;sourceID=14","3.6")</f>
        <v>3.6</v>
      </c>
      <c r="G2930" s="4" t="str">
        <f>HYPERLINK("http://141.218.60.56/~jnz1568/getInfo.php?workbook=18_08.xlsx&amp;sheet=U0&amp;row=2930&amp;col=7&amp;number=0.00896&amp;sourceID=14","0.00896")</f>
        <v>0.00896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HYPERLINK("http://141.218.60.56/~jnz1568/getInfo.php?workbook=18_08.xlsx&amp;sheet=U0&amp;row=2931&amp;col=6&amp;number=3.7&amp;sourceID=14","3.7")</f>
        <v>3.7</v>
      </c>
      <c r="G2931" s="4" t="str">
        <f>HYPERLINK("http://141.218.60.56/~jnz1568/getInfo.php?workbook=18_08.xlsx&amp;sheet=U0&amp;row=2931&amp;col=7&amp;number=0.00896&amp;sourceID=14","0.00896")</f>
        <v>0.00896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HYPERLINK("http://141.218.60.56/~jnz1568/getInfo.php?workbook=18_08.xlsx&amp;sheet=U0&amp;row=2932&amp;col=6&amp;number=3.8&amp;sourceID=14","3.8")</f>
        <v>3.8</v>
      </c>
      <c r="G2932" s="4" t="str">
        <f>HYPERLINK("http://141.218.60.56/~jnz1568/getInfo.php?workbook=18_08.xlsx&amp;sheet=U0&amp;row=2932&amp;col=7&amp;number=0.00896&amp;sourceID=14","0.00896")</f>
        <v>0.00896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HYPERLINK("http://141.218.60.56/~jnz1568/getInfo.php?workbook=18_08.xlsx&amp;sheet=U0&amp;row=2933&amp;col=6&amp;number=3.9&amp;sourceID=14","3.9")</f>
        <v>3.9</v>
      </c>
      <c r="G2933" s="4" t="str">
        <f>HYPERLINK("http://141.218.60.56/~jnz1568/getInfo.php?workbook=18_08.xlsx&amp;sheet=U0&amp;row=2933&amp;col=7&amp;number=0.00896&amp;sourceID=14","0.00896")</f>
        <v>0.00896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HYPERLINK("http://141.218.60.56/~jnz1568/getInfo.php?workbook=18_08.xlsx&amp;sheet=U0&amp;row=2934&amp;col=6&amp;number=4&amp;sourceID=14","4")</f>
        <v>4</v>
      </c>
      <c r="G2934" s="4" t="str">
        <f>HYPERLINK("http://141.218.60.56/~jnz1568/getInfo.php?workbook=18_08.xlsx&amp;sheet=U0&amp;row=2934&amp;col=7&amp;number=0.00896&amp;sourceID=14","0.00896")</f>
        <v>0.00896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HYPERLINK("http://141.218.60.56/~jnz1568/getInfo.php?workbook=18_08.xlsx&amp;sheet=U0&amp;row=2935&amp;col=6&amp;number=4.1&amp;sourceID=14","4.1")</f>
        <v>4.1</v>
      </c>
      <c r="G2935" s="4" t="str">
        <f>HYPERLINK("http://141.218.60.56/~jnz1568/getInfo.php?workbook=18_08.xlsx&amp;sheet=U0&amp;row=2935&amp;col=7&amp;number=0.00896&amp;sourceID=14","0.00896")</f>
        <v>0.00896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HYPERLINK("http://141.218.60.56/~jnz1568/getInfo.php?workbook=18_08.xlsx&amp;sheet=U0&amp;row=2936&amp;col=6&amp;number=4.2&amp;sourceID=14","4.2")</f>
        <v>4.2</v>
      </c>
      <c r="G2936" s="4" t="str">
        <f>HYPERLINK("http://141.218.60.56/~jnz1568/getInfo.php?workbook=18_08.xlsx&amp;sheet=U0&amp;row=2936&amp;col=7&amp;number=0.00896&amp;sourceID=14","0.00896")</f>
        <v>0.00896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HYPERLINK("http://141.218.60.56/~jnz1568/getInfo.php?workbook=18_08.xlsx&amp;sheet=U0&amp;row=2937&amp;col=6&amp;number=4.3&amp;sourceID=14","4.3")</f>
        <v>4.3</v>
      </c>
      <c r="G2937" s="4" t="str">
        <f>HYPERLINK("http://141.218.60.56/~jnz1568/getInfo.php?workbook=18_08.xlsx&amp;sheet=U0&amp;row=2937&amp;col=7&amp;number=0.00896&amp;sourceID=14","0.00896")</f>
        <v>0.00896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HYPERLINK("http://141.218.60.56/~jnz1568/getInfo.php?workbook=18_08.xlsx&amp;sheet=U0&amp;row=2938&amp;col=6&amp;number=4.4&amp;sourceID=14","4.4")</f>
        <v>4.4</v>
      </c>
      <c r="G2938" s="4" t="str">
        <f>HYPERLINK("http://141.218.60.56/~jnz1568/getInfo.php?workbook=18_08.xlsx&amp;sheet=U0&amp;row=2938&amp;col=7&amp;number=0.00896&amp;sourceID=14","0.00896")</f>
        <v>0.00896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HYPERLINK("http://141.218.60.56/~jnz1568/getInfo.php?workbook=18_08.xlsx&amp;sheet=U0&amp;row=2939&amp;col=6&amp;number=4.5&amp;sourceID=14","4.5")</f>
        <v>4.5</v>
      </c>
      <c r="G2939" s="4" t="str">
        <f>HYPERLINK("http://141.218.60.56/~jnz1568/getInfo.php?workbook=18_08.xlsx&amp;sheet=U0&amp;row=2939&amp;col=7&amp;number=0.00896&amp;sourceID=14","0.00896")</f>
        <v>0.00896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HYPERLINK("http://141.218.60.56/~jnz1568/getInfo.php?workbook=18_08.xlsx&amp;sheet=U0&amp;row=2940&amp;col=6&amp;number=4.6&amp;sourceID=14","4.6")</f>
        <v>4.6</v>
      </c>
      <c r="G2940" s="4" t="str">
        <f>HYPERLINK("http://141.218.60.56/~jnz1568/getInfo.php?workbook=18_08.xlsx&amp;sheet=U0&amp;row=2940&amp;col=7&amp;number=0.00896&amp;sourceID=14","0.00896")</f>
        <v>0.00896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HYPERLINK("http://141.218.60.56/~jnz1568/getInfo.php?workbook=18_08.xlsx&amp;sheet=U0&amp;row=2941&amp;col=6&amp;number=4.7&amp;sourceID=14","4.7")</f>
        <v>4.7</v>
      </c>
      <c r="G2941" s="4" t="str">
        <f>HYPERLINK("http://141.218.60.56/~jnz1568/getInfo.php?workbook=18_08.xlsx&amp;sheet=U0&amp;row=2941&amp;col=7&amp;number=0.00896&amp;sourceID=14","0.00896")</f>
        <v>0.00896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HYPERLINK("http://141.218.60.56/~jnz1568/getInfo.php?workbook=18_08.xlsx&amp;sheet=U0&amp;row=2942&amp;col=6&amp;number=4.8&amp;sourceID=14","4.8")</f>
        <v>4.8</v>
      </c>
      <c r="G2942" s="4" t="str">
        <f>HYPERLINK("http://141.218.60.56/~jnz1568/getInfo.php?workbook=18_08.xlsx&amp;sheet=U0&amp;row=2942&amp;col=7&amp;number=0.00896&amp;sourceID=14","0.00896")</f>
        <v>0.00896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HYPERLINK("http://141.218.60.56/~jnz1568/getInfo.php?workbook=18_08.xlsx&amp;sheet=U0&amp;row=2943&amp;col=6&amp;number=4.9&amp;sourceID=14","4.9")</f>
        <v>4.9</v>
      </c>
      <c r="G2943" s="4" t="str">
        <f>HYPERLINK("http://141.218.60.56/~jnz1568/getInfo.php?workbook=18_08.xlsx&amp;sheet=U0&amp;row=2943&amp;col=7&amp;number=0.00895&amp;sourceID=14","0.00895")</f>
        <v>0.00895</v>
      </c>
    </row>
    <row r="2944" spans="1:7">
      <c r="A2944" s="3">
        <v>18</v>
      </c>
      <c r="B2944" s="3">
        <v>8</v>
      </c>
      <c r="C2944" s="3" t="s">
        <v>59</v>
      </c>
      <c r="D2944" s="3">
        <v>5</v>
      </c>
      <c r="E2944" s="3">
        <v>1</v>
      </c>
      <c r="F2944" s="4" t="str">
        <f>HYPERLINK("http://141.218.60.56/~jnz1568/getInfo.php?workbook=18_08.xlsx&amp;sheet=U0&amp;row=2944&amp;col=6&amp;number=3&amp;sourceID=14","3")</f>
        <v>3</v>
      </c>
      <c r="G2944" s="4" t="str">
        <f>HYPERLINK("http://141.218.60.56/~jnz1568/getInfo.php?workbook=18_08.xlsx&amp;sheet=U0&amp;row=2944&amp;col=7&amp;number=0.000712&amp;sourceID=14","0.000712")</f>
        <v>0.000712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HYPERLINK("http://141.218.60.56/~jnz1568/getInfo.php?workbook=18_08.xlsx&amp;sheet=U0&amp;row=2945&amp;col=6&amp;number=3.1&amp;sourceID=14","3.1")</f>
        <v>3.1</v>
      </c>
      <c r="G2945" s="4" t="str">
        <f>HYPERLINK("http://141.218.60.56/~jnz1568/getInfo.php?workbook=18_08.xlsx&amp;sheet=U0&amp;row=2945&amp;col=7&amp;number=0.000712&amp;sourceID=14","0.000712")</f>
        <v>0.000712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HYPERLINK("http://141.218.60.56/~jnz1568/getInfo.php?workbook=18_08.xlsx&amp;sheet=U0&amp;row=2946&amp;col=6&amp;number=3.2&amp;sourceID=14","3.2")</f>
        <v>3.2</v>
      </c>
      <c r="G2946" s="4" t="str">
        <f>HYPERLINK("http://141.218.60.56/~jnz1568/getInfo.php?workbook=18_08.xlsx&amp;sheet=U0&amp;row=2946&amp;col=7&amp;number=0.000712&amp;sourceID=14","0.000712")</f>
        <v>0.000712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HYPERLINK("http://141.218.60.56/~jnz1568/getInfo.php?workbook=18_08.xlsx&amp;sheet=U0&amp;row=2947&amp;col=6&amp;number=3.3&amp;sourceID=14","3.3")</f>
        <v>3.3</v>
      </c>
      <c r="G2947" s="4" t="str">
        <f>HYPERLINK("http://141.218.60.56/~jnz1568/getInfo.php?workbook=18_08.xlsx&amp;sheet=U0&amp;row=2947&amp;col=7&amp;number=0.000712&amp;sourceID=14","0.000712")</f>
        <v>0.000712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HYPERLINK("http://141.218.60.56/~jnz1568/getInfo.php?workbook=18_08.xlsx&amp;sheet=U0&amp;row=2948&amp;col=6&amp;number=3.4&amp;sourceID=14","3.4")</f>
        <v>3.4</v>
      </c>
      <c r="G2948" s="4" t="str">
        <f>HYPERLINK("http://141.218.60.56/~jnz1568/getInfo.php?workbook=18_08.xlsx&amp;sheet=U0&amp;row=2948&amp;col=7&amp;number=0.000712&amp;sourceID=14","0.000712")</f>
        <v>0.000712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HYPERLINK("http://141.218.60.56/~jnz1568/getInfo.php?workbook=18_08.xlsx&amp;sheet=U0&amp;row=2949&amp;col=6&amp;number=3.5&amp;sourceID=14","3.5")</f>
        <v>3.5</v>
      </c>
      <c r="G2949" s="4" t="str">
        <f>HYPERLINK("http://141.218.60.56/~jnz1568/getInfo.php?workbook=18_08.xlsx&amp;sheet=U0&amp;row=2949&amp;col=7&amp;number=0.000711&amp;sourceID=14","0.000711")</f>
        <v>0.000711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HYPERLINK("http://141.218.60.56/~jnz1568/getInfo.php?workbook=18_08.xlsx&amp;sheet=U0&amp;row=2950&amp;col=6&amp;number=3.6&amp;sourceID=14","3.6")</f>
        <v>3.6</v>
      </c>
      <c r="G2950" s="4" t="str">
        <f>HYPERLINK("http://141.218.60.56/~jnz1568/getInfo.php?workbook=18_08.xlsx&amp;sheet=U0&amp;row=2950&amp;col=7&amp;number=0.000711&amp;sourceID=14","0.000711")</f>
        <v>0.000711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HYPERLINK("http://141.218.60.56/~jnz1568/getInfo.php?workbook=18_08.xlsx&amp;sheet=U0&amp;row=2951&amp;col=6&amp;number=3.7&amp;sourceID=14","3.7")</f>
        <v>3.7</v>
      </c>
      <c r="G2951" s="4" t="str">
        <f>HYPERLINK("http://141.218.60.56/~jnz1568/getInfo.php?workbook=18_08.xlsx&amp;sheet=U0&amp;row=2951&amp;col=7&amp;number=0.000711&amp;sourceID=14","0.000711")</f>
        <v>0.000711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HYPERLINK("http://141.218.60.56/~jnz1568/getInfo.php?workbook=18_08.xlsx&amp;sheet=U0&amp;row=2952&amp;col=6&amp;number=3.8&amp;sourceID=14","3.8")</f>
        <v>3.8</v>
      </c>
      <c r="G2952" s="4" t="str">
        <f>HYPERLINK("http://141.218.60.56/~jnz1568/getInfo.php?workbook=18_08.xlsx&amp;sheet=U0&amp;row=2952&amp;col=7&amp;number=0.000711&amp;sourceID=14","0.000711")</f>
        <v>0.000711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HYPERLINK("http://141.218.60.56/~jnz1568/getInfo.php?workbook=18_08.xlsx&amp;sheet=U0&amp;row=2953&amp;col=6&amp;number=3.9&amp;sourceID=14","3.9")</f>
        <v>3.9</v>
      </c>
      <c r="G2953" s="4" t="str">
        <f>HYPERLINK("http://141.218.60.56/~jnz1568/getInfo.php?workbook=18_08.xlsx&amp;sheet=U0&amp;row=2953&amp;col=7&amp;number=0.000711&amp;sourceID=14","0.000711")</f>
        <v>0.000711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HYPERLINK("http://141.218.60.56/~jnz1568/getInfo.php?workbook=18_08.xlsx&amp;sheet=U0&amp;row=2954&amp;col=6&amp;number=4&amp;sourceID=14","4")</f>
        <v>4</v>
      </c>
      <c r="G2954" s="4" t="str">
        <f>HYPERLINK("http://141.218.60.56/~jnz1568/getInfo.php?workbook=18_08.xlsx&amp;sheet=U0&amp;row=2954&amp;col=7&amp;number=0.00071&amp;sourceID=14","0.00071")</f>
        <v>0.00071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HYPERLINK("http://141.218.60.56/~jnz1568/getInfo.php?workbook=18_08.xlsx&amp;sheet=U0&amp;row=2955&amp;col=6&amp;number=4.1&amp;sourceID=14","4.1")</f>
        <v>4.1</v>
      </c>
      <c r="G2955" s="4" t="str">
        <f>HYPERLINK("http://141.218.60.56/~jnz1568/getInfo.php?workbook=18_08.xlsx&amp;sheet=U0&amp;row=2955&amp;col=7&amp;number=0.00071&amp;sourceID=14","0.00071")</f>
        <v>0.00071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HYPERLINK("http://141.218.60.56/~jnz1568/getInfo.php?workbook=18_08.xlsx&amp;sheet=U0&amp;row=2956&amp;col=6&amp;number=4.2&amp;sourceID=14","4.2")</f>
        <v>4.2</v>
      </c>
      <c r="G2956" s="4" t="str">
        <f>HYPERLINK("http://141.218.60.56/~jnz1568/getInfo.php?workbook=18_08.xlsx&amp;sheet=U0&amp;row=2956&amp;col=7&amp;number=0.000709&amp;sourceID=14","0.000709")</f>
        <v>0.000709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HYPERLINK("http://141.218.60.56/~jnz1568/getInfo.php?workbook=18_08.xlsx&amp;sheet=U0&amp;row=2957&amp;col=6&amp;number=4.3&amp;sourceID=14","4.3")</f>
        <v>4.3</v>
      </c>
      <c r="G2957" s="4" t="str">
        <f>HYPERLINK("http://141.218.60.56/~jnz1568/getInfo.php?workbook=18_08.xlsx&amp;sheet=U0&amp;row=2957&amp;col=7&amp;number=0.000709&amp;sourceID=14","0.000709")</f>
        <v>0.000709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HYPERLINK("http://141.218.60.56/~jnz1568/getInfo.php?workbook=18_08.xlsx&amp;sheet=U0&amp;row=2958&amp;col=6&amp;number=4.4&amp;sourceID=14","4.4")</f>
        <v>4.4</v>
      </c>
      <c r="G2958" s="4" t="str">
        <f>HYPERLINK("http://141.218.60.56/~jnz1568/getInfo.php?workbook=18_08.xlsx&amp;sheet=U0&amp;row=2958&amp;col=7&amp;number=0.000708&amp;sourceID=14","0.000708")</f>
        <v>0.000708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HYPERLINK("http://141.218.60.56/~jnz1568/getInfo.php?workbook=18_08.xlsx&amp;sheet=U0&amp;row=2959&amp;col=6&amp;number=4.5&amp;sourceID=14","4.5")</f>
        <v>4.5</v>
      </c>
      <c r="G2959" s="4" t="str">
        <f>HYPERLINK("http://141.218.60.56/~jnz1568/getInfo.php?workbook=18_08.xlsx&amp;sheet=U0&amp;row=2959&amp;col=7&amp;number=0.000707&amp;sourceID=14","0.000707")</f>
        <v>0.000707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HYPERLINK("http://141.218.60.56/~jnz1568/getInfo.php?workbook=18_08.xlsx&amp;sheet=U0&amp;row=2960&amp;col=6&amp;number=4.6&amp;sourceID=14","4.6")</f>
        <v>4.6</v>
      </c>
      <c r="G2960" s="4" t="str">
        <f>HYPERLINK("http://141.218.60.56/~jnz1568/getInfo.php?workbook=18_08.xlsx&amp;sheet=U0&amp;row=2960&amp;col=7&amp;number=0.000706&amp;sourceID=14","0.000706")</f>
        <v>0.000706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HYPERLINK("http://141.218.60.56/~jnz1568/getInfo.php?workbook=18_08.xlsx&amp;sheet=U0&amp;row=2961&amp;col=6&amp;number=4.7&amp;sourceID=14","4.7")</f>
        <v>4.7</v>
      </c>
      <c r="G2961" s="4" t="str">
        <f>HYPERLINK("http://141.218.60.56/~jnz1568/getInfo.php?workbook=18_08.xlsx&amp;sheet=U0&amp;row=2961&amp;col=7&amp;number=0.000704&amp;sourceID=14","0.000704")</f>
        <v>0.000704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HYPERLINK("http://141.218.60.56/~jnz1568/getInfo.php?workbook=18_08.xlsx&amp;sheet=U0&amp;row=2962&amp;col=6&amp;number=4.8&amp;sourceID=14","4.8")</f>
        <v>4.8</v>
      </c>
      <c r="G2962" s="4" t="str">
        <f>HYPERLINK("http://141.218.60.56/~jnz1568/getInfo.php?workbook=18_08.xlsx&amp;sheet=U0&amp;row=2962&amp;col=7&amp;number=0.000702&amp;sourceID=14","0.000702")</f>
        <v>0.000702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HYPERLINK("http://141.218.60.56/~jnz1568/getInfo.php?workbook=18_08.xlsx&amp;sheet=U0&amp;row=2963&amp;col=6&amp;number=4.9&amp;sourceID=14","4.9")</f>
        <v>4.9</v>
      </c>
      <c r="G2963" s="4" t="str">
        <f>HYPERLINK("http://141.218.60.56/~jnz1568/getInfo.php?workbook=18_08.xlsx&amp;sheet=U0&amp;row=2963&amp;col=7&amp;number=0.0007&amp;sourceID=14","0.0007")</f>
        <v>0.0007</v>
      </c>
    </row>
    <row r="2964" spans="1:7">
      <c r="A2964" s="3">
        <v>18</v>
      </c>
      <c r="B2964" s="3">
        <v>8</v>
      </c>
      <c r="C2964" s="3" t="s">
        <v>59</v>
      </c>
      <c r="D2964" s="3">
        <v>6</v>
      </c>
      <c r="E2964" s="3">
        <v>1</v>
      </c>
      <c r="F2964" s="4" t="str">
        <f>HYPERLINK("http://141.218.60.56/~jnz1568/getInfo.php?workbook=18_08.xlsx&amp;sheet=U0&amp;row=2964&amp;col=6&amp;number=3&amp;sourceID=14","3")</f>
        <v>3</v>
      </c>
      <c r="G2964" s="4" t="str">
        <f>HYPERLINK("http://141.218.60.56/~jnz1568/getInfo.php?workbook=18_08.xlsx&amp;sheet=U0&amp;row=2964&amp;col=7&amp;number=0.0866&amp;sourceID=14","0.0866")</f>
        <v>0.0866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HYPERLINK("http://141.218.60.56/~jnz1568/getInfo.php?workbook=18_08.xlsx&amp;sheet=U0&amp;row=2965&amp;col=6&amp;number=3.1&amp;sourceID=14","3.1")</f>
        <v>3.1</v>
      </c>
      <c r="G2965" s="4" t="str">
        <f>HYPERLINK("http://141.218.60.56/~jnz1568/getInfo.php?workbook=18_08.xlsx&amp;sheet=U0&amp;row=2965&amp;col=7&amp;number=0.0866&amp;sourceID=14","0.0866")</f>
        <v>0.0866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HYPERLINK("http://141.218.60.56/~jnz1568/getInfo.php?workbook=18_08.xlsx&amp;sheet=U0&amp;row=2966&amp;col=6&amp;number=3.2&amp;sourceID=14","3.2")</f>
        <v>3.2</v>
      </c>
      <c r="G2966" s="4" t="str">
        <f>HYPERLINK("http://141.218.60.56/~jnz1568/getInfo.php?workbook=18_08.xlsx&amp;sheet=U0&amp;row=2966&amp;col=7&amp;number=0.0866&amp;sourceID=14","0.0866")</f>
        <v>0.0866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HYPERLINK("http://141.218.60.56/~jnz1568/getInfo.php?workbook=18_08.xlsx&amp;sheet=U0&amp;row=2967&amp;col=6&amp;number=3.3&amp;sourceID=14","3.3")</f>
        <v>3.3</v>
      </c>
      <c r="G2967" s="4" t="str">
        <f>HYPERLINK("http://141.218.60.56/~jnz1568/getInfo.php?workbook=18_08.xlsx&amp;sheet=U0&amp;row=2967&amp;col=7&amp;number=0.0867&amp;sourceID=14","0.0867")</f>
        <v>0.0867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HYPERLINK("http://141.218.60.56/~jnz1568/getInfo.php?workbook=18_08.xlsx&amp;sheet=U0&amp;row=2968&amp;col=6&amp;number=3.4&amp;sourceID=14","3.4")</f>
        <v>3.4</v>
      </c>
      <c r="G2968" s="4" t="str">
        <f>HYPERLINK("http://141.218.60.56/~jnz1568/getInfo.php?workbook=18_08.xlsx&amp;sheet=U0&amp;row=2968&amp;col=7&amp;number=0.0867&amp;sourceID=14","0.0867")</f>
        <v>0.0867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HYPERLINK("http://141.218.60.56/~jnz1568/getInfo.php?workbook=18_08.xlsx&amp;sheet=U0&amp;row=2969&amp;col=6&amp;number=3.5&amp;sourceID=14","3.5")</f>
        <v>3.5</v>
      </c>
      <c r="G2969" s="4" t="str">
        <f>HYPERLINK("http://141.218.60.56/~jnz1568/getInfo.php?workbook=18_08.xlsx&amp;sheet=U0&amp;row=2969&amp;col=7&amp;number=0.0867&amp;sourceID=14","0.0867")</f>
        <v>0.0867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HYPERLINK("http://141.218.60.56/~jnz1568/getInfo.php?workbook=18_08.xlsx&amp;sheet=U0&amp;row=2970&amp;col=6&amp;number=3.6&amp;sourceID=14","3.6")</f>
        <v>3.6</v>
      </c>
      <c r="G2970" s="4" t="str">
        <f>HYPERLINK("http://141.218.60.56/~jnz1568/getInfo.php?workbook=18_08.xlsx&amp;sheet=U0&amp;row=2970&amp;col=7&amp;number=0.0867&amp;sourceID=14","0.0867")</f>
        <v>0.0867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HYPERLINK("http://141.218.60.56/~jnz1568/getInfo.php?workbook=18_08.xlsx&amp;sheet=U0&amp;row=2971&amp;col=6&amp;number=3.7&amp;sourceID=14","3.7")</f>
        <v>3.7</v>
      </c>
      <c r="G2971" s="4" t="str">
        <f>HYPERLINK("http://141.218.60.56/~jnz1568/getInfo.php?workbook=18_08.xlsx&amp;sheet=U0&amp;row=2971&amp;col=7&amp;number=0.0867&amp;sourceID=14","0.0867")</f>
        <v>0.0867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HYPERLINK("http://141.218.60.56/~jnz1568/getInfo.php?workbook=18_08.xlsx&amp;sheet=U0&amp;row=2972&amp;col=6&amp;number=3.8&amp;sourceID=14","3.8")</f>
        <v>3.8</v>
      </c>
      <c r="G2972" s="4" t="str">
        <f>HYPERLINK("http://141.218.60.56/~jnz1568/getInfo.php?workbook=18_08.xlsx&amp;sheet=U0&amp;row=2972&amp;col=7&amp;number=0.0868&amp;sourceID=14","0.0868")</f>
        <v>0.0868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HYPERLINK("http://141.218.60.56/~jnz1568/getInfo.php?workbook=18_08.xlsx&amp;sheet=U0&amp;row=2973&amp;col=6&amp;number=3.9&amp;sourceID=14","3.9")</f>
        <v>3.9</v>
      </c>
      <c r="G2973" s="4" t="str">
        <f>HYPERLINK("http://141.218.60.56/~jnz1568/getInfo.php?workbook=18_08.xlsx&amp;sheet=U0&amp;row=2973&amp;col=7&amp;number=0.0868&amp;sourceID=14","0.0868")</f>
        <v>0.0868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HYPERLINK("http://141.218.60.56/~jnz1568/getInfo.php?workbook=18_08.xlsx&amp;sheet=U0&amp;row=2974&amp;col=6&amp;number=4&amp;sourceID=14","4")</f>
        <v>4</v>
      </c>
      <c r="G2974" s="4" t="str">
        <f>HYPERLINK("http://141.218.60.56/~jnz1568/getInfo.php?workbook=18_08.xlsx&amp;sheet=U0&amp;row=2974&amp;col=7&amp;number=0.0869&amp;sourceID=14","0.0869")</f>
        <v>0.0869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HYPERLINK("http://141.218.60.56/~jnz1568/getInfo.php?workbook=18_08.xlsx&amp;sheet=U0&amp;row=2975&amp;col=6&amp;number=4.1&amp;sourceID=14","4.1")</f>
        <v>4.1</v>
      </c>
      <c r="G2975" s="4" t="str">
        <f>HYPERLINK("http://141.218.60.56/~jnz1568/getInfo.php?workbook=18_08.xlsx&amp;sheet=U0&amp;row=2975&amp;col=7&amp;number=0.0869&amp;sourceID=14","0.0869")</f>
        <v>0.0869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HYPERLINK("http://141.218.60.56/~jnz1568/getInfo.php?workbook=18_08.xlsx&amp;sheet=U0&amp;row=2976&amp;col=6&amp;number=4.2&amp;sourceID=14","4.2")</f>
        <v>4.2</v>
      </c>
      <c r="G2976" s="4" t="str">
        <f>HYPERLINK("http://141.218.60.56/~jnz1568/getInfo.php?workbook=18_08.xlsx&amp;sheet=U0&amp;row=2976&amp;col=7&amp;number=0.087&amp;sourceID=14","0.087")</f>
        <v>0.087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HYPERLINK("http://141.218.60.56/~jnz1568/getInfo.php?workbook=18_08.xlsx&amp;sheet=U0&amp;row=2977&amp;col=6&amp;number=4.3&amp;sourceID=14","4.3")</f>
        <v>4.3</v>
      </c>
      <c r="G2977" s="4" t="str">
        <f>HYPERLINK("http://141.218.60.56/~jnz1568/getInfo.php?workbook=18_08.xlsx&amp;sheet=U0&amp;row=2977&amp;col=7&amp;number=0.0871&amp;sourceID=14","0.0871")</f>
        <v>0.0871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HYPERLINK("http://141.218.60.56/~jnz1568/getInfo.php?workbook=18_08.xlsx&amp;sheet=U0&amp;row=2978&amp;col=6&amp;number=4.4&amp;sourceID=14","4.4")</f>
        <v>4.4</v>
      </c>
      <c r="G2978" s="4" t="str">
        <f>HYPERLINK("http://141.218.60.56/~jnz1568/getInfo.php?workbook=18_08.xlsx&amp;sheet=U0&amp;row=2978&amp;col=7&amp;number=0.0872&amp;sourceID=14","0.0872")</f>
        <v>0.0872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HYPERLINK("http://141.218.60.56/~jnz1568/getInfo.php?workbook=18_08.xlsx&amp;sheet=U0&amp;row=2979&amp;col=6&amp;number=4.5&amp;sourceID=14","4.5")</f>
        <v>4.5</v>
      </c>
      <c r="G2979" s="4" t="str">
        <f>HYPERLINK("http://141.218.60.56/~jnz1568/getInfo.php?workbook=18_08.xlsx&amp;sheet=U0&amp;row=2979&amp;col=7&amp;number=0.0874&amp;sourceID=14","0.0874")</f>
        <v>0.0874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HYPERLINK("http://141.218.60.56/~jnz1568/getInfo.php?workbook=18_08.xlsx&amp;sheet=U0&amp;row=2980&amp;col=6&amp;number=4.6&amp;sourceID=14","4.6")</f>
        <v>4.6</v>
      </c>
      <c r="G2980" s="4" t="str">
        <f>HYPERLINK("http://141.218.60.56/~jnz1568/getInfo.php?workbook=18_08.xlsx&amp;sheet=U0&amp;row=2980&amp;col=7&amp;number=0.0876&amp;sourceID=14","0.0876")</f>
        <v>0.0876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HYPERLINK("http://141.218.60.56/~jnz1568/getInfo.php?workbook=18_08.xlsx&amp;sheet=U0&amp;row=2981&amp;col=6&amp;number=4.7&amp;sourceID=14","4.7")</f>
        <v>4.7</v>
      </c>
      <c r="G2981" s="4" t="str">
        <f>HYPERLINK("http://141.218.60.56/~jnz1568/getInfo.php?workbook=18_08.xlsx&amp;sheet=U0&amp;row=2981&amp;col=7&amp;number=0.0878&amp;sourceID=14","0.0878")</f>
        <v>0.0878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HYPERLINK("http://141.218.60.56/~jnz1568/getInfo.php?workbook=18_08.xlsx&amp;sheet=U0&amp;row=2982&amp;col=6&amp;number=4.8&amp;sourceID=14","4.8")</f>
        <v>4.8</v>
      </c>
      <c r="G2982" s="4" t="str">
        <f>HYPERLINK("http://141.218.60.56/~jnz1568/getInfo.php?workbook=18_08.xlsx&amp;sheet=U0&amp;row=2982&amp;col=7&amp;number=0.0882&amp;sourceID=14","0.0882")</f>
        <v>0.0882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HYPERLINK("http://141.218.60.56/~jnz1568/getInfo.php?workbook=18_08.xlsx&amp;sheet=U0&amp;row=2983&amp;col=6&amp;number=4.9&amp;sourceID=14","4.9")</f>
        <v>4.9</v>
      </c>
      <c r="G2983" s="4" t="str">
        <f>HYPERLINK("http://141.218.60.56/~jnz1568/getInfo.php?workbook=18_08.xlsx&amp;sheet=U0&amp;row=2983&amp;col=7&amp;number=0.0886&amp;sourceID=14","0.0886")</f>
        <v>0.0886</v>
      </c>
    </row>
    <row r="2984" spans="1:7">
      <c r="A2984" s="3">
        <v>18</v>
      </c>
      <c r="B2984" s="3">
        <v>8</v>
      </c>
      <c r="C2984" s="3" t="s">
        <v>59</v>
      </c>
      <c r="D2984" s="3">
        <v>7</v>
      </c>
      <c r="E2984" s="3">
        <v>1</v>
      </c>
      <c r="F2984" s="4" t="str">
        <f>HYPERLINK("http://141.218.60.56/~jnz1568/getInfo.php?workbook=18_08.xlsx&amp;sheet=U0&amp;row=2984&amp;col=6&amp;number=3&amp;sourceID=14","3")</f>
        <v>3</v>
      </c>
      <c r="G2984" s="4" t="str">
        <f>HYPERLINK("http://141.218.60.56/~jnz1568/getInfo.php?workbook=18_08.xlsx&amp;sheet=U0&amp;row=2984&amp;col=7&amp;number=0.0151&amp;sourceID=14","0.0151")</f>
        <v>0.0151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HYPERLINK("http://141.218.60.56/~jnz1568/getInfo.php?workbook=18_08.xlsx&amp;sheet=U0&amp;row=2985&amp;col=6&amp;number=3.1&amp;sourceID=14","3.1")</f>
        <v>3.1</v>
      </c>
      <c r="G2985" s="4" t="str">
        <f>HYPERLINK("http://141.218.60.56/~jnz1568/getInfo.php?workbook=18_08.xlsx&amp;sheet=U0&amp;row=2985&amp;col=7&amp;number=0.0151&amp;sourceID=14","0.0151")</f>
        <v>0.0151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HYPERLINK("http://141.218.60.56/~jnz1568/getInfo.php?workbook=18_08.xlsx&amp;sheet=U0&amp;row=2986&amp;col=6&amp;number=3.2&amp;sourceID=14","3.2")</f>
        <v>3.2</v>
      </c>
      <c r="G2986" s="4" t="str">
        <f>HYPERLINK("http://141.218.60.56/~jnz1568/getInfo.php?workbook=18_08.xlsx&amp;sheet=U0&amp;row=2986&amp;col=7&amp;number=0.0151&amp;sourceID=14","0.0151")</f>
        <v>0.0151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HYPERLINK("http://141.218.60.56/~jnz1568/getInfo.php?workbook=18_08.xlsx&amp;sheet=U0&amp;row=2987&amp;col=6&amp;number=3.3&amp;sourceID=14","3.3")</f>
        <v>3.3</v>
      </c>
      <c r="G2987" s="4" t="str">
        <f>HYPERLINK("http://141.218.60.56/~jnz1568/getInfo.php?workbook=18_08.xlsx&amp;sheet=U0&amp;row=2987&amp;col=7&amp;number=0.0151&amp;sourceID=14","0.0151")</f>
        <v>0.0151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HYPERLINK("http://141.218.60.56/~jnz1568/getInfo.php?workbook=18_08.xlsx&amp;sheet=U0&amp;row=2988&amp;col=6&amp;number=3.4&amp;sourceID=14","3.4")</f>
        <v>3.4</v>
      </c>
      <c r="G2988" s="4" t="str">
        <f>HYPERLINK("http://141.218.60.56/~jnz1568/getInfo.php?workbook=18_08.xlsx&amp;sheet=U0&amp;row=2988&amp;col=7&amp;number=0.0151&amp;sourceID=14","0.0151")</f>
        <v>0.0151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HYPERLINK("http://141.218.60.56/~jnz1568/getInfo.php?workbook=18_08.xlsx&amp;sheet=U0&amp;row=2989&amp;col=6&amp;number=3.5&amp;sourceID=14","3.5")</f>
        <v>3.5</v>
      </c>
      <c r="G2989" s="4" t="str">
        <f>HYPERLINK("http://141.218.60.56/~jnz1568/getInfo.php?workbook=18_08.xlsx&amp;sheet=U0&amp;row=2989&amp;col=7&amp;number=0.0151&amp;sourceID=14","0.0151")</f>
        <v>0.0151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HYPERLINK("http://141.218.60.56/~jnz1568/getInfo.php?workbook=18_08.xlsx&amp;sheet=U0&amp;row=2990&amp;col=6&amp;number=3.6&amp;sourceID=14","3.6")</f>
        <v>3.6</v>
      </c>
      <c r="G2990" s="4" t="str">
        <f>HYPERLINK("http://141.218.60.56/~jnz1568/getInfo.php?workbook=18_08.xlsx&amp;sheet=U0&amp;row=2990&amp;col=7&amp;number=0.0151&amp;sourceID=14","0.0151")</f>
        <v>0.0151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HYPERLINK("http://141.218.60.56/~jnz1568/getInfo.php?workbook=18_08.xlsx&amp;sheet=U0&amp;row=2991&amp;col=6&amp;number=3.7&amp;sourceID=14","3.7")</f>
        <v>3.7</v>
      </c>
      <c r="G2991" s="4" t="str">
        <f>HYPERLINK("http://141.218.60.56/~jnz1568/getInfo.php?workbook=18_08.xlsx&amp;sheet=U0&amp;row=2991&amp;col=7&amp;number=0.0151&amp;sourceID=14","0.0151")</f>
        <v>0.0151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HYPERLINK("http://141.218.60.56/~jnz1568/getInfo.php?workbook=18_08.xlsx&amp;sheet=U0&amp;row=2992&amp;col=6&amp;number=3.8&amp;sourceID=14","3.8")</f>
        <v>3.8</v>
      </c>
      <c r="G2992" s="4" t="str">
        <f>HYPERLINK("http://141.218.60.56/~jnz1568/getInfo.php?workbook=18_08.xlsx&amp;sheet=U0&amp;row=2992&amp;col=7&amp;number=0.0151&amp;sourceID=14","0.0151")</f>
        <v>0.0151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HYPERLINK("http://141.218.60.56/~jnz1568/getInfo.php?workbook=18_08.xlsx&amp;sheet=U0&amp;row=2993&amp;col=6&amp;number=3.9&amp;sourceID=14","3.9")</f>
        <v>3.9</v>
      </c>
      <c r="G2993" s="4" t="str">
        <f>HYPERLINK("http://141.218.60.56/~jnz1568/getInfo.php?workbook=18_08.xlsx&amp;sheet=U0&amp;row=2993&amp;col=7&amp;number=0.0151&amp;sourceID=14","0.0151")</f>
        <v>0.0151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HYPERLINK("http://141.218.60.56/~jnz1568/getInfo.php?workbook=18_08.xlsx&amp;sheet=U0&amp;row=2994&amp;col=6&amp;number=4&amp;sourceID=14","4")</f>
        <v>4</v>
      </c>
      <c r="G2994" s="4" t="str">
        <f>HYPERLINK("http://141.218.60.56/~jnz1568/getInfo.php?workbook=18_08.xlsx&amp;sheet=U0&amp;row=2994&amp;col=7&amp;number=0.0151&amp;sourceID=14","0.0151")</f>
        <v>0.0151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HYPERLINK("http://141.218.60.56/~jnz1568/getInfo.php?workbook=18_08.xlsx&amp;sheet=U0&amp;row=2995&amp;col=6&amp;number=4.1&amp;sourceID=14","4.1")</f>
        <v>4.1</v>
      </c>
      <c r="G2995" s="4" t="str">
        <f>HYPERLINK("http://141.218.60.56/~jnz1568/getInfo.php?workbook=18_08.xlsx&amp;sheet=U0&amp;row=2995&amp;col=7&amp;number=0.0151&amp;sourceID=14","0.0151")</f>
        <v>0.0151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HYPERLINK("http://141.218.60.56/~jnz1568/getInfo.php?workbook=18_08.xlsx&amp;sheet=U0&amp;row=2996&amp;col=6&amp;number=4.2&amp;sourceID=14","4.2")</f>
        <v>4.2</v>
      </c>
      <c r="G2996" s="4" t="str">
        <f>HYPERLINK("http://141.218.60.56/~jnz1568/getInfo.php?workbook=18_08.xlsx&amp;sheet=U0&amp;row=2996&amp;col=7&amp;number=0.0151&amp;sourceID=14","0.0151")</f>
        <v>0.0151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HYPERLINK("http://141.218.60.56/~jnz1568/getInfo.php?workbook=18_08.xlsx&amp;sheet=U0&amp;row=2997&amp;col=6&amp;number=4.3&amp;sourceID=14","4.3")</f>
        <v>4.3</v>
      </c>
      <c r="G2997" s="4" t="str">
        <f>HYPERLINK("http://141.218.60.56/~jnz1568/getInfo.php?workbook=18_08.xlsx&amp;sheet=U0&amp;row=2997&amp;col=7&amp;number=0.0151&amp;sourceID=14","0.0151")</f>
        <v>0.0151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HYPERLINK("http://141.218.60.56/~jnz1568/getInfo.php?workbook=18_08.xlsx&amp;sheet=U0&amp;row=2998&amp;col=6&amp;number=4.4&amp;sourceID=14","4.4")</f>
        <v>4.4</v>
      </c>
      <c r="G2998" s="4" t="str">
        <f>HYPERLINK("http://141.218.60.56/~jnz1568/getInfo.php?workbook=18_08.xlsx&amp;sheet=U0&amp;row=2998&amp;col=7&amp;number=0.0151&amp;sourceID=14","0.0151")</f>
        <v>0.0151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HYPERLINK("http://141.218.60.56/~jnz1568/getInfo.php?workbook=18_08.xlsx&amp;sheet=U0&amp;row=2999&amp;col=6&amp;number=4.5&amp;sourceID=14","4.5")</f>
        <v>4.5</v>
      </c>
      <c r="G2999" s="4" t="str">
        <f>HYPERLINK("http://141.218.60.56/~jnz1568/getInfo.php?workbook=18_08.xlsx&amp;sheet=U0&amp;row=2999&amp;col=7&amp;number=0.0152&amp;sourceID=14","0.0152")</f>
        <v>0.0152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HYPERLINK("http://141.218.60.56/~jnz1568/getInfo.php?workbook=18_08.xlsx&amp;sheet=U0&amp;row=3000&amp;col=6&amp;number=4.6&amp;sourceID=14","4.6")</f>
        <v>4.6</v>
      </c>
      <c r="G3000" s="4" t="str">
        <f>HYPERLINK("http://141.218.60.56/~jnz1568/getInfo.php?workbook=18_08.xlsx&amp;sheet=U0&amp;row=3000&amp;col=7&amp;number=0.0152&amp;sourceID=14","0.0152")</f>
        <v>0.0152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HYPERLINK("http://141.218.60.56/~jnz1568/getInfo.php?workbook=18_08.xlsx&amp;sheet=U0&amp;row=3001&amp;col=6&amp;number=4.7&amp;sourceID=14","4.7")</f>
        <v>4.7</v>
      </c>
      <c r="G3001" s="4" t="str">
        <f>HYPERLINK("http://141.218.60.56/~jnz1568/getInfo.php?workbook=18_08.xlsx&amp;sheet=U0&amp;row=3001&amp;col=7&amp;number=0.0152&amp;sourceID=14","0.0152")</f>
        <v>0.0152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HYPERLINK("http://141.218.60.56/~jnz1568/getInfo.php?workbook=18_08.xlsx&amp;sheet=U0&amp;row=3002&amp;col=6&amp;number=4.8&amp;sourceID=14","4.8")</f>
        <v>4.8</v>
      </c>
      <c r="G3002" s="4" t="str">
        <f>HYPERLINK("http://141.218.60.56/~jnz1568/getInfo.php?workbook=18_08.xlsx&amp;sheet=U0&amp;row=3002&amp;col=7&amp;number=0.0153&amp;sourceID=14","0.0153")</f>
        <v>0.0153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HYPERLINK("http://141.218.60.56/~jnz1568/getInfo.php?workbook=18_08.xlsx&amp;sheet=U0&amp;row=3003&amp;col=6&amp;number=4.9&amp;sourceID=14","4.9")</f>
        <v>4.9</v>
      </c>
      <c r="G3003" s="4" t="str">
        <f>HYPERLINK("http://141.218.60.56/~jnz1568/getInfo.php?workbook=18_08.xlsx&amp;sheet=U0&amp;row=3003&amp;col=7&amp;number=0.0153&amp;sourceID=14","0.0153")</f>
        <v>0.0153</v>
      </c>
    </row>
    <row r="3004" spans="1:7">
      <c r="A3004" s="3">
        <v>18</v>
      </c>
      <c r="B3004" s="3">
        <v>8</v>
      </c>
      <c r="C3004" s="3" t="s">
        <v>59</v>
      </c>
      <c r="D3004" s="3">
        <v>8</v>
      </c>
      <c r="E3004" s="3">
        <v>1</v>
      </c>
      <c r="F3004" s="4" t="str">
        <f>HYPERLINK("http://141.218.60.56/~jnz1568/getInfo.php?workbook=18_08.xlsx&amp;sheet=U0&amp;row=3004&amp;col=6&amp;number=3&amp;sourceID=14","3")</f>
        <v>3</v>
      </c>
      <c r="G3004" s="4" t="str">
        <f>HYPERLINK("http://141.218.60.56/~jnz1568/getInfo.php?workbook=18_08.xlsx&amp;sheet=U0&amp;row=3004&amp;col=7&amp;number=0.00447&amp;sourceID=14","0.00447")</f>
        <v>0.00447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HYPERLINK("http://141.218.60.56/~jnz1568/getInfo.php?workbook=18_08.xlsx&amp;sheet=U0&amp;row=3005&amp;col=6&amp;number=3.1&amp;sourceID=14","3.1")</f>
        <v>3.1</v>
      </c>
      <c r="G3005" s="4" t="str">
        <f>HYPERLINK("http://141.218.60.56/~jnz1568/getInfo.php?workbook=18_08.xlsx&amp;sheet=U0&amp;row=3005&amp;col=7&amp;number=0.00447&amp;sourceID=14","0.00447")</f>
        <v>0.00447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HYPERLINK("http://141.218.60.56/~jnz1568/getInfo.php?workbook=18_08.xlsx&amp;sheet=U0&amp;row=3006&amp;col=6&amp;number=3.2&amp;sourceID=14","3.2")</f>
        <v>3.2</v>
      </c>
      <c r="G3006" s="4" t="str">
        <f>HYPERLINK("http://141.218.60.56/~jnz1568/getInfo.php?workbook=18_08.xlsx&amp;sheet=U0&amp;row=3006&amp;col=7&amp;number=0.00447&amp;sourceID=14","0.00447")</f>
        <v>0.00447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HYPERLINK("http://141.218.60.56/~jnz1568/getInfo.php?workbook=18_08.xlsx&amp;sheet=U0&amp;row=3007&amp;col=6&amp;number=3.3&amp;sourceID=14","3.3")</f>
        <v>3.3</v>
      </c>
      <c r="G3007" s="4" t="str">
        <f>HYPERLINK("http://141.218.60.56/~jnz1568/getInfo.php?workbook=18_08.xlsx&amp;sheet=U0&amp;row=3007&amp;col=7&amp;number=0.00447&amp;sourceID=14","0.00447")</f>
        <v>0.00447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HYPERLINK("http://141.218.60.56/~jnz1568/getInfo.php?workbook=18_08.xlsx&amp;sheet=U0&amp;row=3008&amp;col=6&amp;number=3.4&amp;sourceID=14","3.4")</f>
        <v>3.4</v>
      </c>
      <c r="G3008" s="4" t="str">
        <f>HYPERLINK("http://141.218.60.56/~jnz1568/getInfo.php?workbook=18_08.xlsx&amp;sheet=U0&amp;row=3008&amp;col=7&amp;number=0.00447&amp;sourceID=14","0.00447")</f>
        <v>0.00447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HYPERLINK("http://141.218.60.56/~jnz1568/getInfo.php?workbook=18_08.xlsx&amp;sheet=U0&amp;row=3009&amp;col=6&amp;number=3.5&amp;sourceID=14","3.5")</f>
        <v>3.5</v>
      </c>
      <c r="G3009" s="4" t="str">
        <f>HYPERLINK("http://141.218.60.56/~jnz1568/getInfo.php?workbook=18_08.xlsx&amp;sheet=U0&amp;row=3009&amp;col=7&amp;number=0.00447&amp;sourceID=14","0.00447")</f>
        <v>0.00447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HYPERLINK("http://141.218.60.56/~jnz1568/getInfo.php?workbook=18_08.xlsx&amp;sheet=U0&amp;row=3010&amp;col=6&amp;number=3.6&amp;sourceID=14","3.6")</f>
        <v>3.6</v>
      </c>
      <c r="G3010" s="4" t="str">
        <f>HYPERLINK("http://141.218.60.56/~jnz1568/getInfo.php?workbook=18_08.xlsx&amp;sheet=U0&amp;row=3010&amp;col=7&amp;number=0.00447&amp;sourceID=14","0.00447")</f>
        <v>0.00447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HYPERLINK("http://141.218.60.56/~jnz1568/getInfo.php?workbook=18_08.xlsx&amp;sheet=U0&amp;row=3011&amp;col=6&amp;number=3.7&amp;sourceID=14","3.7")</f>
        <v>3.7</v>
      </c>
      <c r="G3011" s="4" t="str">
        <f>HYPERLINK("http://141.218.60.56/~jnz1568/getInfo.php?workbook=18_08.xlsx&amp;sheet=U0&amp;row=3011&amp;col=7&amp;number=0.00447&amp;sourceID=14","0.00447")</f>
        <v>0.00447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HYPERLINK("http://141.218.60.56/~jnz1568/getInfo.php?workbook=18_08.xlsx&amp;sheet=U0&amp;row=3012&amp;col=6&amp;number=3.8&amp;sourceID=14","3.8")</f>
        <v>3.8</v>
      </c>
      <c r="G3012" s="4" t="str">
        <f>HYPERLINK("http://141.218.60.56/~jnz1568/getInfo.php?workbook=18_08.xlsx&amp;sheet=U0&amp;row=3012&amp;col=7&amp;number=0.00447&amp;sourceID=14","0.00447")</f>
        <v>0.00447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HYPERLINK("http://141.218.60.56/~jnz1568/getInfo.php?workbook=18_08.xlsx&amp;sheet=U0&amp;row=3013&amp;col=6&amp;number=3.9&amp;sourceID=14","3.9")</f>
        <v>3.9</v>
      </c>
      <c r="G3013" s="4" t="str">
        <f>HYPERLINK("http://141.218.60.56/~jnz1568/getInfo.php?workbook=18_08.xlsx&amp;sheet=U0&amp;row=3013&amp;col=7&amp;number=0.00447&amp;sourceID=14","0.00447")</f>
        <v>0.00447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HYPERLINK("http://141.218.60.56/~jnz1568/getInfo.php?workbook=18_08.xlsx&amp;sheet=U0&amp;row=3014&amp;col=6&amp;number=4&amp;sourceID=14","4")</f>
        <v>4</v>
      </c>
      <c r="G3014" s="4" t="str">
        <f>HYPERLINK("http://141.218.60.56/~jnz1568/getInfo.php?workbook=18_08.xlsx&amp;sheet=U0&amp;row=3014&amp;col=7&amp;number=0.00447&amp;sourceID=14","0.00447")</f>
        <v>0.00447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HYPERLINK("http://141.218.60.56/~jnz1568/getInfo.php?workbook=18_08.xlsx&amp;sheet=U0&amp;row=3015&amp;col=6&amp;number=4.1&amp;sourceID=14","4.1")</f>
        <v>4.1</v>
      </c>
      <c r="G3015" s="4" t="str">
        <f>HYPERLINK("http://141.218.60.56/~jnz1568/getInfo.php?workbook=18_08.xlsx&amp;sheet=U0&amp;row=3015&amp;col=7&amp;number=0.00446&amp;sourceID=14","0.00446")</f>
        <v>0.00446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HYPERLINK("http://141.218.60.56/~jnz1568/getInfo.php?workbook=18_08.xlsx&amp;sheet=U0&amp;row=3016&amp;col=6&amp;number=4.2&amp;sourceID=14","4.2")</f>
        <v>4.2</v>
      </c>
      <c r="G3016" s="4" t="str">
        <f>HYPERLINK("http://141.218.60.56/~jnz1568/getInfo.php?workbook=18_08.xlsx&amp;sheet=U0&amp;row=3016&amp;col=7&amp;number=0.00446&amp;sourceID=14","0.00446")</f>
        <v>0.00446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HYPERLINK("http://141.218.60.56/~jnz1568/getInfo.php?workbook=18_08.xlsx&amp;sheet=U0&amp;row=3017&amp;col=6&amp;number=4.3&amp;sourceID=14","4.3")</f>
        <v>4.3</v>
      </c>
      <c r="G3017" s="4" t="str">
        <f>HYPERLINK("http://141.218.60.56/~jnz1568/getInfo.php?workbook=18_08.xlsx&amp;sheet=U0&amp;row=3017&amp;col=7&amp;number=0.00446&amp;sourceID=14","0.00446")</f>
        <v>0.00446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HYPERLINK("http://141.218.60.56/~jnz1568/getInfo.php?workbook=18_08.xlsx&amp;sheet=U0&amp;row=3018&amp;col=6&amp;number=4.4&amp;sourceID=14","4.4")</f>
        <v>4.4</v>
      </c>
      <c r="G3018" s="4" t="str">
        <f>HYPERLINK("http://141.218.60.56/~jnz1568/getInfo.php?workbook=18_08.xlsx&amp;sheet=U0&amp;row=3018&amp;col=7&amp;number=0.00446&amp;sourceID=14","0.00446")</f>
        <v>0.00446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HYPERLINK("http://141.218.60.56/~jnz1568/getInfo.php?workbook=18_08.xlsx&amp;sheet=U0&amp;row=3019&amp;col=6&amp;number=4.5&amp;sourceID=14","4.5")</f>
        <v>4.5</v>
      </c>
      <c r="G3019" s="4" t="str">
        <f>HYPERLINK("http://141.218.60.56/~jnz1568/getInfo.php?workbook=18_08.xlsx&amp;sheet=U0&amp;row=3019&amp;col=7&amp;number=0.00445&amp;sourceID=14","0.00445")</f>
        <v>0.00445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HYPERLINK("http://141.218.60.56/~jnz1568/getInfo.php?workbook=18_08.xlsx&amp;sheet=U0&amp;row=3020&amp;col=6&amp;number=4.6&amp;sourceID=14","4.6")</f>
        <v>4.6</v>
      </c>
      <c r="G3020" s="4" t="str">
        <f>HYPERLINK("http://141.218.60.56/~jnz1568/getInfo.php?workbook=18_08.xlsx&amp;sheet=U0&amp;row=3020&amp;col=7&amp;number=0.00445&amp;sourceID=14","0.00445")</f>
        <v>0.00445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HYPERLINK("http://141.218.60.56/~jnz1568/getInfo.php?workbook=18_08.xlsx&amp;sheet=U0&amp;row=3021&amp;col=6&amp;number=4.7&amp;sourceID=14","4.7")</f>
        <v>4.7</v>
      </c>
      <c r="G3021" s="4" t="str">
        <f>HYPERLINK("http://141.218.60.56/~jnz1568/getInfo.php?workbook=18_08.xlsx&amp;sheet=U0&amp;row=3021&amp;col=7&amp;number=0.00445&amp;sourceID=14","0.00445")</f>
        <v>0.00445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HYPERLINK("http://141.218.60.56/~jnz1568/getInfo.php?workbook=18_08.xlsx&amp;sheet=U0&amp;row=3022&amp;col=6&amp;number=4.8&amp;sourceID=14","4.8")</f>
        <v>4.8</v>
      </c>
      <c r="G3022" s="4" t="str">
        <f>HYPERLINK("http://141.218.60.56/~jnz1568/getInfo.php?workbook=18_08.xlsx&amp;sheet=U0&amp;row=3022&amp;col=7&amp;number=0.00444&amp;sourceID=14","0.00444")</f>
        <v>0.00444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HYPERLINK("http://141.218.60.56/~jnz1568/getInfo.php?workbook=18_08.xlsx&amp;sheet=U0&amp;row=3023&amp;col=6&amp;number=4.9&amp;sourceID=14","4.9")</f>
        <v>4.9</v>
      </c>
      <c r="G3023" s="4" t="str">
        <f>HYPERLINK("http://141.218.60.56/~jnz1568/getInfo.php?workbook=18_08.xlsx&amp;sheet=U0&amp;row=3023&amp;col=7&amp;number=0.00443&amp;sourceID=14","0.00443")</f>
        <v>0.00443</v>
      </c>
    </row>
    <row r="3024" spans="1:7">
      <c r="A3024" s="3">
        <v>18</v>
      </c>
      <c r="B3024" s="3">
        <v>8</v>
      </c>
      <c r="C3024" s="3" t="s">
        <v>59</v>
      </c>
      <c r="D3024" s="3">
        <v>9</v>
      </c>
      <c r="E3024" s="3">
        <v>1</v>
      </c>
      <c r="F3024" s="4" t="str">
        <f>HYPERLINK("http://141.218.60.56/~jnz1568/getInfo.php?workbook=18_08.xlsx&amp;sheet=U0&amp;row=3024&amp;col=6&amp;number=3&amp;sourceID=14","3")</f>
        <v>3</v>
      </c>
      <c r="G3024" s="4" t="str">
        <f>HYPERLINK("http://141.218.60.56/~jnz1568/getInfo.php?workbook=18_08.xlsx&amp;sheet=U0&amp;row=3024&amp;col=7&amp;number=0.0268&amp;sourceID=14","0.0268")</f>
        <v>0.0268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HYPERLINK("http://141.218.60.56/~jnz1568/getInfo.php?workbook=18_08.xlsx&amp;sheet=U0&amp;row=3025&amp;col=6&amp;number=3.1&amp;sourceID=14","3.1")</f>
        <v>3.1</v>
      </c>
      <c r="G3025" s="4" t="str">
        <f>HYPERLINK("http://141.218.60.56/~jnz1568/getInfo.php?workbook=18_08.xlsx&amp;sheet=U0&amp;row=3025&amp;col=7&amp;number=0.0268&amp;sourceID=14","0.0268")</f>
        <v>0.0268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HYPERLINK("http://141.218.60.56/~jnz1568/getInfo.php?workbook=18_08.xlsx&amp;sheet=U0&amp;row=3026&amp;col=6&amp;number=3.2&amp;sourceID=14","3.2")</f>
        <v>3.2</v>
      </c>
      <c r="G3026" s="4" t="str">
        <f>HYPERLINK("http://141.218.60.56/~jnz1568/getInfo.php?workbook=18_08.xlsx&amp;sheet=U0&amp;row=3026&amp;col=7&amp;number=0.0268&amp;sourceID=14","0.0268")</f>
        <v>0.0268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HYPERLINK("http://141.218.60.56/~jnz1568/getInfo.php?workbook=18_08.xlsx&amp;sheet=U0&amp;row=3027&amp;col=6&amp;number=3.3&amp;sourceID=14","3.3")</f>
        <v>3.3</v>
      </c>
      <c r="G3027" s="4" t="str">
        <f>HYPERLINK("http://141.218.60.56/~jnz1568/getInfo.php?workbook=18_08.xlsx&amp;sheet=U0&amp;row=3027&amp;col=7&amp;number=0.0268&amp;sourceID=14","0.0268")</f>
        <v>0.0268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HYPERLINK("http://141.218.60.56/~jnz1568/getInfo.php?workbook=18_08.xlsx&amp;sheet=U0&amp;row=3028&amp;col=6&amp;number=3.4&amp;sourceID=14","3.4")</f>
        <v>3.4</v>
      </c>
      <c r="G3028" s="4" t="str">
        <f>HYPERLINK("http://141.218.60.56/~jnz1568/getInfo.php?workbook=18_08.xlsx&amp;sheet=U0&amp;row=3028&amp;col=7&amp;number=0.0268&amp;sourceID=14","0.0268")</f>
        <v>0.0268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HYPERLINK("http://141.218.60.56/~jnz1568/getInfo.php?workbook=18_08.xlsx&amp;sheet=U0&amp;row=3029&amp;col=6&amp;number=3.5&amp;sourceID=14","3.5")</f>
        <v>3.5</v>
      </c>
      <c r="G3029" s="4" t="str">
        <f>HYPERLINK("http://141.218.60.56/~jnz1568/getInfo.php?workbook=18_08.xlsx&amp;sheet=U0&amp;row=3029&amp;col=7&amp;number=0.0268&amp;sourceID=14","0.0268")</f>
        <v>0.0268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HYPERLINK("http://141.218.60.56/~jnz1568/getInfo.php?workbook=18_08.xlsx&amp;sheet=U0&amp;row=3030&amp;col=6&amp;number=3.6&amp;sourceID=14","3.6")</f>
        <v>3.6</v>
      </c>
      <c r="G3030" s="4" t="str">
        <f>HYPERLINK("http://141.218.60.56/~jnz1568/getInfo.php?workbook=18_08.xlsx&amp;sheet=U0&amp;row=3030&amp;col=7&amp;number=0.0268&amp;sourceID=14","0.0268")</f>
        <v>0.0268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HYPERLINK("http://141.218.60.56/~jnz1568/getInfo.php?workbook=18_08.xlsx&amp;sheet=U0&amp;row=3031&amp;col=6&amp;number=3.7&amp;sourceID=14","3.7")</f>
        <v>3.7</v>
      </c>
      <c r="G3031" s="4" t="str">
        <f>HYPERLINK("http://141.218.60.56/~jnz1568/getInfo.php?workbook=18_08.xlsx&amp;sheet=U0&amp;row=3031&amp;col=7&amp;number=0.0268&amp;sourceID=14","0.0268")</f>
        <v>0.0268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HYPERLINK("http://141.218.60.56/~jnz1568/getInfo.php?workbook=18_08.xlsx&amp;sheet=U0&amp;row=3032&amp;col=6&amp;number=3.8&amp;sourceID=14","3.8")</f>
        <v>3.8</v>
      </c>
      <c r="G3032" s="4" t="str">
        <f>HYPERLINK("http://141.218.60.56/~jnz1568/getInfo.php?workbook=18_08.xlsx&amp;sheet=U0&amp;row=3032&amp;col=7&amp;number=0.0268&amp;sourceID=14","0.0268")</f>
        <v>0.0268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HYPERLINK("http://141.218.60.56/~jnz1568/getInfo.php?workbook=18_08.xlsx&amp;sheet=U0&amp;row=3033&amp;col=6&amp;number=3.9&amp;sourceID=14","3.9")</f>
        <v>3.9</v>
      </c>
      <c r="G3033" s="4" t="str">
        <f>HYPERLINK("http://141.218.60.56/~jnz1568/getInfo.php?workbook=18_08.xlsx&amp;sheet=U0&amp;row=3033&amp;col=7&amp;number=0.0268&amp;sourceID=14","0.0268")</f>
        <v>0.0268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HYPERLINK("http://141.218.60.56/~jnz1568/getInfo.php?workbook=18_08.xlsx&amp;sheet=U0&amp;row=3034&amp;col=6&amp;number=4&amp;sourceID=14","4")</f>
        <v>4</v>
      </c>
      <c r="G3034" s="4" t="str">
        <f>HYPERLINK("http://141.218.60.56/~jnz1568/getInfo.php?workbook=18_08.xlsx&amp;sheet=U0&amp;row=3034&amp;col=7&amp;number=0.0268&amp;sourceID=14","0.0268")</f>
        <v>0.0268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HYPERLINK("http://141.218.60.56/~jnz1568/getInfo.php?workbook=18_08.xlsx&amp;sheet=U0&amp;row=3035&amp;col=6&amp;number=4.1&amp;sourceID=14","4.1")</f>
        <v>4.1</v>
      </c>
      <c r="G3035" s="4" t="str">
        <f>HYPERLINK("http://141.218.60.56/~jnz1568/getInfo.php?workbook=18_08.xlsx&amp;sheet=U0&amp;row=3035&amp;col=7&amp;number=0.0268&amp;sourceID=14","0.0268")</f>
        <v>0.0268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HYPERLINK("http://141.218.60.56/~jnz1568/getInfo.php?workbook=18_08.xlsx&amp;sheet=U0&amp;row=3036&amp;col=6&amp;number=4.2&amp;sourceID=14","4.2")</f>
        <v>4.2</v>
      </c>
      <c r="G3036" s="4" t="str">
        <f>HYPERLINK("http://141.218.60.56/~jnz1568/getInfo.php?workbook=18_08.xlsx&amp;sheet=U0&amp;row=3036&amp;col=7&amp;number=0.0269&amp;sourceID=14","0.0269")</f>
        <v>0.0269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HYPERLINK("http://141.218.60.56/~jnz1568/getInfo.php?workbook=18_08.xlsx&amp;sheet=U0&amp;row=3037&amp;col=6&amp;number=4.3&amp;sourceID=14","4.3")</f>
        <v>4.3</v>
      </c>
      <c r="G3037" s="4" t="str">
        <f>HYPERLINK("http://141.218.60.56/~jnz1568/getInfo.php?workbook=18_08.xlsx&amp;sheet=U0&amp;row=3037&amp;col=7&amp;number=0.0269&amp;sourceID=14","0.0269")</f>
        <v>0.0269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HYPERLINK("http://141.218.60.56/~jnz1568/getInfo.php?workbook=18_08.xlsx&amp;sheet=U0&amp;row=3038&amp;col=6&amp;number=4.4&amp;sourceID=14","4.4")</f>
        <v>4.4</v>
      </c>
      <c r="G3038" s="4" t="str">
        <f>HYPERLINK("http://141.218.60.56/~jnz1568/getInfo.php?workbook=18_08.xlsx&amp;sheet=U0&amp;row=3038&amp;col=7&amp;number=0.0269&amp;sourceID=14","0.0269")</f>
        <v>0.0269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HYPERLINK("http://141.218.60.56/~jnz1568/getInfo.php?workbook=18_08.xlsx&amp;sheet=U0&amp;row=3039&amp;col=6&amp;number=4.5&amp;sourceID=14","4.5")</f>
        <v>4.5</v>
      </c>
      <c r="G3039" s="4" t="str">
        <f>HYPERLINK("http://141.218.60.56/~jnz1568/getInfo.php?workbook=18_08.xlsx&amp;sheet=U0&amp;row=3039&amp;col=7&amp;number=0.0269&amp;sourceID=14","0.0269")</f>
        <v>0.0269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HYPERLINK("http://141.218.60.56/~jnz1568/getInfo.php?workbook=18_08.xlsx&amp;sheet=U0&amp;row=3040&amp;col=6&amp;number=4.6&amp;sourceID=14","4.6")</f>
        <v>4.6</v>
      </c>
      <c r="G3040" s="4" t="str">
        <f>HYPERLINK("http://141.218.60.56/~jnz1568/getInfo.php?workbook=18_08.xlsx&amp;sheet=U0&amp;row=3040&amp;col=7&amp;number=0.027&amp;sourceID=14","0.027")</f>
        <v>0.027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HYPERLINK("http://141.218.60.56/~jnz1568/getInfo.php?workbook=18_08.xlsx&amp;sheet=U0&amp;row=3041&amp;col=6&amp;number=4.7&amp;sourceID=14","4.7")</f>
        <v>4.7</v>
      </c>
      <c r="G3041" s="4" t="str">
        <f>HYPERLINK("http://141.218.60.56/~jnz1568/getInfo.php?workbook=18_08.xlsx&amp;sheet=U0&amp;row=3041&amp;col=7&amp;number=0.027&amp;sourceID=14","0.027")</f>
        <v>0.027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HYPERLINK("http://141.218.60.56/~jnz1568/getInfo.php?workbook=18_08.xlsx&amp;sheet=U0&amp;row=3042&amp;col=6&amp;number=4.8&amp;sourceID=14","4.8")</f>
        <v>4.8</v>
      </c>
      <c r="G3042" s="4" t="str">
        <f>HYPERLINK("http://141.218.60.56/~jnz1568/getInfo.php?workbook=18_08.xlsx&amp;sheet=U0&amp;row=3042&amp;col=7&amp;number=0.0271&amp;sourceID=14","0.0271")</f>
        <v>0.0271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HYPERLINK("http://141.218.60.56/~jnz1568/getInfo.php?workbook=18_08.xlsx&amp;sheet=U0&amp;row=3043&amp;col=6&amp;number=4.9&amp;sourceID=14","4.9")</f>
        <v>4.9</v>
      </c>
      <c r="G3043" s="4" t="str">
        <f>HYPERLINK("http://141.218.60.56/~jnz1568/getInfo.php?workbook=18_08.xlsx&amp;sheet=U0&amp;row=3043&amp;col=7&amp;number=0.0272&amp;sourceID=14","0.0272")</f>
        <v>0.0272</v>
      </c>
    </row>
    <row r="3044" spans="1:7">
      <c r="A3044" s="3">
        <v>18</v>
      </c>
      <c r="B3044" s="3">
        <v>8</v>
      </c>
      <c r="C3044" s="3" t="s">
        <v>60</v>
      </c>
      <c r="D3044" s="3">
        <v>0</v>
      </c>
      <c r="E3044" s="3">
        <v>1</v>
      </c>
      <c r="F3044" s="4" t="str">
        <f>HYPERLINK("http://141.218.60.56/~jnz1568/getInfo.php?workbook=18_08.xlsx&amp;sheet=U0&amp;row=3044&amp;col=6&amp;number=3&amp;sourceID=14","3")</f>
        <v>3</v>
      </c>
      <c r="G3044" s="4" t="str">
        <f>HYPERLINK("http://141.218.60.56/~jnz1568/getInfo.php?workbook=18_08.xlsx&amp;sheet=U0&amp;row=3044&amp;col=7&amp;number=0.0232&amp;sourceID=14","0.0232")</f>
        <v>0.0232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HYPERLINK("http://141.218.60.56/~jnz1568/getInfo.php?workbook=18_08.xlsx&amp;sheet=U0&amp;row=3045&amp;col=6&amp;number=3.1&amp;sourceID=14","3.1")</f>
        <v>3.1</v>
      </c>
      <c r="G3045" s="4" t="str">
        <f>HYPERLINK("http://141.218.60.56/~jnz1568/getInfo.php?workbook=18_08.xlsx&amp;sheet=U0&amp;row=3045&amp;col=7&amp;number=0.0232&amp;sourceID=14","0.0232")</f>
        <v>0.0232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HYPERLINK("http://141.218.60.56/~jnz1568/getInfo.php?workbook=18_08.xlsx&amp;sheet=U0&amp;row=3046&amp;col=6&amp;number=3.2&amp;sourceID=14","3.2")</f>
        <v>3.2</v>
      </c>
      <c r="G3046" s="4" t="str">
        <f>HYPERLINK("http://141.218.60.56/~jnz1568/getInfo.php?workbook=18_08.xlsx&amp;sheet=U0&amp;row=3046&amp;col=7&amp;number=0.0232&amp;sourceID=14","0.0232")</f>
        <v>0.0232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HYPERLINK("http://141.218.60.56/~jnz1568/getInfo.php?workbook=18_08.xlsx&amp;sheet=U0&amp;row=3047&amp;col=6&amp;number=3.3&amp;sourceID=14","3.3")</f>
        <v>3.3</v>
      </c>
      <c r="G3047" s="4" t="str">
        <f>HYPERLINK("http://141.218.60.56/~jnz1568/getInfo.php?workbook=18_08.xlsx&amp;sheet=U0&amp;row=3047&amp;col=7&amp;number=0.0232&amp;sourceID=14","0.0232")</f>
        <v>0.0232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HYPERLINK("http://141.218.60.56/~jnz1568/getInfo.php?workbook=18_08.xlsx&amp;sheet=U0&amp;row=3048&amp;col=6&amp;number=3.4&amp;sourceID=14","3.4")</f>
        <v>3.4</v>
      </c>
      <c r="G3048" s="4" t="str">
        <f>HYPERLINK("http://141.218.60.56/~jnz1568/getInfo.php?workbook=18_08.xlsx&amp;sheet=U0&amp;row=3048&amp;col=7&amp;number=0.0232&amp;sourceID=14","0.0232")</f>
        <v>0.0232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HYPERLINK("http://141.218.60.56/~jnz1568/getInfo.php?workbook=18_08.xlsx&amp;sheet=U0&amp;row=3049&amp;col=6&amp;number=3.5&amp;sourceID=14","3.5")</f>
        <v>3.5</v>
      </c>
      <c r="G3049" s="4" t="str">
        <f>HYPERLINK("http://141.218.60.56/~jnz1568/getInfo.php?workbook=18_08.xlsx&amp;sheet=U0&amp;row=3049&amp;col=7&amp;number=0.0232&amp;sourceID=14","0.0232")</f>
        <v>0.0232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HYPERLINK("http://141.218.60.56/~jnz1568/getInfo.php?workbook=18_08.xlsx&amp;sheet=U0&amp;row=3050&amp;col=6&amp;number=3.6&amp;sourceID=14","3.6")</f>
        <v>3.6</v>
      </c>
      <c r="G3050" s="4" t="str">
        <f>HYPERLINK("http://141.218.60.56/~jnz1568/getInfo.php?workbook=18_08.xlsx&amp;sheet=U0&amp;row=3050&amp;col=7&amp;number=0.0232&amp;sourceID=14","0.0232")</f>
        <v>0.0232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HYPERLINK("http://141.218.60.56/~jnz1568/getInfo.php?workbook=18_08.xlsx&amp;sheet=U0&amp;row=3051&amp;col=6&amp;number=3.7&amp;sourceID=14","3.7")</f>
        <v>3.7</v>
      </c>
      <c r="G3051" s="4" t="str">
        <f>HYPERLINK("http://141.218.60.56/~jnz1568/getInfo.php?workbook=18_08.xlsx&amp;sheet=U0&amp;row=3051&amp;col=7&amp;number=0.0232&amp;sourceID=14","0.0232")</f>
        <v>0.0232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HYPERLINK("http://141.218.60.56/~jnz1568/getInfo.php?workbook=18_08.xlsx&amp;sheet=U0&amp;row=3052&amp;col=6&amp;number=3.8&amp;sourceID=14","3.8")</f>
        <v>3.8</v>
      </c>
      <c r="G3052" s="4" t="str">
        <f>HYPERLINK("http://141.218.60.56/~jnz1568/getInfo.php?workbook=18_08.xlsx&amp;sheet=U0&amp;row=3052&amp;col=7&amp;number=0.0232&amp;sourceID=14","0.0232")</f>
        <v>0.0232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HYPERLINK("http://141.218.60.56/~jnz1568/getInfo.php?workbook=18_08.xlsx&amp;sheet=U0&amp;row=3053&amp;col=6&amp;number=3.9&amp;sourceID=14","3.9")</f>
        <v>3.9</v>
      </c>
      <c r="G3053" s="4" t="str">
        <f>HYPERLINK("http://141.218.60.56/~jnz1568/getInfo.php?workbook=18_08.xlsx&amp;sheet=U0&amp;row=3053&amp;col=7&amp;number=0.0232&amp;sourceID=14","0.0232")</f>
        <v>0.0232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HYPERLINK("http://141.218.60.56/~jnz1568/getInfo.php?workbook=18_08.xlsx&amp;sheet=U0&amp;row=3054&amp;col=6&amp;number=4&amp;sourceID=14","4")</f>
        <v>4</v>
      </c>
      <c r="G3054" s="4" t="str">
        <f>HYPERLINK("http://141.218.60.56/~jnz1568/getInfo.php?workbook=18_08.xlsx&amp;sheet=U0&amp;row=3054&amp;col=7&amp;number=0.0232&amp;sourceID=14","0.0232")</f>
        <v>0.0232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HYPERLINK("http://141.218.60.56/~jnz1568/getInfo.php?workbook=18_08.xlsx&amp;sheet=U0&amp;row=3055&amp;col=6&amp;number=4.1&amp;sourceID=14","4.1")</f>
        <v>4.1</v>
      </c>
      <c r="G3055" s="4" t="str">
        <f>HYPERLINK("http://141.218.60.56/~jnz1568/getInfo.php?workbook=18_08.xlsx&amp;sheet=U0&amp;row=3055&amp;col=7&amp;number=0.0232&amp;sourceID=14","0.0232")</f>
        <v>0.0232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HYPERLINK("http://141.218.60.56/~jnz1568/getInfo.php?workbook=18_08.xlsx&amp;sheet=U0&amp;row=3056&amp;col=6&amp;number=4.2&amp;sourceID=14","4.2")</f>
        <v>4.2</v>
      </c>
      <c r="G3056" s="4" t="str">
        <f>HYPERLINK("http://141.218.60.56/~jnz1568/getInfo.php?workbook=18_08.xlsx&amp;sheet=U0&amp;row=3056&amp;col=7&amp;number=0.0233&amp;sourceID=14","0.0233")</f>
        <v>0.0233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HYPERLINK("http://141.218.60.56/~jnz1568/getInfo.php?workbook=18_08.xlsx&amp;sheet=U0&amp;row=3057&amp;col=6&amp;number=4.3&amp;sourceID=14","4.3")</f>
        <v>4.3</v>
      </c>
      <c r="G3057" s="4" t="str">
        <f>HYPERLINK("http://141.218.60.56/~jnz1568/getInfo.php?workbook=18_08.xlsx&amp;sheet=U0&amp;row=3057&amp;col=7&amp;number=0.0233&amp;sourceID=14","0.0233")</f>
        <v>0.0233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HYPERLINK("http://141.218.60.56/~jnz1568/getInfo.php?workbook=18_08.xlsx&amp;sheet=U0&amp;row=3058&amp;col=6&amp;number=4.4&amp;sourceID=14","4.4")</f>
        <v>4.4</v>
      </c>
      <c r="G3058" s="4" t="str">
        <f>HYPERLINK("http://141.218.60.56/~jnz1568/getInfo.php?workbook=18_08.xlsx&amp;sheet=U0&amp;row=3058&amp;col=7&amp;number=0.0233&amp;sourceID=14","0.0233")</f>
        <v>0.0233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HYPERLINK("http://141.218.60.56/~jnz1568/getInfo.php?workbook=18_08.xlsx&amp;sheet=U0&amp;row=3059&amp;col=6&amp;number=4.5&amp;sourceID=14","4.5")</f>
        <v>4.5</v>
      </c>
      <c r="G3059" s="4" t="str">
        <f>HYPERLINK("http://141.218.60.56/~jnz1568/getInfo.php?workbook=18_08.xlsx&amp;sheet=U0&amp;row=3059&amp;col=7&amp;number=0.0234&amp;sourceID=14","0.0234")</f>
        <v>0.0234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HYPERLINK("http://141.218.60.56/~jnz1568/getInfo.php?workbook=18_08.xlsx&amp;sheet=U0&amp;row=3060&amp;col=6&amp;number=4.6&amp;sourceID=14","4.6")</f>
        <v>4.6</v>
      </c>
      <c r="G3060" s="4" t="str">
        <f>HYPERLINK("http://141.218.60.56/~jnz1568/getInfo.php?workbook=18_08.xlsx&amp;sheet=U0&amp;row=3060&amp;col=7&amp;number=0.0234&amp;sourceID=14","0.0234")</f>
        <v>0.0234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HYPERLINK("http://141.218.60.56/~jnz1568/getInfo.php?workbook=18_08.xlsx&amp;sheet=U0&amp;row=3061&amp;col=6&amp;number=4.7&amp;sourceID=14","4.7")</f>
        <v>4.7</v>
      </c>
      <c r="G3061" s="4" t="str">
        <f>HYPERLINK("http://141.218.60.56/~jnz1568/getInfo.php?workbook=18_08.xlsx&amp;sheet=U0&amp;row=3061&amp;col=7&amp;number=0.0235&amp;sourceID=14","0.0235")</f>
        <v>0.0235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HYPERLINK("http://141.218.60.56/~jnz1568/getInfo.php?workbook=18_08.xlsx&amp;sheet=U0&amp;row=3062&amp;col=6&amp;number=4.8&amp;sourceID=14","4.8")</f>
        <v>4.8</v>
      </c>
      <c r="G3062" s="4" t="str">
        <f>HYPERLINK("http://141.218.60.56/~jnz1568/getInfo.php?workbook=18_08.xlsx&amp;sheet=U0&amp;row=3062&amp;col=7&amp;number=0.0236&amp;sourceID=14","0.0236")</f>
        <v>0.0236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HYPERLINK("http://141.218.60.56/~jnz1568/getInfo.php?workbook=18_08.xlsx&amp;sheet=U0&amp;row=3063&amp;col=6&amp;number=4.9&amp;sourceID=14","4.9")</f>
        <v>4.9</v>
      </c>
      <c r="G3063" s="4" t="str">
        <f>HYPERLINK("http://141.218.60.56/~jnz1568/getInfo.php?workbook=18_08.xlsx&amp;sheet=U0&amp;row=3063&amp;col=7&amp;number=0.0237&amp;sourceID=14","0.0237")</f>
        <v>0.0237</v>
      </c>
    </row>
    <row r="3064" spans="1:7">
      <c r="A3064" s="3">
        <v>18</v>
      </c>
      <c r="B3064" s="3">
        <v>8</v>
      </c>
      <c r="C3064" s="3" t="s">
        <v>60</v>
      </c>
      <c r="D3064" s="3">
        <v>1</v>
      </c>
      <c r="E3064" s="3">
        <v>1</v>
      </c>
      <c r="F3064" s="4" t="str">
        <f>HYPERLINK("http://141.218.60.56/~jnz1568/getInfo.php?workbook=18_08.xlsx&amp;sheet=U0&amp;row=3064&amp;col=6&amp;number=3&amp;sourceID=14","3")</f>
        <v>3</v>
      </c>
      <c r="G3064" s="4" t="str">
        <f>HYPERLINK("http://141.218.60.56/~jnz1568/getInfo.php?workbook=18_08.xlsx&amp;sheet=U0&amp;row=3064&amp;col=7&amp;number=0.0284&amp;sourceID=14","0.0284")</f>
        <v>0.0284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HYPERLINK("http://141.218.60.56/~jnz1568/getInfo.php?workbook=18_08.xlsx&amp;sheet=U0&amp;row=3065&amp;col=6&amp;number=3.1&amp;sourceID=14","3.1")</f>
        <v>3.1</v>
      </c>
      <c r="G3065" s="4" t="str">
        <f>HYPERLINK("http://141.218.60.56/~jnz1568/getInfo.php?workbook=18_08.xlsx&amp;sheet=U0&amp;row=3065&amp;col=7&amp;number=0.0284&amp;sourceID=14","0.0284")</f>
        <v>0.0284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HYPERLINK("http://141.218.60.56/~jnz1568/getInfo.php?workbook=18_08.xlsx&amp;sheet=U0&amp;row=3066&amp;col=6&amp;number=3.2&amp;sourceID=14","3.2")</f>
        <v>3.2</v>
      </c>
      <c r="G3066" s="4" t="str">
        <f>HYPERLINK("http://141.218.60.56/~jnz1568/getInfo.php?workbook=18_08.xlsx&amp;sheet=U0&amp;row=3066&amp;col=7&amp;number=0.0284&amp;sourceID=14","0.0284")</f>
        <v>0.0284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HYPERLINK("http://141.218.60.56/~jnz1568/getInfo.php?workbook=18_08.xlsx&amp;sheet=U0&amp;row=3067&amp;col=6&amp;number=3.3&amp;sourceID=14","3.3")</f>
        <v>3.3</v>
      </c>
      <c r="G3067" s="4" t="str">
        <f>HYPERLINK("http://141.218.60.56/~jnz1568/getInfo.php?workbook=18_08.xlsx&amp;sheet=U0&amp;row=3067&amp;col=7&amp;number=0.0284&amp;sourceID=14","0.0284")</f>
        <v>0.0284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HYPERLINK("http://141.218.60.56/~jnz1568/getInfo.php?workbook=18_08.xlsx&amp;sheet=U0&amp;row=3068&amp;col=6&amp;number=3.4&amp;sourceID=14","3.4")</f>
        <v>3.4</v>
      </c>
      <c r="G3068" s="4" t="str">
        <f>HYPERLINK("http://141.218.60.56/~jnz1568/getInfo.php?workbook=18_08.xlsx&amp;sheet=U0&amp;row=3068&amp;col=7&amp;number=0.0284&amp;sourceID=14","0.0284")</f>
        <v>0.0284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HYPERLINK("http://141.218.60.56/~jnz1568/getInfo.php?workbook=18_08.xlsx&amp;sheet=U0&amp;row=3069&amp;col=6&amp;number=3.5&amp;sourceID=14","3.5")</f>
        <v>3.5</v>
      </c>
      <c r="G3069" s="4" t="str">
        <f>HYPERLINK("http://141.218.60.56/~jnz1568/getInfo.php?workbook=18_08.xlsx&amp;sheet=U0&amp;row=3069&amp;col=7&amp;number=0.0284&amp;sourceID=14","0.0284")</f>
        <v>0.0284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HYPERLINK("http://141.218.60.56/~jnz1568/getInfo.php?workbook=18_08.xlsx&amp;sheet=U0&amp;row=3070&amp;col=6&amp;number=3.6&amp;sourceID=14","3.6")</f>
        <v>3.6</v>
      </c>
      <c r="G3070" s="4" t="str">
        <f>HYPERLINK("http://141.218.60.56/~jnz1568/getInfo.php?workbook=18_08.xlsx&amp;sheet=U0&amp;row=3070&amp;col=7&amp;number=0.0284&amp;sourceID=14","0.0284")</f>
        <v>0.0284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HYPERLINK("http://141.218.60.56/~jnz1568/getInfo.php?workbook=18_08.xlsx&amp;sheet=U0&amp;row=3071&amp;col=6&amp;number=3.7&amp;sourceID=14","3.7")</f>
        <v>3.7</v>
      </c>
      <c r="G3071" s="4" t="str">
        <f>HYPERLINK("http://141.218.60.56/~jnz1568/getInfo.php?workbook=18_08.xlsx&amp;sheet=U0&amp;row=3071&amp;col=7&amp;number=0.0284&amp;sourceID=14","0.0284")</f>
        <v>0.0284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HYPERLINK("http://141.218.60.56/~jnz1568/getInfo.php?workbook=18_08.xlsx&amp;sheet=U0&amp;row=3072&amp;col=6&amp;number=3.8&amp;sourceID=14","3.8")</f>
        <v>3.8</v>
      </c>
      <c r="G3072" s="4" t="str">
        <f>HYPERLINK("http://141.218.60.56/~jnz1568/getInfo.php?workbook=18_08.xlsx&amp;sheet=U0&amp;row=3072&amp;col=7&amp;number=0.0284&amp;sourceID=14","0.0284")</f>
        <v>0.0284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HYPERLINK("http://141.218.60.56/~jnz1568/getInfo.php?workbook=18_08.xlsx&amp;sheet=U0&amp;row=3073&amp;col=6&amp;number=3.9&amp;sourceID=14","3.9")</f>
        <v>3.9</v>
      </c>
      <c r="G3073" s="4" t="str">
        <f>HYPERLINK("http://141.218.60.56/~jnz1568/getInfo.php?workbook=18_08.xlsx&amp;sheet=U0&amp;row=3073&amp;col=7&amp;number=0.0285&amp;sourceID=14","0.0285")</f>
        <v>0.0285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HYPERLINK("http://141.218.60.56/~jnz1568/getInfo.php?workbook=18_08.xlsx&amp;sheet=U0&amp;row=3074&amp;col=6&amp;number=4&amp;sourceID=14","4")</f>
        <v>4</v>
      </c>
      <c r="G3074" s="4" t="str">
        <f>HYPERLINK("http://141.218.60.56/~jnz1568/getInfo.php?workbook=18_08.xlsx&amp;sheet=U0&amp;row=3074&amp;col=7&amp;number=0.0285&amp;sourceID=14","0.0285")</f>
        <v>0.0285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HYPERLINK("http://141.218.60.56/~jnz1568/getInfo.php?workbook=18_08.xlsx&amp;sheet=U0&amp;row=3075&amp;col=6&amp;number=4.1&amp;sourceID=14","4.1")</f>
        <v>4.1</v>
      </c>
      <c r="G3075" s="4" t="str">
        <f>HYPERLINK("http://141.218.60.56/~jnz1568/getInfo.php?workbook=18_08.xlsx&amp;sheet=U0&amp;row=3075&amp;col=7&amp;number=0.0285&amp;sourceID=14","0.0285")</f>
        <v>0.0285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HYPERLINK("http://141.218.60.56/~jnz1568/getInfo.php?workbook=18_08.xlsx&amp;sheet=U0&amp;row=3076&amp;col=6&amp;number=4.2&amp;sourceID=14","4.2")</f>
        <v>4.2</v>
      </c>
      <c r="G3076" s="4" t="str">
        <f>HYPERLINK("http://141.218.60.56/~jnz1568/getInfo.php?workbook=18_08.xlsx&amp;sheet=U0&amp;row=3076&amp;col=7&amp;number=0.0285&amp;sourceID=14","0.0285")</f>
        <v>0.0285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HYPERLINK("http://141.218.60.56/~jnz1568/getInfo.php?workbook=18_08.xlsx&amp;sheet=U0&amp;row=3077&amp;col=6&amp;number=4.3&amp;sourceID=14","4.3")</f>
        <v>4.3</v>
      </c>
      <c r="G3077" s="4" t="str">
        <f>HYPERLINK("http://141.218.60.56/~jnz1568/getInfo.php?workbook=18_08.xlsx&amp;sheet=U0&amp;row=3077&amp;col=7&amp;number=0.0285&amp;sourceID=14","0.0285")</f>
        <v>0.0285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HYPERLINK("http://141.218.60.56/~jnz1568/getInfo.php?workbook=18_08.xlsx&amp;sheet=U0&amp;row=3078&amp;col=6&amp;number=4.4&amp;sourceID=14","4.4")</f>
        <v>4.4</v>
      </c>
      <c r="G3078" s="4" t="str">
        <f>HYPERLINK("http://141.218.60.56/~jnz1568/getInfo.php?workbook=18_08.xlsx&amp;sheet=U0&amp;row=3078&amp;col=7&amp;number=0.0285&amp;sourceID=14","0.0285")</f>
        <v>0.0285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HYPERLINK("http://141.218.60.56/~jnz1568/getInfo.php?workbook=18_08.xlsx&amp;sheet=U0&amp;row=3079&amp;col=6&amp;number=4.5&amp;sourceID=14","4.5")</f>
        <v>4.5</v>
      </c>
      <c r="G3079" s="4" t="str">
        <f>HYPERLINK("http://141.218.60.56/~jnz1568/getInfo.php?workbook=18_08.xlsx&amp;sheet=U0&amp;row=3079&amp;col=7&amp;number=0.0286&amp;sourceID=14","0.0286")</f>
        <v>0.0286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HYPERLINK("http://141.218.60.56/~jnz1568/getInfo.php?workbook=18_08.xlsx&amp;sheet=U0&amp;row=3080&amp;col=6&amp;number=4.6&amp;sourceID=14","4.6")</f>
        <v>4.6</v>
      </c>
      <c r="G3080" s="4" t="str">
        <f>HYPERLINK("http://141.218.60.56/~jnz1568/getInfo.php?workbook=18_08.xlsx&amp;sheet=U0&amp;row=3080&amp;col=7&amp;number=0.0286&amp;sourceID=14","0.0286")</f>
        <v>0.0286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HYPERLINK("http://141.218.60.56/~jnz1568/getInfo.php?workbook=18_08.xlsx&amp;sheet=U0&amp;row=3081&amp;col=6&amp;number=4.7&amp;sourceID=14","4.7")</f>
        <v>4.7</v>
      </c>
      <c r="G3081" s="4" t="str">
        <f>HYPERLINK("http://141.218.60.56/~jnz1568/getInfo.php?workbook=18_08.xlsx&amp;sheet=U0&amp;row=3081&amp;col=7&amp;number=0.0287&amp;sourceID=14","0.0287")</f>
        <v>0.0287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HYPERLINK("http://141.218.60.56/~jnz1568/getInfo.php?workbook=18_08.xlsx&amp;sheet=U0&amp;row=3082&amp;col=6&amp;number=4.8&amp;sourceID=14","4.8")</f>
        <v>4.8</v>
      </c>
      <c r="G3082" s="4" t="str">
        <f>HYPERLINK("http://141.218.60.56/~jnz1568/getInfo.php?workbook=18_08.xlsx&amp;sheet=U0&amp;row=3082&amp;col=7&amp;number=0.0288&amp;sourceID=14","0.0288")</f>
        <v>0.0288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HYPERLINK("http://141.218.60.56/~jnz1568/getInfo.php?workbook=18_08.xlsx&amp;sheet=U0&amp;row=3083&amp;col=6&amp;number=4.9&amp;sourceID=14","4.9")</f>
        <v>4.9</v>
      </c>
      <c r="G3083" s="4" t="str">
        <f>HYPERLINK("http://141.218.60.56/~jnz1568/getInfo.php?workbook=18_08.xlsx&amp;sheet=U0&amp;row=3083&amp;col=7&amp;number=0.0288&amp;sourceID=14","0.0288")</f>
        <v>0.0288</v>
      </c>
    </row>
    <row r="3084" spans="1:7">
      <c r="A3084" s="3">
        <v>18</v>
      </c>
      <c r="B3084" s="3">
        <v>8</v>
      </c>
      <c r="C3084" s="3" t="s">
        <v>60</v>
      </c>
      <c r="D3084" s="3">
        <v>2</v>
      </c>
      <c r="E3084" s="3">
        <v>1</v>
      </c>
      <c r="F3084" s="4" t="str">
        <f>HYPERLINK("http://141.218.60.56/~jnz1568/getInfo.php?workbook=18_08.xlsx&amp;sheet=U0&amp;row=3084&amp;col=6&amp;number=3&amp;sourceID=14","3")</f>
        <v>3</v>
      </c>
      <c r="G3084" s="4" t="str">
        <f>HYPERLINK("http://141.218.60.56/~jnz1568/getInfo.php?workbook=18_08.xlsx&amp;sheet=U0&amp;row=3084&amp;col=7&amp;number=0.0103&amp;sourceID=14","0.0103")</f>
        <v>0.0103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HYPERLINK("http://141.218.60.56/~jnz1568/getInfo.php?workbook=18_08.xlsx&amp;sheet=U0&amp;row=3085&amp;col=6&amp;number=3.1&amp;sourceID=14","3.1")</f>
        <v>3.1</v>
      </c>
      <c r="G3085" s="4" t="str">
        <f>HYPERLINK("http://141.218.60.56/~jnz1568/getInfo.php?workbook=18_08.xlsx&amp;sheet=U0&amp;row=3085&amp;col=7&amp;number=0.0103&amp;sourceID=14","0.0103")</f>
        <v>0.0103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HYPERLINK("http://141.218.60.56/~jnz1568/getInfo.php?workbook=18_08.xlsx&amp;sheet=U0&amp;row=3086&amp;col=6&amp;number=3.2&amp;sourceID=14","3.2")</f>
        <v>3.2</v>
      </c>
      <c r="G3086" s="4" t="str">
        <f>HYPERLINK("http://141.218.60.56/~jnz1568/getInfo.php?workbook=18_08.xlsx&amp;sheet=U0&amp;row=3086&amp;col=7&amp;number=0.0103&amp;sourceID=14","0.0103")</f>
        <v>0.0103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HYPERLINK("http://141.218.60.56/~jnz1568/getInfo.php?workbook=18_08.xlsx&amp;sheet=U0&amp;row=3087&amp;col=6&amp;number=3.3&amp;sourceID=14","3.3")</f>
        <v>3.3</v>
      </c>
      <c r="G3087" s="4" t="str">
        <f>HYPERLINK("http://141.218.60.56/~jnz1568/getInfo.php?workbook=18_08.xlsx&amp;sheet=U0&amp;row=3087&amp;col=7&amp;number=0.0103&amp;sourceID=14","0.0103")</f>
        <v>0.0103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HYPERLINK("http://141.218.60.56/~jnz1568/getInfo.php?workbook=18_08.xlsx&amp;sheet=U0&amp;row=3088&amp;col=6&amp;number=3.4&amp;sourceID=14","3.4")</f>
        <v>3.4</v>
      </c>
      <c r="G3088" s="4" t="str">
        <f>HYPERLINK("http://141.218.60.56/~jnz1568/getInfo.php?workbook=18_08.xlsx&amp;sheet=U0&amp;row=3088&amp;col=7&amp;number=0.0103&amp;sourceID=14","0.0103")</f>
        <v>0.0103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HYPERLINK("http://141.218.60.56/~jnz1568/getInfo.php?workbook=18_08.xlsx&amp;sheet=U0&amp;row=3089&amp;col=6&amp;number=3.5&amp;sourceID=14","3.5")</f>
        <v>3.5</v>
      </c>
      <c r="G3089" s="4" t="str">
        <f>HYPERLINK("http://141.218.60.56/~jnz1568/getInfo.php?workbook=18_08.xlsx&amp;sheet=U0&amp;row=3089&amp;col=7&amp;number=0.0103&amp;sourceID=14","0.0103")</f>
        <v>0.0103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HYPERLINK("http://141.218.60.56/~jnz1568/getInfo.php?workbook=18_08.xlsx&amp;sheet=U0&amp;row=3090&amp;col=6&amp;number=3.6&amp;sourceID=14","3.6")</f>
        <v>3.6</v>
      </c>
      <c r="G3090" s="4" t="str">
        <f>HYPERLINK("http://141.218.60.56/~jnz1568/getInfo.php?workbook=18_08.xlsx&amp;sheet=U0&amp;row=3090&amp;col=7&amp;number=0.0103&amp;sourceID=14","0.0103")</f>
        <v>0.0103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HYPERLINK("http://141.218.60.56/~jnz1568/getInfo.php?workbook=18_08.xlsx&amp;sheet=U0&amp;row=3091&amp;col=6&amp;number=3.7&amp;sourceID=14","3.7")</f>
        <v>3.7</v>
      </c>
      <c r="G3091" s="4" t="str">
        <f>HYPERLINK("http://141.218.60.56/~jnz1568/getInfo.php?workbook=18_08.xlsx&amp;sheet=U0&amp;row=3091&amp;col=7&amp;number=0.0103&amp;sourceID=14","0.0103")</f>
        <v>0.0103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HYPERLINK("http://141.218.60.56/~jnz1568/getInfo.php?workbook=18_08.xlsx&amp;sheet=U0&amp;row=3092&amp;col=6&amp;number=3.8&amp;sourceID=14","3.8")</f>
        <v>3.8</v>
      </c>
      <c r="G3092" s="4" t="str">
        <f>HYPERLINK("http://141.218.60.56/~jnz1568/getInfo.php?workbook=18_08.xlsx&amp;sheet=U0&amp;row=3092&amp;col=7&amp;number=0.0103&amp;sourceID=14","0.0103")</f>
        <v>0.0103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HYPERLINK("http://141.218.60.56/~jnz1568/getInfo.php?workbook=18_08.xlsx&amp;sheet=U0&amp;row=3093&amp;col=6&amp;number=3.9&amp;sourceID=14","3.9")</f>
        <v>3.9</v>
      </c>
      <c r="G3093" s="4" t="str">
        <f>HYPERLINK("http://141.218.60.56/~jnz1568/getInfo.php?workbook=18_08.xlsx&amp;sheet=U0&amp;row=3093&amp;col=7&amp;number=0.0103&amp;sourceID=14","0.0103")</f>
        <v>0.0103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HYPERLINK("http://141.218.60.56/~jnz1568/getInfo.php?workbook=18_08.xlsx&amp;sheet=U0&amp;row=3094&amp;col=6&amp;number=4&amp;sourceID=14","4")</f>
        <v>4</v>
      </c>
      <c r="G3094" s="4" t="str">
        <f>HYPERLINK("http://141.218.60.56/~jnz1568/getInfo.php?workbook=18_08.xlsx&amp;sheet=U0&amp;row=3094&amp;col=7&amp;number=0.0103&amp;sourceID=14","0.0103")</f>
        <v>0.0103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HYPERLINK("http://141.218.60.56/~jnz1568/getInfo.php?workbook=18_08.xlsx&amp;sheet=U0&amp;row=3095&amp;col=6&amp;number=4.1&amp;sourceID=14","4.1")</f>
        <v>4.1</v>
      </c>
      <c r="G3095" s="4" t="str">
        <f>HYPERLINK("http://141.218.60.56/~jnz1568/getInfo.php?workbook=18_08.xlsx&amp;sheet=U0&amp;row=3095&amp;col=7&amp;number=0.0103&amp;sourceID=14","0.0103")</f>
        <v>0.0103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HYPERLINK("http://141.218.60.56/~jnz1568/getInfo.php?workbook=18_08.xlsx&amp;sheet=U0&amp;row=3096&amp;col=6&amp;number=4.2&amp;sourceID=14","4.2")</f>
        <v>4.2</v>
      </c>
      <c r="G3096" s="4" t="str">
        <f>HYPERLINK("http://141.218.60.56/~jnz1568/getInfo.php?workbook=18_08.xlsx&amp;sheet=U0&amp;row=3096&amp;col=7&amp;number=0.0102&amp;sourceID=14","0.0102")</f>
        <v>0.0102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HYPERLINK("http://141.218.60.56/~jnz1568/getInfo.php?workbook=18_08.xlsx&amp;sheet=U0&amp;row=3097&amp;col=6&amp;number=4.3&amp;sourceID=14","4.3")</f>
        <v>4.3</v>
      </c>
      <c r="G3097" s="4" t="str">
        <f>HYPERLINK("http://141.218.60.56/~jnz1568/getInfo.php?workbook=18_08.xlsx&amp;sheet=U0&amp;row=3097&amp;col=7&amp;number=0.0102&amp;sourceID=14","0.0102")</f>
        <v>0.0102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HYPERLINK("http://141.218.60.56/~jnz1568/getInfo.php?workbook=18_08.xlsx&amp;sheet=U0&amp;row=3098&amp;col=6&amp;number=4.4&amp;sourceID=14","4.4")</f>
        <v>4.4</v>
      </c>
      <c r="G3098" s="4" t="str">
        <f>HYPERLINK("http://141.218.60.56/~jnz1568/getInfo.php?workbook=18_08.xlsx&amp;sheet=U0&amp;row=3098&amp;col=7&amp;number=0.0102&amp;sourceID=14","0.0102")</f>
        <v>0.0102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HYPERLINK("http://141.218.60.56/~jnz1568/getInfo.php?workbook=18_08.xlsx&amp;sheet=U0&amp;row=3099&amp;col=6&amp;number=4.5&amp;sourceID=14","4.5")</f>
        <v>4.5</v>
      </c>
      <c r="G3099" s="4" t="str">
        <f>HYPERLINK("http://141.218.60.56/~jnz1568/getInfo.php?workbook=18_08.xlsx&amp;sheet=U0&amp;row=3099&amp;col=7&amp;number=0.0102&amp;sourceID=14","0.0102")</f>
        <v>0.0102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HYPERLINK("http://141.218.60.56/~jnz1568/getInfo.php?workbook=18_08.xlsx&amp;sheet=U0&amp;row=3100&amp;col=6&amp;number=4.6&amp;sourceID=14","4.6")</f>
        <v>4.6</v>
      </c>
      <c r="G3100" s="4" t="str">
        <f>HYPERLINK("http://141.218.60.56/~jnz1568/getInfo.php?workbook=18_08.xlsx&amp;sheet=U0&amp;row=3100&amp;col=7&amp;number=0.0102&amp;sourceID=14","0.0102")</f>
        <v>0.0102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HYPERLINK("http://141.218.60.56/~jnz1568/getInfo.php?workbook=18_08.xlsx&amp;sheet=U0&amp;row=3101&amp;col=6&amp;number=4.7&amp;sourceID=14","4.7")</f>
        <v>4.7</v>
      </c>
      <c r="G3101" s="4" t="str">
        <f>HYPERLINK("http://141.218.60.56/~jnz1568/getInfo.php?workbook=18_08.xlsx&amp;sheet=U0&amp;row=3101&amp;col=7&amp;number=0.0102&amp;sourceID=14","0.0102")</f>
        <v>0.0102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HYPERLINK("http://141.218.60.56/~jnz1568/getInfo.php?workbook=18_08.xlsx&amp;sheet=U0&amp;row=3102&amp;col=6&amp;number=4.8&amp;sourceID=14","4.8")</f>
        <v>4.8</v>
      </c>
      <c r="G3102" s="4" t="str">
        <f>HYPERLINK("http://141.218.60.56/~jnz1568/getInfo.php?workbook=18_08.xlsx&amp;sheet=U0&amp;row=3102&amp;col=7&amp;number=0.0102&amp;sourceID=14","0.0102")</f>
        <v>0.0102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HYPERLINK("http://141.218.60.56/~jnz1568/getInfo.php?workbook=18_08.xlsx&amp;sheet=U0&amp;row=3103&amp;col=6&amp;number=4.9&amp;sourceID=14","4.9")</f>
        <v>4.9</v>
      </c>
      <c r="G3103" s="4" t="str">
        <f>HYPERLINK("http://141.218.60.56/~jnz1568/getInfo.php?workbook=18_08.xlsx&amp;sheet=U0&amp;row=3103&amp;col=7&amp;number=0.0101&amp;sourceID=14","0.0101")</f>
        <v>0.0101</v>
      </c>
    </row>
    <row r="3104" spans="1:7">
      <c r="A3104" s="3">
        <v>18</v>
      </c>
      <c r="B3104" s="3">
        <v>8</v>
      </c>
      <c r="C3104" s="3" t="s">
        <v>60</v>
      </c>
      <c r="D3104" s="3">
        <v>3</v>
      </c>
      <c r="E3104" s="3">
        <v>1</v>
      </c>
      <c r="F3104" s="4" t="str">
        <f>HYPERLINK("http://141.218.60.56/~jnz1568/getInfo.php?workbook=18_08.xlsx&amp;sheet=U0&amp;row=3104&amp;col=6&amp;number=3&amp;sourceID=14","3")</f>
        <v>3</v>
      </c>
      <c r="G3104" s="4" t="str">
        <f>HYPERLINK("http://141.218.60.56/~jnz1568/getInfo.php?workbook=18_08.xlsx&amp;sheet=U0&amp;row=3104&amp;col=7&amp;number=0.0294&amp;sourceID=14","0.0294")</f>
        <v>0.0294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HYPERLINK("http://141.218.60.56/~jnz1568/getInfo.php?workbook=18_08.xlsx&amp;sheet=U0&amp;row=3105&amp;col=6&amp;number=3.1&amp;sourceID=14","3.1")</f>
        <v>3.1</v>
      </c>
      <c r="G3105" s="4" t="str">
        <f>HYPERLINK("http://141.218.60.56/~jnz1568/getInfo.php?workbook=18_08.xlsx&amp;sheet=U0&amp;row=3105&amp;col=7&amp;number=0.0294&amp;sourceID=14","0.0294")</f>
        <v>0.0294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HYPERLINK("http://141.218.60.56/~jnz1568/getInfo.php?workbook=18_08.xlsx&amp;sheet=U0&amp;row=3106&amp;col=6&amp;number=3.2&amp;sourceID=14","3.2")</f>
        <v>3.2</v>
      </c>
      <c r="G3106" s="4" t="str">
        <f>HYPERLINK("http://141.218.60.56/~jnz1568/getInfo.php?workbook=18_08.xlsx&amp;sheet=U0&amp;row=3106&amp;col=7&amp;number=0.0294&amp;sourceID=14","0.0294")</f>
        <v>0.0294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HYPERLINK("http://141.218.60.56/~jnz1568/getInfo.php?workbook=18_08.xlsx&amp;sheet=U0&amp;row=3107&amp;col=6&amp;number=3.3&amp;sourceID=14","3.3")</f>
        <v>3.3</v>
      </c>
      <c r="G3107" s="4" t="str">
        <f>HYPERLINK("http://141.218.60.56/~jnz1568/getInfo.php?workbook=18_08.xlsx&amp;sheet=U0&amp;row=3107&amp;col=7&amp;number=0.0294&amp;sourceID=14","0.0294")</f>
        <v>0.0294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HYPERLINK("http://141.218.60.56/~jnz1568/getInfo.php?workbook=18_08.xlsx&amp;sheet=U0&amp;row=3108&amp;col=6&amp;number=3.4&amp;sourceID=14","3.4")</f>
        <v>3.4</v>
      </c>
      <c r="G3108" s="4" t="str">
        <f>HYPERLINK("http://141.218.60.56/~jnz1568/getInfo.php?workbook=18_08.xlsx&amp;sheet=U0&amp;row=3108&amp;col=7&amp;number=0.0294&amp;sourceID=14","0.0294")</f>
        <v>0.0294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HYPERLINK("http://141.218.60.56/~jnz1568/getInfo.php?workbook=18_08.xlsx&amp;sheet=U0&amp;row=3109&amp;col=6&amp;number=3.5&amp;sourceID=14","3.5")</f>
        <v>3.5</v>
      </c>
      <c r="G3109" s="4" t="str">
        <f>HYPERLINK("http://141.218.60.56/~jnz1568/getInfo.php?workbook=18_08.xlsx&amp;sheet=U0&amp;row=3109&amp;col=7&amp;number=0.0294&amp;sourceID=14","0.0294")</f>
        <v>0.0294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HYPERLINK("http://141.218.60.56/~jnz1568/getInfo.php?workbook=18_08.xlsx&amp;sheet=U0&amp;row=3110&amp;col=6&amp;number=3.6&amp;sourceID=14","3.6")</f>
        <v>3.6</v>
      </c>
      <c r="G3110" s="4" t="str">
        <f>HYPERLINK("http://141.218.60.56/~jnz1568/getInfo.php?workbook=18_08.xlsx&amp;sheet=U0&amp;row=3110&amp;col=7&amp;number=0.0294&amp;sourceID=14","0.0294")</f>
        <v>0.0294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HYPERLINK("http://141.218.60.56/~jnz1568/getInfo.php?workbook=18_08.xlsx&amp;sheet=U0&amp;row=3111&amp;col=6&amp;number=3.7&amp;sourceID=14","3.7")</f>
        <v>3.7</v>
      </c>
      <c r="G3111" s="4" t="str">
        <f>HYPERLINK("http://141.218.60.56/~jnz1568/getInfo.php?workbook=18_08.xlsx&amp;sheet=U0&amp;row=3111&amp;col=7&amp;number=0.0294&amp;sourceID=14","0.0294")</f>
        <v>0.0294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HYPERLINK("http://141.218.60.56/~jnz1568/getInfo.php?workbook=18_08.xlsx&amp;sheet=U0&amp;row=3112&amp;col=6&amp;number=3.8&amp;sourceID=14","3.8")</f>
        <v>3.8</v>
      </c>
      <c r="G3112" s="4" t="str">
        <f>HYPERLINK("http://141.218.60.56/~jnz1568/getInfo.php?workbook=18_08.xlsx&amp;sheet=U0&amp;row=3112&amp;col=7&amp;number=0.0294&amp;sourceID=14","0.0294")</f>
        <v>0.0294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HYPERLINK("http://141.218.60.56/~jnz1568/getInfo.php?workbook=18_08.xlsx&amp;sheet=U0&amp;row=3113&amp;col=6&amp;number=3.9&amp;sourceID=14","3.9")</f>
        <v>3.9</v>
      </c>
      <c r="G3113" s="4" t="str">
        <f>HYPERLINK("http://141.218.60.56/~jnz1568/getInfo.php?workbook=18_08.xlsx&amp;sheet=U0&amp;row=3113&amp;col=7&amp;number=0.0294&amp;sourceID=14","0.0294")</f>
        <v>0.0294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HYPERLINK("http://141.218.60.56/~jnz1568/getInfo.php?workbook=18_08.xlsx&amp;sheet=U0&amp;row=3114&amp;col=6&amp;number=4&amp;sourceID=14","4")</f>
        <v>4</v>
      </c>
      <c r="G3114" s="4" t="str">
        <f>HYPERLINK("http://141.218.60.56/~jnz1568/getInfo.php?workbook=18_08.xlsx&amp;sheet=U0&amp;row=3114&amp;col=7&amp;number=0.0294&amp;sourceID=14","0.0294")</f>
        <v>0.0294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HYPERLINK("http://141.218.60.56/~jnz1568/getInfo.php?workbook=18_08.xlsx&amp;sheet=U0&amp;row=3115&amp;col=6&amp;number=4.1&amp;sourceID=14","4.1")</f>
        <v>4.1</v>
      </c>
      <c r="G3115" s="4" t="str">
        <f>HYPERLINK("http://141.218.60.56/~jnz1568/getInfo.php?workbook=18_08.xlsx&amp;sheet=U0&amp;row=3115&amp;col=7&amp;number=0.0295&amp;sourceID=14","0.0295")</f>
        <v>0.0295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HYPERLINK("http://141.218.60.56/~jnz1568/getInfo.php?workbook=18_08.xlsx&amp;sheet=U0&amp;row=3116&amp;col=6&amp;number=4.2&amp;sourceID=14","4.2")</f>
        <v>4.2</v>
      </c>
      <c r="G3116" s="4" t="str">
        <f>HYPERLINK("http://141.218.60.56/~jnz1568/getInfo.php?workbook=18_08.xlsx&amp;sheet=U0&amp;row=3116&amp;col=7&amp;number=0.0295&amp;sourceID=14","0.0295")</f>
        <v>0.0295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HYPERLINK("http://141.218.60.56/~jnz1568/getInfo.php?workbook=18_08.xlsx&amp;sheet=U0&amp;row=3117&amp;col=6&amp;number=4.3&amp;sourceID=14","4.3")</f>
        <v>4.3</v>
      </c>
      <c r="G3117" s="4" t="str">
        <f>HYPERLINK("http://141.218.60.56/~jnz1568/getInfo.php?workbook=18_08.xlsx&amp;sheet=U0&amp;row=3117&amp;col=7&amp;number=0.0295&amp;sourceID=14","0.0295")</f>
        <v>0.0295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HYPERLINK("http://141.218.60.56/~jnz1568/getInfo.php?workbook=18_08.xlsx&amp;sheet=U0&amp;row=3118&amp;col=6&amp;number=4.4&amp;sourceID=14","4.4")</f>
        <v>4.4</v>
      </c>
      <c r="G3118" s="4" t="str">
        <f>HYPERLINK("http://141.218.60.56/~jnz1568/getInfo.php?workbook=18_08.xlsx&amp;sheet=U0&amp;row=3118&amp;col=7&amp;number=0.0295&amp;sourceID=14","0.0295")</f>
        <v>0.0295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HYPERLINK("http://141.218.60.56/~jnz1568/getInfo.php?workbook=18_08.xlsx&amp;sheet=U0&amp;row=3119&amp;col=6&amp;number=4.5&amp;sourceID=14","4.5")</f>
        <v>4.5</v>
      </c>
      <c r="G3119" s="4" t="str">
        <f>HYPERLINK("http://141.218.60.56/~jnz1568/getInfo.php?workbook=18_08.xlsx&amp;sheet=U0&amp;row=3119&amp;col=7&amp;number=0.0296&amp;sourceID=14","0.0296")</f>
        <v>0.0296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HYPERLINK("http://141.218.60.56/~jnz1568/getInfo.php?workbook=18_08.xlsx&amp;sheet=U0&amp;row=3120&amp;col=6&amp;number=4.6&amp;sourceID=14","4.6")</f>
        <v>4.6</v>
      </c>
      <c r="G3120" s="4" t="str">
        <f>HYPERLINK("http://141.218.60.56/~jnz1568/getInfo.php?workbook=18_08.xlsx&amp;sheet=U0&amp;row=3120&amp;col=7&amp;number=0.0296&amp;sourceID=14","0.0296")</f>
        <v>0.0296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HYPERLINK("http://141.218.60.56/~jnz1568/getInfo.php?workbook=18_08.xlsx&amp;sheet=U0&amp;row=3121&amp;col=6&amp;number=4.7&amp;sourceID=14","4.7")</f>
        <v>4.7</v>
      </c>
      <c r="G3121" s="4" t="str">
        <f>HYPERLINK("http://141.218.60.56/~jnz1568/getInfo.php?workbook=18_08.xlsx&amp;sheet=U0&amp;row=3121&amp;col=7&amp;number=0.0297&amp;sourceID=14","0.0297")</f>
        <v>0.0297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HYPERLINK("http://141.218.60.56/~jnz1568/getInfo.php?workbook=18_08.xlsx&amp;sheet=U0&amp;row=3122&amp;col=6&amp;number=4.8&amp;sourceID=14","4.8")</f>
        <v>4.8</v>
      </c>
      <c r="G3122" s="4" t="str">
        <f>HYPERLINK("http://141.218.60.56/~jnz1568/getInfo.php?workbook=18_08.xlsx&amp;sheet=U0&amp;row=3122&amp;col=7&amp;number=0.0298&amp;sourceID=14","0.0298")</f>
        <v>0.0298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HYPERLINK("http://141.218.60.56/~jnz1568/getInfo.php?workbook=18_08.xlsx&amp;sheet=U0&amp;row=3123&amp;col=6&amp;number=4.9&amp;sourceID=14","4.9")</f>
        <v>4.9</v>
      </c>
      <c r="G3123" s="4" t="str">
        <f>HYPERLINK("http://141.218.60.56/~jnz1568/getInfo.php?workbook=18_08.xlsx&amp;sheet=U0&amp;row=3123&amp;col=7&amp;number=0.0299&amp;sourceID=14","0.0299")</f>
        <v>0.0299</v>
      </c>
    </row>
    <row r="3124" spans="1:7">
      <c r="A3124" s="3">
        <v>18</v>
      </c>
      <c r="B3124" s="3">
        <v>8</v>
      </c>
      <c r="C3124" s="3" t="s">
        <v>60</v>
      </c>
      <c r="D3124" s="3">
        <v>4</v>
      </c>
      <c r="E3124" s="3">
        <v>1</v>
      </c>
      <c r="F3124" s="4" t="str">
        <f>HYPERLINK("http://141.218.60.56/~jnz1568/getInfo.php?workbook=18_08.xlsx&amp;sheet=U0&amp;row=3124&amp;col=6&amp;number=3&amp;sourceID=14","3")</f>
        <v>3</v>
      </c>
      <c r="G3124" s="4" t="str">
        <f>HYPERLINK("http://141.218.60.56/~jnz1568/getInfo.php?workbook=18_08.xlsx&amp;sheet=U0&amp;row=3124&amp;col=7&amp;number=0.00368&amp;sourceID=14","0.00368")</f>
        <v>0.00368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HYPERLINK("http://141.218.60.56/~jnz1568/getInfo.php?workbook=18_08.xlsx&amp;sheet=U0&amp;row=3125&amp;col=6&amp;number=3.1&amp;sourceID=14","3.1")</f>
        <v>3.1</v>
      </c>
      <c r="G3125" s="4" t="str">
        <f>HYPERLINK("http://141.218.60.56/~jnz1568/getInfo.php?workbook=18_08.xlsx&amp;sheet=U0&amp;row=3125&amp;col=7&amp;number=0.00368&amp;sourceID=14","0.00368")</f>
        <v>0.00368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HYPERLINK("http://141.218.60.56/~jnz1568/getInfo.php?workbook=18_08.xlsx&amp;sheet=U0&amp;row=3126&amp;col=6&amp;number=3.2&amp;sourceID=14","3.2")</f>
        <v>3.2</v>
      </c>
      <c r="G3126" s="4" t="str">
        <f>HYPERLINK("http://141.218.60.56/~jnz1568/getInfo.php?workbook=18_08.xlsx&amp;sheet=U0&amp;row=3126&amp;col=7&amp;number=0.00368&amp;sourceID=14","0.00368")</f>
        <v>0.00368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HYPERLINK("http://141.218.60.56/~jnz1568/getInfo.php?workbook=18_08.xlsx&amp;sheet=U0&amp;row=3127&amp;col=6&amp;number=3.3&amp;sourceID=14","3.3")</f>
        <v>3.3</v>
      </c>
      <c r="G3127" s="4" t="str">
        <f>HYPERLINK("http://141.218.60.56/~jnz1568/getInfo.php?workbook=18_08.xlsx&amp;sheet=U0&amp;row=3127&amp;col=7&amp;number=0.00368&amp;sourceID=14","0.00368")</f>
        <v>0.00368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HYPERLINK("http://141.218.60.56/~jnz1568/getInfo.php?workbook=18_08.xlsx&amp;sheet=U0&amp;row=3128&amp;col=6&amp;number=3.4&amp;sourceID=14","3.4")</f>
        <v>3.4</v>
      </c>
      <c r="G3128" s="4" t="str">
        <f>HYPERLINK("http://141.218.60.56/~jnz1568/getInfo.php?workbook=18_08.xlsx&amp;sheet=U0&amp;row=3128&amp;col=7&amp;number=0.00368&amp;sourceID=14","0.00368")</f>
        <v>0.00368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HYPERLINK("http://141.218.60.56/~jnz1568/getInfo.php?workbook=18_08.xlsx&amp;sheet=U0&amp;row=3129&amp;col=6&amp;number=3.5&amp;sourceID=14","3.5")</f>
        <v>3.5</v>
      </c>
      <c r="G3129" s="4" t="str">
        <f>HYPERLINK("http://141.218.60.56/~jnz1568/getInfo.php?workbook=18_08.xlsx&amp;sheet=U0&amp;row=3129&amp;col=7&amp;number=0.00368&amp;sourceID=14","0.00368")</f>
        <v>0.00368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HYPERLINK("http://141.218.60.56/~jnz1568/getInfo.php?workbook=18_08.xlsx&amp;sheet=U0&amp;row=3130&amp;col=6&amp;number=3.6&amp;sourceID=14","3.6")</f>
        <v>3.6</v>
      </c>
      <c r="G3130" s="4" t="str">
        <f>HYPERLINK("http://141.218.60.56/~jnz1568/getInfo.php?workbook=18_08.xlsx&amp;sheet=U0&amp;row=3130&amp;col=7&amp;number=0.00368&amp;sourceID=14","0.00368")</f>
        <v>0.00368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HYPERLINK("http://141.218.60.56/~jnz1568/getInfo.php?workbook=18_08.xlsx&amp;sheet=U0&amp;row=3131&amp;col=6&amp;number=3.7&amp;sourceID=14","3.7")</f>
        <v>3.7</v>
      </c>
      <c r="G3131" s="4" t="str">
        <f>HYPERLINK("http://141.218.60.56/~jnz1568/getInfo.php?workbook=18_08.xlsx&amp;sheet=U0&amp;row=3131&amp;col=7&amp;number=0.00368&amp;sourceID=14","0.00368")</f>
        <v>0.00368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HYPERLINK("http://141.218.60.56/~jnz1568/getInfo.php?workbook=18_08.xlsx&amp;sheet=U0&amp;row=3132&amp;col=6&amp;number=3.8&amp;sourceID=14","3.8")</f>
        <v>3.8</v>
      </c>
      <c r="G3132" s="4" t="str">
        <f>HYPERLINK("http://141.218.60.56/~jnz1568/getInfo.php?workbook=18_08.xlsx&amp;sheet=U0&amp;row=3132&amp;col=7&amp;number=0.00368&amp;sourceID=14","0.00368")</f>
        <v>0.00368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HYPERLINK("http://141.218.60.56/~jnz1568/getInfo.php?workbook=18_08.xlsx&amp;sheet=U0&amp;row=3133&amp;col=6&amp;number=3.9&amp;sourceID=14","3.9")</f>
        <v>3.9</v>
      </c>
      <c r="G3133" s="4" t="str">
        <f>HYPERLINK("http://141.218.60.56/~jnz1568/getInfo.php?workbook=18_08.xlsx&amp;sheet=U0&amp;row=3133&amp;col=7&amp;number=0.00368&amp;sourceID=14","0.00368")</f>
        <v>0.00368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HYPERLINK("http://141.218.60.56/~jnz1568/getInfo.php?workbook=18_08.xlsx&amp;sheet=U0&amp;row=3134&amp;col=6&amp;number=4&amp;sourceID=14","4")</f>
        <v>4</v>
      </c>
      <c r="G3134" s="4" t="str">
        <f>HYPERLINK("http://141.218.60.56/~jnz1568/getInfo.php?workbook=18_08.xlsx&amp;sheet=U0&amp;row=3134&amp;col=7&amp;number=0.00367&amp;sourceID=14","0.00367")</f>
        <v>0.00367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HYPERLINK("http://141.218.60.56/~jnz1568/getInfo.php?workbook=18_08.xlsx&amp;sheet=U0&amp;row=3135&amp;col=6&amp;number=4.1&amp;sourceID=14","4.1")</f>
        <v>4.1</v>
      </c>
      <c r="G3135" s="4" t="str">
        <f>HYPERLINK("http://141.218.60.56/~jnz1568/getInfo.php?workbook=18_08.xlsx&amp;sheet=U0&amp;row=3135&amp;col=7&amp;number=0.00367&amp;sourceID=14","0.00367")</f>
        <v>0.00367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HYPERLINK("http://141.218.60.56/~jnz1568/getInfo.php?workbook=18_08.xlsx&amp;sheet=U0&amp;row=3136&amp;col=6&amp;number=4.2&amp;sourceID=14","4.2")</f>
        <v>4.2</v>
      </c>
      <c r="G3136" s="4" t="str">
        <f>HYPERLINK("http://141.218.60.56/~jnz1568/getInfo.php?workbook=18_08.xlsx&amp;sheet=U0&amp;row=3136&amp;col=7&amp;number=0.00367&amp;sourceID=14","0.00367")</f>
        <v>0.00367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HYPERLINK("http://141.218.60.56/~jnz1568/getInfo.php?workbook=18_08.xlsx&amp;sheet=U0&amp;row=3137&amp;col=6&amp;number=4.3&amp;sourceID=14","4.3")</f>
        <v>4.3</v>
      </c>
      <c r="G3137" s="4" t="str">
        <f>HYPERLINK("http://141.218.60.56/~jnz1568/getInfo.php?workbook=18_08.xlsx&amp;sheet=U0&amp;row=3137&amp;col=7&amp;number=0.00367&amp;sourceID=14","0.00367")</f>
        <v>0.00367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HYPERLINK("http://141.218.60.56/~jnz1568/getInfo.php?workbook=18_08.xlsx&amp;sheet=U0&amp;row=3138&amp;col=6&amp;number=4.4&amp;sourceID=14","4.4")</f>
        <v>4.4</v>
      </c>
      <c r="G3138" s="4" t="str">
        <f>HYPERLINK("http://141.218.60.56/~jnz1568/getInfo.php?workbook=18_08.xlsx&amp;sheet=U0&amp;row=3138&amp;col=7&amp;number=0.00366&amp;sourceID=14","0.00366")</f>
        <v>0.00366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HYPERLINK("http://141.218.60.56/~jnz1568/getInfo.php?workbook=18_08.xlsx&amp;sheet=U0&amp;row=3139&amp;col=6&amp;number=4.5&amp;sourceID=14","4.5")</f>
        <v>4.5</v>
      </c>
      <c r="G3139" s="4" t="str">
        <f>HYPERLINK("http://141.218.60.56/~jnz1568/getInfo.php?workbook=18_08.xlsx&amp;sheet=U0&amp;row=3139&amp;col=7&amp;number=0.00366&amp;sourceID=14","0.00366")</f>
        <v>0.00366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HYPERLINK("http://141.218.60.56/~jnz1568/getInfo.php?workbook=18_08.xlsx&amp;sheet=U0&amp;row=3140&amp;col=6&amp;number=4.6&amp;sourceID=14","4.6")</f>
        <v>4.6</v>
      </c>
      <c r="G3140" s="4" t="str">
        <f>HYPERLINK("http://141.218.60.56/~jnz1568/getInfo.php?workbook=18_08.xlsx&amp;sheet=U0&amp;row=3140&amp;col=7&amp;number=0.00365&amp;sourceID=14","0.00365")</f>
        <v>0.00365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HYPERLINK("http://141.218.60.56/~jnz1568/getInfo.php?workbook=18_08.xlsx&amp;sheet=U0&amp;row=3141&amp;col=6&amp;number=4.7&amp;sourceID=14","4.7")</f>
        <v>4.7</v>
      </c>
      <c r="G3141" s="4" t="str">
        <f>HYPERLINK("http://141.218.60.56/~jnz1568/getInfo.php?workbook=18_08.xlsx&amp;sheet=U0&amp;row=3141&amp;col=7&amp;number=0.00364&amp;sourceID=14","0.00364")</f>
        <v>0.00364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HYPERLINK("http://141.218.60.56/~jnz1568/getInfo.php?workbook=18_08.xlsx&amp;sheet=U0&amp;row=3142&amp;col=6&amp;number=4.8&amp;sourceID=14","4.8")</f>
        <v>4.8</v>
      </c>
      <c r="G3142" s="4" t="str">
        <f>HYPERLINK("http://141.218.60.56/~jnz1568/getInfo.php?workbook=18_08.xlsx&amp;sheet=U0&amp;row=3142&amp;col=7&amp;number=0.00363&amp;sourceID=14","0.00363")</f>
        <v>0.00363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HYPERLINK("http://141.218.60.56/~jnz1568/getInfo.php?workbook=18_08.xlsx&amp;sheet=U0&amp;row=3143&amp;col=6&amp;number=4.9&amp;sourceID=14","4.9")</f>
        <v>4.9</v>
      </c>
      <c r="G3143" s="4" t="str">
        <f>HYPERLINK("http://141.218.60.56/~jnz1568/getInfo.php?workbook=18_08.xlsx&amp;sheet=U0&amp;row=3143&amp;col=7&amp;number=0.00362&amp;sourceID=14","0.00362")</f>
        <v>0.00362</v>
      </c>
    </row>
    <row r="3144" spans="1:7">
      <c r="A3144" s="3">
        <v>18</v>
      </c>
      <c r="B3144" s="3">
        <v>8</v>
      </c>
      <c r="C3144" s="3" t="s">
        <v>60</v>
      </c>
      <c r="D3144" s="3">
        <v>5</v>
      </c>
      <c r="E3144" s="3">
        <v>1</v>
      </c>
      <c r="F3144" s="4" t="str">
        <f>HYPERLINK("http://141.218.60.56/~jnz1568/getInfo.php?workbook=18_08.xlsx&amp;sheet=U0&amp;row=3144&amp;col=6&amp;number=3&amp;sourceID=14","3")</f>
        <v>3</v>
      </c>
      <c r="G3144" s="4" t="str">
        <f>HYPERLINK("http://141.218.60.56/~jnz1568/getInfo.php?workbook=18_08.xlsx&amp;sheet=U0&amp;row=3144&amp;col=7&amp;number=0.00571&amp;sourceID=14","0.00571")</f>
        <v>0.00571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HYPERLINK("http://141.218.60.56/~jnz1568/getInfo.php?workbook=18_08.xlsx&amp;sheet=U0&amp;row=3145&amp;col=6&amp;number=3.1&amp;sourceID=14","3.1")</f>
        <v>3.1</v>
      </c>
      <c r="G3145" s="4" t="str">
        <f>HYPERLINK("http://141.218.60.56/~jnz1568/getInfo.php?workbook=18_08.xlsx&amp;sheet=U0&amp;row=3145&amp;col=7&amp;number=0.00571&amp;sourceID=14","0.00571")</f>
        <v>0.00571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HYPERLINK("http://141.218.60.56/~jnz1568/getInfo.php?workbook=18_08.xlsx&amp;sheet=U0&amp;row=3146&amp;col=6&amp;number=3.2&amp;sourceID=14","3.2")</f>
        <v>3.2</v>
      </c>
      <c r="G3146" s="4" t="str">
        <f>HYPERLINK("http://141.218.60.56/~jnz1568/getInfo.php?workbook=18_08.xlsx&amp;sheet=U0&amp;row=3146&amp;col=7&amp;number=0.00571&amp;sourceID=14","0.00571")</f>
        <v>0.00571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HYPERLINK("http://141.218.60.56/~jnz1568/getInfo.php?workbook=18_08.xlsx&amp;sheet=U0&amp;row=3147&amp;col=6&amp;number=3.3&amp;sourceID=14","3.3")</f>
        <v>3.3</v>
      </c>
      <c r="G3147" s="4" t="str">
        <f>HYPERLINK("http://141.218.60.56/~jnz1568/getInfo.php?workbook=18_08.xlsx&amp;sheet=U0&amp;row=3147&amp;col=7&amp;number=0.00571&amp;sourceID=14","0.00571")</f>
        <v>0.00571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HYPERLINK("http://141.218.60.56/~jnz1568/getInfo.php?workbook=18_08.xlsx&amp;sheet=U0&amp;row=3148&amp;col=6&amp;number=3.4&amp;sourceID=14","3.4")</f>
        <v>3.4</v>
      </c>
      <c r="G3148" s="4" t="str">
        <f>HYPERLINK("http://141.218.60.56/~jnz1568/getInfo.php?workbook=18_08.xlsx&amp;sheet=U0&amp;row=3148&amp;col=7&amp;number=0.00571&amp;sourceID=14","0.00571")</f>
        <v>0.00571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HYPERLINK("http://141.218.60.56/~jnz1568/getInfo.php?workbook=18_08.xlsx&amp;sheet=U0&amp;row=3149&amp;col=6&amp;number=3.5&amp;sourceID=14","3.5")</f>
        <v>3.5</v>
      </c>
      <c r="G3149" s="4" t="str">
        <f>HYPERLINK("http://141.218.60.56/~jnz1568/getInfo.php?workbook=18_08.xlsx&amp;sheet=U0&amp;row=3149&amp;col=7&amp;number=0.00571&amp;sourceID=14","0.00571")</f>
        <v>0.00571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HYPERLINK("http://141.218.60.56/~jnz1568/getInfo.php?workbook=18_08.xlsx&amp;sheet=U0&amp;row=3150&amp;col=6&amp;number=3.6&amp;sourceID=14","3.6")</f>
        <v>3.6</v>
      </c>
      <c r="G3150" s="4" t="str">
        <f>HYPERLINK("http://141.218.60.56/~jnz1568/getInfo.php?workbook=18_08.xlsx&amp;sheet=U0&amp;row=3150&amp;col=7&amp;number=0.00571&amp;sourceID=14","0.00571")</f>
        <v>0.00571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HYPERLINK("http://141.218.60.56/~jnz1568/getInfo.php?workbook=18_08.xlsx&amp;sheet=U0&amp;row=3151&amp;col=6&amp;number=3.7&amp;sourceID=14","3.7")</f>
        <v>3.7</v>
      </c>
      <c r="G3151" s="4" t="str">
        <f>HYPERLINK("http://141.218.60.56/~jnz1568/getInfo.php?workbook=18_08.xlsx&amp;sheet=U0&amp;row=3151&amp;col=7&amp;number=0.00571&amp;sourceID=14","0.00571")</f>
        <v>0.00571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HYPERLINK("http://141.218.60.56/~jnz1568/getInfo.php?workbook=18_08.xlsx&amp;sheet=U0&amp;row=3152&amp;col=6&amp;number=3.8&amp;sourceID=14","3.8")</f>
        <v>3.8</v>
      </c>
      <c r="G3152" s="4" t="str">
        <f>HYPERLINK("http://141.218.60.56/~jnz1568/getInfo.php?workbook=18_08.xlsx&amp;sheet=U0&amp;row=3152&amp;col=7&amp;number=0.00571&amp;sourceID=14","0.00571")</f>
        <v>0.00571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HYPERLINK("http://141.218.60.56/~jnz1568/getInfo.php?workbook=18_08.xlsx&amp;sheet=U0&amp;row=3153&amp;col=6&amp;number=3.9&amp;sourceID=14","3.9")</f>
        <v>3.9</v>
      </c>
      <c r="G3153" s="4" t="str">
        <f>HYPERLINK("http://141.218.60.56/~jnz1568/getInfo.php?workbook=18_08.xlsx&amp;sheet=U0&amp;row=3153&amp;col=7&amp;number=0.00571&amp;sourceID=14","0.00571")</f>
        <v>0.00571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HYPERLINK("http://141.218.60.56/~jnz1568/getInfo.php?workbook=18_08.xlsx&amp;sheet=U0&amp;row=3154&amp;col=6&amp;number=4&amp;sourceID=14","4")</f>
        <v>4</v>
      </c>
      <c r="G3154" s="4" t="str">
        <f>HYPERLINK("http://141.218.60.56/~jnz1568/getInfo.php?workbook=18_08.xlsx&amp;sheet=U0&amp;row=3154&amp;col=7&amp;number=0.00571&amp;sourceID=14","0.00571")</f>
        <v>0.00571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HYPERLINK("http://141.218.60.56/~jnz1568/getInfo.php?workbook=18_08.xlsx&amp;sheet=U0&amp;row=3155&amp;col=6&amp;number=4.1&amp;sourceID=14","4.1")</f>
        <v>4.1</v>
      </c>
      <c r="G3155" s="4" t="str">
        <f>HYPERLINK("http://141.218.60.56/~jnz1568/getInfo.php?workbook=18_08.xlsx&amp;sheet=U0&amp;row=3155&amp;col=7&amp;number=0.00571&amp;sourceID=14","0.00571")</f>
        <v>0.00571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HYPERLINK("http://141.218.60.56/~jnz1568/getInfo.php?workbook=18_08.xlsx&amp;sheet=U0&amp;row=3156&amp;col=6&amp;number=4.2&amp;sourceID=14","4.2")</f>
        <v>4.2</v>
      </c>
      <c r="G3156" s="4" t="str">
        <f>HYPERLINK("http://141.218.60.56/~jnz1568/getInfo.php?workbook=18_08.xlsx&amp;sheet=U0&amp;row=3156&amp;col=7&amp;number=0.0057&amp;sourceID=14","0.0057")</f>
        <v>0.0057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HYPERLINK("http://141.218.60.56/~jnz1568/getInfo.php?workbook=18_08.xlsx&amp;sheet=U0&amp;row=3157&amp;col=6&amp;number=4.3&amp;sourceID=14","4.3")</f>
        <v>4.3</v>
      </c>
      <c r="G3157" s="4" t="str">
        <f>HYPERLINK("http://141.218.60.56/~jnz1568/getInfo.php?workbook=18_08.xlsx&amp;sheet=U0&amp;row=3157&amp;col=7&amp;number=0.0057&amp;sourceID=14","0.0057")</f>
        <v>0.0057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HYPERLINK("http://141.218.60.56/~jnz1568/getInfo.php?workbook=18_08.xlsx&amp;sheet=U0&amp;row=3158&amp;col=6&amp;number=4.4&amp;sourceID=14","4.4")</f>
        <v>4.4</v>
      </c>
      <c r="G3158" s="4" t="str">
        <f>HYPERLINK("http://141.218.60.56/~jnz1568/getInfo.php?workbook=18_08.xlsx&amp;sheet=U0&amp;row=3158&amp;col=7&amp;number=0.0057&amp;sourceID=14","0.0057")</f>
        <v>0.0057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HYPERLINK("http://141.218.60.56/~jnz1568/getInfo.php?workbook=18_08.xlsx&amp;sheet=U0&amp;row=3159&amp;col=6&amp;number=4.5&amp;sourceID=14","4.5")</f>
        <v>4.5</v>
      </c>
      <c r="G3159" s="4" t="str">
        <f>HYPERLINK("http://141.218.60.56/~jnz1568/getInfo.php?workbook=18_08.xlsx&amp;sheet=U0&amp;row=3159&amp;col=7&amp;number=0.0057&amp;sourceID=14","0.0057")</f>
        <v>0.0057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HYPERLINK("http://141.218.60.56/~jnz1568/getInfo.php?workbook=18_08.xlsx&amp;sheet=U0&amp;row=3160&amp;col=6&amp;number=4.6&amp;sourceID=14","4.6")</f>
        <v>4.6</v>
      </c>
      <c r="G3160" s="4" t="str">
        <f>HYPERLINK("http://141.218.60.56/~jnz1568/getInfo.php?workbook=18_08.xlsx&amp;sheet=U0&amp;row=3160&amp;col=7&amp;number=0.00569&amp;sourceID=14","0.00569")</f>
        <v>0.00569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HYPERLINK("http://141.218.60.56/~jnz1568/getInfo.php?workbook=18_08.xlsx&amp;sheet=U0&amp;row=3161&amp;col=6&amp;number=4.7&amp;sourceID=14","4.7")</f>
        <v>4.7</v>
      </c>
      <c r="G3161" s="4" t="str">
        <f>HYPERLINK("http://141.218.60.56/~jnz1568/getInfo.php?workbook=18_08.xlsx&amp;sheet=U0&amp;row=3161&amp;col=7&amp;number=0.00569&amp;sourceID=14","0.00569")</f>
        <v>0.00569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HYPERLINK("http://141.218.60.56/~jnz1568/getInfo.php?workbook=18_08.xlsx&amp;sheet=U0&amp;row=3162&amp;col=6&amp;number=4.8&amp;sourceID=14","4.8")</f>
        <v>4.8</v>
      </c>
      <c r="G3162" s="4" t="str">
        <f>HYPERLINK("http://141.218.60.56/~jnz1568/getInfo.php?workbook=18_08.xlsx&amp;sheet=U0&amp;row=3162&amp;col=7&amp;number=0.00568&amp;sourceID=14","0.00568")</f>
        <v>0.00568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HYPERLINK("http://141.218.60.56/~jnz1568/getInfo.php?workbook=18_08.xlsx&amp;sheet=U0&amp;row=3163&amp;col=6&amp;number=4.9&amp;sourceID=14","4.9")</f>
        <v>4.9</v>
      </c>
      <c r="G3163" s="4" t="str">
        <f>HYPERLINK("http://141.218.60.56/~jnz1568/getInfo.php?workbook=18_08.xlsx&amp;sheet=U0&amp;row=3163&amp;col=7&amp;number=0.00567&amp;sourceID=14","0.00567")</f>
        <v>0.00567</v>
      </c>
    </row>
    <row r="3164" spans="1:7">
      <c r="A3164" s="3">
        <v>18</v>
      </c>
      <c r="B3164" s="3">
        <v>8</v>
      </c>
      <c r="C3164" s="3" t="s">
        <v>60</v>
      </c>
      <c r="D3164" s="3">
        <v>6</v>
      </c>
      <c r="E3164" s="3">
        <v>1</v>
      </c>
      <c r="F3164" s="4" t="str">
        <f>HYPERLINK("http://141.218.60.56/~jnz1568/getInfo.php?workbook=18_08.xlsx&amp;sheet=U0&amp;row=3164&amp;col=6&amp;number=3&amp;sourceID=14","3")</f>
        <v>3</v>
      </c>
      <c r="G3164" s="4" t="str">
        <f>HYPERLINK("http://141.218.60.56/~jnz1568/getInfo.php?workbook=18_08.xlsx&amp;sheet=U0&amp;row=3164&amp;col=7&amp;number=0.00627&amp;sourceID=14","0.00627")</f>
        <v>0.00627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HYPERLINK("http://141.218.60.56/~jnz1568/getInfo.php?workbook=18_08.xlsx&amp;sheet=U0&amp;row=3165&amp;col=6&amp;number=3.1&amp;sourceID=14","3.1")</f>
        <v>3.1</v>
      </c>
      <c r="G3165" s="4" t="str">
        <f>HYPERLINK("http://141.218.60.56/~jnz1568/getInfo.php?workbook=18_08.xlsx&amp;sheet=U0&amp;row=3165&amp;col=7&amp;number=0.00627&amp;sourceID=14","0.00627")</f>
        <v>0.00627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HYPERLINK("http://141.218.60.56/~jnz1568/getInfo.php?workbook=18_08.xlsx&amp;sheet=U0&amp;row=3166&amp;col=6&amp;number=3.2&amp;sourceID=14","3.2")</f>
        <v>3.2</v>
      </c>
      <c r="G3166" s="4" t="str">
        <f>HYPERLINK("http://141.218.60.56/~jnz1568/getInfo.php?workbook=18_08.xlsx&amp;sheet=U0&amp;row=3166&amp;col=7&amp;number=0.00627&amp;sourceID=14","0.00627")</f>
        <v>0.00627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HYPERLINK("http://141.218.60.56/~jnz1568/getInfo.php?workbook=18_08.xlsx&amp;sheet=U0&amp;row=3167&amp;col=6&amp;number=3.3&amp;sourceID=14","3.3")</f>
        <v>3.3</v>
      </c>
      <c r="G3167" s="4" t="str">
        <f>HYPERLINK("http://141.218.60.56/~jnz1568/getInfo.php?workbook=18_08.xlsx&amp;sheet=U0&amp;row=3167&amp;col=7&amp;number=0.00627&amp;sourceID=14","0.00627")</f>
        <v>0.00627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HYPERLINK("http://141.218.60.56/~jnz1568/getInfo.php?workbook=18_08.xlsx&amp;sheet=U0&amp;row=3168&amp;col=6&amp;number=3.4&amp;sourceID=14","3.4")</f>
        <v>3.4</v>
      </c>
      <c r="G3168" s="4" t="str">
        <f>HYPERLINK("http://141.218.60.56/~jnz1568/getInfo.php?workbook=18_08.xlsx&amp;sheet=U0&amp;row=3168&amp;col=7&amp;number=0.00627&amp;sourceID=14","0.00627")</f>
        <v>0.00627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HYPERLINK("http://141.218.60.56/~jnz1568/getInfo.php?workbook=18_08.xlsx&amp;sheet=U0&amp;row=3169&amp;col=6&amp;number=3.5&amp;sourceID=14","3.5")</f>
        <v>3.5</v>
      </c>
      <c r="G3169" s="4" t="str">
        <f>HYPERLINK("http://141.218.60.56/~jnz1568/getInfo.php?workbook=18_08.xlsx&amp;sheet=U0&amp;row=3169&amp;col=7&amp;number=0.00627&amp;sourceID=14","0.00627")</f>
        <v>0.00627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HYPERLINK("http://141.218.60.56/~jnz1568/getInfo.php?workbook=18_08.xlsx&amp;sheet=U0&amp;row=3170&amp;col=6&amp;number=3.6&amp;sourceID=14","3.6")</f>
        <v>3.6</v>
      </c>
      <c r="G3170" s="4" t="str">
        <f>HYPERLINK("http://141.218.60.56/~jnz1568/getInfo.php?workbook=18_08.xlsx&amp;sheet=U0&amp;row=3170&amp;col=7&amp;number=0.00627&amp;sourceID=14","0.00627")</f>
        <v>0.00627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HYPERLINK("http://141.218.60.56/~jnz1568/getInfo.php?workbook=18_08.xlsx&amp;sheet=U0&amp;row=3171&amp;col=6&amp;number=3.7&amp;sourceID=14","3.7")</f>
        <v>3.7</v>
      </c>
      <c r="G3171" s="4" t="str">
        <f>HYPERLINK("http://141.218.60.56/~jnz1568/getInfo.php?workbook=18_08.xlsx&amp;sheet=U0&amp;row=3171&amp;col=7&amp;number=0.00627&amp;sourceID=14","0.00627")</f>
        <v>0.00627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HYPERLINK("http://141.218.60.56/~jnz1568/getInfo.php?workbook=18_08.xlsx&amp;sheet=U0&amp;row=3172&amp;col=6&amp;number=3.8&amp;sourceID=14","3.8")</f>
        <v>3.8</v>
      </c>
      <c r="G3172" s="4" t="str">
        <f>HYPERLINK("http://141.218.60.56/~jnz1568/getInfo.php?workbook=18_08.xlsx&amp;sheet=U0&amp;row=3172&amp;col=7&amp;number=0.00627&amp;sourceID=14","0.00627")</f>
        <v>0.00627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HYPERLINK("http://141.218.60.56/~jnz1568/getInfo.php?workbook=18_08.xlsx&amp;sheet=U0&amp;row=3173&amp;col=6&amp;number=3.9&amp;sourceID=14","3.9")</f>
        <v>3.9</v>
      </c>
      <c r="G3173" s="4" t="str">
        <f>HYPERLINK("http://141.218.60.56/~jnz1568/getInfo.php?workbook=18_08.xlsx&amp;sheet=U0&amp;row=3173&amp;col=7&amp;number=0.00627&amp;sourceID=14","0.00627")</f>
        <v>0.00627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HYPERLINK("http://141.218.60.56/~jnz1568/getInfo.php?workbook=18_08.xlsx&amp;sheet=U0&amp;row=3174&amp;col=6&amp;number=4&amp;sourceID=14","4")</f>
        <v>4</v>
      </c>
      <c r="G3174" s="4" t="str">
        <f>HYPERLINK("http://141.218.60.56/~jnz1568/getInfo.php?workbook=18_08.xlsx&amp;sheet=U0&amp;row=3174&amp;col=7&amp;number=0.00627&amp;sourceID=14","0.00627")</f>
        <v>0.00627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HYPERLINK("http://141.218.60.56/~jnz1568/getInfo.php?workbook=18_08.xlsx&amp;sheet=U0&amp;row=3175&amp;col=6&amp;number=4.1&amp;sourceID=14","4.1")</f>
        <v>4.1</v>
      </c>
      <c r="G3175" s="4" t="str">
        <f>HYPERLINK("http://141.218.60.56/~jnz1568/getInfo.php?workbook=18_08.xlsx&amp;sheet=U0&amp;row=3175&amp;col=7&amp;number=0.00627&amp;sourceID=14","0.00627")</f>
        <v>0.00627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HYPERLINK("http://141.218.60.56/~jnz1568/getInfo.php?workbook=18_08.xlsx&amp;sheet=U0&amp;row=3176&amp;col=6&amp;number=4.2&amp;sourceID=14","4.2")</f>
        <v>4.2</v>
      </c>
      <c r="G3176" s="4" t="str">
        <f>HYPERLINK("http://141.218.60.56/~jnz1568/getInfo.php?workbook=18_08.xlsx&amp;sheet=U0&amp;row=3176&amp;col=7&amp;number=0.00626&amp;sourceID=14","0.00626")</f>
        <v>0.00626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HYPERLINK("http://141.218.60.56/~jnz1568/getInfo.php?workbook=18_08.xlsx&amp;sheet=U0&amp;row=3177&amp;col=6&amp;number=4.3&amp;sourceID=14","4.3")</f>
        <v>4.3</v>
      </c>
      <c r="G3177" s="4" t="str">
        <f>HYPERLINK("http://141.218.60.56/~jnz1568/getInfo.php?workbook=18_08.xlsx&amp;sheet=U0&amp;row=3177&amp;col=7&amp;number=0.00626&amp;sourceID=14","0.00626")</f>
        <v>0.00626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HYPERLINK("http://141.218.60.56/~jnz1568/getInfo.php?workbook=18_08.xlsx&amp;sheet=U0&amp;row=3178&amp;col=6&amp;number=4.4&amp;sourceID=14","4.4")</f>
        <v>4.4</v>
      </c>
      <c r="G3178" s="4" t="str">
        <f>HYPERLINK("http://141.218.60.56/~jnz1568/getInfo.php?workbook=18_08.xlsx&amp;sheet=U0&amp;row=3178&amp;col=7&amp;number=0.00626&amp;sourceID=14","0.00626")</f>
        <v>0.00626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HYPERLINK("http://141.218.60.56/~jnz1568/getInfo.php?workbook=18_08.xlsx&amp;sheet=U0&amp;row=3179&amp;col=6&amp;number=4.5&amp;sourceID=14","4.5")</f>
        <v>4.5</v>
      </c>
      <c r="G3179" s="4" t="str">
        <f>HYPERLINK("http://141.218.60.56/~jnz1568/getInfo.php?workbook=18_08.xlsx&amp;sheet=U0&amp;row=3179&amp;col=7&amp;number=0.00625&amp;sourceID=14","0.00625")</f>
        <v>0.00625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HYPERLINK("http://141.218.60.56/~jnz1568/getInfo.php?workbook=18_08.xlsx&amp;sheet=U0&amp;row=3180&amp;col=6&amp;number=4.6&amp;sourceID=14","4.6")</f>
        <v>4.6</v>
      </c>
      <c r="G3180" s="4" t="str">
        <f>HYPERLINK("http://141.218.60.56/~jnz1568/getInfo.php?workbook=18_08.xlsx&amp;sheet=U0&amp;row=3180&amp;col=7&amp;number=0.00625&amp;sourceID=14","0.00625")</f>
        <v>0.00625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HYPERLINK("http://141.218.60.56/~jnz1568/getInfo.php?workbook=18_08.xlsx&amp;sheet=U0&amp;row=3181&amp;col=6&amp;number=4.7&amp;sourceID=14","4.7")</f>
        <v>4.7</v>
      </c>
      <c r="G3181" s="4" t="str">
        <f>HYPERLINK("http://141.218.60.56/~jnz1568/getInfo.php?workbook=18_08.xlsx&amp;sheet=U0&amp;row=3181&amp;col=7&amp;number=0.00624&amp;sourceID=14","0.00624")</f>
        <v>0.00624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HYPERLINK("http://141.218.60.56/~jnz1568/getInfo.php?workbook=18_08.xlsx&amp;sheet=U0&amp;row=3182&amp;col=6&amp;number=4.8&amp;sourceID=14","4.8")</f>
        <v>4.8</v>
      </c>
      <c r="G3182" s="4" t="str">
        <f>HYPERLINK("http://141.218.60.56/~jnz1568/getInfo.php?workbook=18_08.xlsx&amp;sheet=U0&amp;row=3182&amp;col=7&amp;number=0.00623&amp;sourceID=14","0.00623")</f>
        <v>0.00623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HYPERLINK("http://141.218.60.56/~jnz1568/getInfo.php?workbook=18_08.xlsx&amp;sheet=U0&amp;row=3183&amp;col=6&amp;number=4.9&amp;sourceID=14","4.9")</f>
        <v>4.9</v>
      </c>
      <c r="G3183" s="4" t="str">
        <f>HYPERLINK("http://141.218.60.56/~jnz1568/getInfo.php?workbook=18_08.xlsx&amp;sheet=U0&amp;row=3183&amp;col=7&amp;number=0.00622&amp;sourceID=14","0.00622")</f>
        <v>0.00622</v>
      </c>
    </row>
    <row r="3184" spans="1:7">
      <c r="A3184" s="3">
        <v>18</v>
      </c>
      <c r="B3184" s="3">
        <v>8</v>
      </c>
      <c r="C3184" s="3" t="s">
        <v>60</v>
      </c>
      <c r="D3184" s="3">
        <v>7</v>
      </c>
      <c r="E3184" s="3">
        <v>1</v>
      </c>
      <c r="F3184" s="4" t="str">
        <f>HYPERLINK("http://141.218.60.56/~jnz1568/getInfo.php?workbook=18_08.xlsx&amp;sheet=U0&amp;row=3184&amp;col=6&amp;number=3&amp;sourceID=14","3")</f>
        <v>3</v>
      </c>
      <c r="G3184" s="4" t="str">
        <f>HYPERLINK("http://141.218.60.56/~jnz1568/getInfo.php?workbook=18_08.xlsx&amp;sheet=U0&amp;row=3184&amp;col=7&amp;number=0.0074&amp;sourceID=14","0.0074")</f>
        <v>0.0074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HYPERLINK("http://141.218.60.56/~jnz1568/getInfo.php?workbook=18_08.xlsx&amp;sheet=U0&amp;row=3185&amp;col=6&amp;number=3.1&amp;sourceID=14","3.1")</f>
        <v>3.1</v>
      </c>
      <c r="G3185" s="4" t="str">
        <f>HYPERLINK("http://141.218.60.56/~jnz1568/getInfo.php?workbook=18_08.xlsx&amp;sheet=U0&amp;row=3185&amp;col=7&amp;number=0.0074&amp;sourceID=14","0.0074")</f>
        <v>0.0074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HYPERLINK("http://141.218.60.56/~jnz1568/getInfo.php?workbook=18_08.xlsx&amp;sheet=U0&amp;row=3186&amp;col=6&amp;number=3.2&amp;sourceID=14","3.2")</f>
        <v>3.2</v>
      </c>
      <c r="G3186" s="4" t="str">
        <f>HYPERLINK("http://141.218.60.56/~jnz1568/getInfo.php?workbook=18_08.xlsx&amp;sheet=U0&amp;row=3186&amp;col=7&amp;number=0.0074&amp;sourceID=14","0.0074")</f>
        <v>0.0074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HYPERLINK("http://141.218.60.56/~jnz1568/getInfo.php?workbook=18_08.xlsx&amp;sheet=U0&amp;row=3187&amp;col=6&amp;number=3.3&amp;sourceID=14","3.3")</f>
        <v>3.3</v>
      </c>
      <c r="G3187" s="4" t="str">
        <f>HYPERLINK("http://141.218.60.56/~jnz1568/getInfo.php?workbook=18_08.xlsx&amp;sheet=U0&amp;row=3187&amp;col=7&amp;number=0.0074&amp;sourceID=14","0.0074")</f>
        <v>0.0074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HYPERLINK("http://141.218.60.56/~jnz1568/getInfo.php?workbook=18_08.xlsx&amp;sheet=U0&amp;row=3188&amp;col=6&amp;number=3.4&amp;sourceID=14","3.4")</f>
        <v>3.4</v>
      </c>
      <c r="G3188" s="4" t="str">
        <f>HYPERLINK("http://141.218.60.56/~jnz1568/getInfo.php?workbook=18_08.xlsx&amp;sheet=U0&amp;row=3188&amp;col=7&amp;number=0.0074&amp;sourceID=14","0.0074")</f>
        <v>0.0074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HYPERLINK("http://141.218.60.56/~jnz1568/getInfo.php?workbook=18_08.xlsx&amp;sheet=U0&amp;row=3189&amp;col=6&amp;number=3.5&amp;sourceID=14","3.5")</f>
        <v>3.5</v>
      </c>
      <c r="G3189" s="4" t="str">
        <f>HYPERLINK("http://141.218.60.56/~jnz1568/getInfo.php?workbook=18_08.xlsx&amp;sheet=U0&amp;row=3189&amp;col=7&amp;number=0.0074&amp;sourceID=14","0.0074")</f>
        <v>0.0074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HYPERLINK("http://141.218.60.56/~jnz1568/getInfo.php?workbook=18_08.xlsx&amp;sheet=U0&amp;row=3190&amp;col=6&amp;number=3.6&amp;sourceID=14","3.6")</f>
        <v>3.6</v>
      </c>
      <c r="G3190" s="4" t="str">
        <f>HYPERLINK("http://141.218.60.56/~jnz1568/getInfo.php?workbook=18_08.xlsx&amp;sheet=U0&amp;row=3190&amp;col=7&amp;number=0.0074&amp;sourceID=14","0.0074")</f>
        <v>0.0074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HYPERLINK("http://141.218.60.56/~jnz1568/getInfo.php?workbook=18_08.xlsx&amp;sheet=U0&amp;row=3191&amp;col=6&amp;number=3.7&amp;sourceID=14","3.7")</f>
        <v>3.7</v>
      </c>
      <c r="G3191" s="4" t="str">
        <f>HYPERLINK("http://141.218.60.56/~jnz1568/getInfo.php?workbook=18_08.xlsx&amp;sheet=U0&amp;row=3191&amp;col=7&amp;number=0.0074&amp;sourceID=14","0.0074")</f>
        <v>0.0074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HYPERLINK("http://141.218.60.56/~jnz1568/getInfo.php?workbook=18_08.xlsx&amp;sheet=U0&amp;row=3192&amp;col=6&amp;number=3.8&amp;sourceID=14","3.8")</f>
        <v>3.8</v>
      </c>
      <c r="G3192" s="4" t="str">
        <f>HYPERLINK("http://141.218.60.56/~jnz1568/getInfo.php?workbook=18_08.xlsx&amp;sheet=U0&amp;row=3192&amp;col=7&amp;number=0.0074&amp;sourceID=14","0.0074")</f>
        <v>0.0074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HYPERLINK("http://141.218.60.56/~jnz1568/getInfo.php?workbook=18_08.xlsx&amp;sheet=U0&amp;row=3193&amp;col=6&amp;number=3.9&amp;sourceID=14","3.9")</f>
        <v>3.9</v>
      </c>
      <c r="G3193" s="4" t="str">
        <f>HYPERLINK("http://141.218.60.56/~jnz1568/getInfo.php?workbook=18_08.xlsx&amp;sheet=U0&amp;row=3193&amp;col=7&amp;number=0.00739&amp;sourceID=14","0.00739")</f>
        <v>0.00739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HYPERLINK("http://141.218.60.56/~jnz1568/getInfo.php?workbook=18_08.xlsx&amp;sheet=U0&amp;row=3194&amp;col=6&amp;number=4&amp;sourceID=14","4")</f>
        <v>4</v>
      </c>
      <c r="G3194" s="4" t="str">
        <f>HYPERLINK("http://141.218.60.56/~jnz1568/getInfo.php?workbook=18_08.xlsx&amp;sheet=U0&amp;row=3194&amp;col=7&amp;number=0.00739&amp;sourceID=14","0.00739")</f>
        <v>0.00739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HYPERLINK("http://141.218.60.56/~jnz1568/getInfo.php?workbook=18_08.xlsx&amp;sheet=U0&amp;row=3195&amp;col=6&amp;number=4.1&amp;sourceID=14","4.1")</f>
        <v>4.1</v>
      </c>
      <c r="G3195" s="4" t="str">
        <f>HYPERLINK("http://141.218.60.56/~jnz1568/getInfo.php?workbook=18_08.xlsx&amp;sheet=U0&amp;row=3195&amp;col=7&amp;number=0.00739&amp;sourceID=14","0.00739")</f>
        <v>0.00739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HYPERLINK("http://141.218.60.56/~jnz1568/getInfo.php?workbook=18_08.xlsx&amp;sheet=U0&amp;row=3196&amp;col=6&amp;number=4.2&amp;sourceID=14","4.2")</f>
        <v>4.2</v>
      </c>
      <c r="G3196" s="4" t="str">
        <f>HYPERLINK("http://141.218.60.56/~jnz1568/getInfo.php?workbook=18_08.xlsx&amp;sheet=U0&amp;row=3196&amp;col=7&amp;number=0.00738&amp;sourceID=14","0.00738")</f>
        <v>0.00738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HYPERLINK("http://141.218.60.56/~jnz1568/getInfo.php?workbook=18_08.xlsx&amp;sheet=U0&amp;row=3197&amp;col=6&amp;number=4.3&amp;sourceID=14","4.3")</f>
        <v>4.3</v>
      </c>
      <c r="G3197" s="4" t="str">
        <f>HYPERLINK("http://141.218.60.56/~jnz1568/getInfo.php?workbook=18_08.xlsx&amp;sheet=U0&amp;row=3197&amp;col=7&amp;number=0.00737&amp;sourceID=14","0.00737")</f>
        <v>0.00737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HYPERLINK("http://141.218.60.56/~jnz1568/getInfo.php?workbook=18_08.xlsx&amp;sheet=U0&amp;row=3198&amp;col=6&amp;number=4.4&amp;sourceID=14","4.4")</f>
        <v>4.4</v>
      </c>
      <c r="G3198" s="4" t="str">
        <f>HYPERLINK("http://141.218.60.56/~jnz1568/getInfo.php?workbook=18_08.xlsx&amp;sheet=U0&amp;row=3198&amp;col=7&amp;number=0.00737&amp;sourceID=14","0.00737")</f>
        <v>0.00737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HYPERLINK("http://141.218.60.56/~jnz1568/getInfo.php?workbook=18_08.xlsx&amp;sheet=U0&amp;row=3199&amp;col=6&amp;number=4.5&amp;sourceID=14","4.5")</f>
        <v>4.5</v>
      </c>
      <c r="G3199" s="4" t="str">
        <f>HYPERLINK("http://141.218.60.56/~jnz1568/getInfo.php?workbook=18_08.xlsx&amp;sheet=U0&amp;row=3199&amp;col=7&amp;number=0.00736&amp;sourceID=14","0.00736")</f>
        <v>0.00736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HYPERLINK("http://141.218.60.56/~jnz1568/getInfo.php?workbook=18_08.xlsx&amp;sheet=U0&amp;row=3200&amp;col=6&amp;number=4.6&amp;sourceID=14","4.6")</f>
        <v>4.6</v>
      </c>
      <c r="G3200" s="4" t="str">
        <f>HYPERLINK("http://141.218.60.56/~jnz1568/getInfo.php?workbook=18_08.xlsx&amp;sheet=U0&amp;row=3200&amp;col=7&amp;number=0.00734&amp;sourceID=14","0.00734")</f>
        <v>0.00734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HYPERLINK("http://141.218.60.56/~jnz1568/getInfo.php?workbook=18_08.xlsx&amp;sheet=U0&amp;row=3201&amp;col=6&amp;number=4.7&amp;sourceID=14","4.7")</f>
        <v>4.7</v>
      </c>
      <c r="G3201" s="4" t="str">
        <f>HYPERLINK("http://141.218.60.56/~jnz1568/getInfo.php?workbook=18_08.xlsx&amp;sheet=U0&amp;row=3201&amp;col=7&amp;number=0.00733&amp;sourceID=14","0.00733")</f>
        <v>0.00733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HYPERLINK("http://141.218.60.56/~jnz1568/getInfo.php?workbook=18_08.xlsx&amp;sheet=U0&amp;row=3202&amp;col=6&amp;number=4.8&amp;sourceID=14","4.8")</f>
        <v>4.8</v>
      </c>
      <c r="G3202" s="4" t="str">
        <f>HYPERLINK("http://141.218.60.56/~jnz1568/getInfo.php?workbook=18_08.xlsx&amp;sheet=U0&amp;row=3202&amp;col=7&amp;number=0.00731&amp;sourceID=14","0.00731")</f>
        <v>0.00731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HYPERLINK("http://141.218.60.56/~jnz1568/getInfo.php?workbook=18_08.xlsx&amp;sheet=U0&amp;row=3203&amp;col=6&amp;number=4.9&amp;sourceID=14","4.9")</f>
        <v>4.9</v>
      </c>
      <c r="G3203" s="4" t="str">
        <f>HYPERLINK("http://141.218.60.56/~jnz1568/getInfo.php?workbook=18_08.xlsx&amp;sheet=U0&amp;row=3203&amp;col=7&amp;number=0.00728&amp;sourceID=14","0.00728")</f>
        <v>0.00728</v>
      </c>
    </row>
    <row r="3204" spans="1:7">
      <c r="A3204" s="3">
        <v>18</v>
      </c>
      <c r="B3204" s="3">
        <v>8</v>
      </c>
      <c r="C3204" s="3" t="s">
        <v>60</v>
      </c>
      <c r="D3204" s="3">
        <v>8</v>
      </c>
      <c r="E3204" s="3">
        <v>1</v>
      </c>
      <c r="F3204" s="4" t="str">
        <f>HYPERLINK("http://141.218.60.56/~jnz1568/getInfo.php?workbook=18_08.xlsx&amp;sheet=U0&amp;row=3204&amp;col=6&amp;number=3&amp;sourceID=14","3")</f>
        <v>3</v>
      </c>
      <c r="G3204" s="4" t="str">
        <f>HYPERLINK("http://141.218.60.56/~jnz1568/getInfo.php?workbook=18_08.xlsx&amp;sheet=U0&amp;row=3204&amp;col=7&amp;number=0.0141&amp;sourceID=14","0.0141")</f>
        <v>0.0141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HYPERLINK("http://141.218.60.56/~jnz1568/getInfo.php?workbook=18_08.xlsx&amp;sheet=U0&amp;row=3205&amp;col=6&amp;number=3.1&amp;sourceID=14","3.1")</f>
        <v>3.1</v>
      </c>
      <c r="G3205" s="4" t="str">
        <f>HYPERLINK("http://141.218.60.56/~jnz1568/getInfo.php?workbook=18_08.xlsx&amp;sheet=U0&amp;row=3205&amp;col=7&amp;number=0.0141&amp;sourceID=14","0.0141")</f>
        <v>0.0141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HYPERLINK("http://141.218.60.56/~jnz1568/getInfo.php?workbook=18_08.xlsx&amp;sheet=U0&amp;row=3206&amp;col=6&amp;number=3.2&amp;sourceID=14","3.2")</f>
        <v>3.2</v>
      </c>
      <c r="G3206" s="4" t="str">
        <f>HYPERLINK("http://141.218.60.56/~jnz1568/getInfo.php?workbook=18_08.xlsx&amp;sheet=U0&amp;row=3206&amp;col=7&amp;number=0.0141&amp;sourceID=14","0.0141")</f>
        <v>0.0141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HYPERLINK("http://141.218.60.56/~jnz1568/getInfo.php?workbook=18_08.xlsx&amp;sheet=U0&amp;row=3207&amp;col=6&amp;number=3.3&amp;sourceID=14","3.3")</f>
        <v>3.3</v>
      </c>
      <c r="G3207" s="4" t="str">
        <f>HYPERLINK("http://141.218.60.56/~jnz1568/getInfo.php?workbook=18_08.xlsx&amp;sheet=U0&amp;row=3207&amp;col=7&amp;number=0.0141&amp;sourceID=14","0.0141")</f>
        <v>0.0141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HYPERLINK("http://141.218.60.56/~jnz1568/getInfo.php?workbook=18_08.xlsx&amp;sheet=U0&amp;row=3208&amp;col=6&amp;number=3.4&amp;sourceID=14","3.4")</f>
        <v>3.4</v>
      </c>
      <c r="G3208" s="4" t="str">
        <f>HYPERLINK("http://141.218.60.56/~jnz1568/getInfo.php?workbook=18_08.xlsx&amp;sheet=U0&amp;row=3208&amp;col=7&amp;number=0.0141&amp;sourceID=14","0.0141")</f>
        <v>0.0141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HYPERLINK("http://141.218.60.56/~jnz1568/getInfo.php?workbook=18_08.xlsx&amp;sheet=U0&amp;row=3209&amp;col=6&amp;number=3.5&amp;sourceID=14","3.5")</f>
        <v>3.5</v>
      </c>
      <c r="G3209" s="4" t="str">
        <f>HYPERLINK("http://141.218.60.56/~jnz1568/getInfo.php?workbook=18_08.xlsx&amp;sheet=U0&amp;row=3209&amp;col=7&amp;number=0.0141&amp;sourceID=14","0.0141")</f>
        <v>0.0141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HYPERLINK("http://141.218.60.56/~jnz1568/getInfo.php?workbook=18_08.xlsx&amp;sheet=U0&amp;row=3210&amp;col=6&amp;number=3.6&amp;sourceID=14","3.6")</f>
        <v>3.6</v>
      </c>
      <c r="G3210" s="4" t="str">
        <f>HYPERLINK("http://141.218.60.56/~jnz1568/getInfo.php?workbook=18_08.xlsx&amp;sheet=U0&amp;row=3210&amp;col=7&amp;number=0.0141&amp;sourceID=14","0.0141")</f>
        <v>0.0141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HYPERLINK("http://141.218.60.56/~jnz1568/getInfo.php?workbook=18_08.xlsx&amp;sheet=U0&amp;row=3211&amp;col=6&amp;number=3.7&amp;sourceID=14","3.7")</f>
        <v>3.7</v>
      </c>
      <c r="G3211" s="4" t="str">
        <f>HYPERLINK("http://141.218.60.56/~jnz1568/getInfo.php?workbook=18_08.xlsx&amp;sheet=U0&amp;row=3211&amp;col=7&amp;number=0.0141&amp;sourceID=14","0.0141")</f>
        <v>0.0141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HYPERLINK("http://141.218.60.56/~jnz1568/getInfo.php?workbook=18_08.xlsx&amp;sheet=U0&amp;row=3212&amp;col=6&amp;number=3.8&amp;sourceID=14","3.8")</f>
        <v>3.8</v>
      </c>
      <c r="G3212" s="4" t="str">
        <f>HYPERLINK("http://141.218.60.56/~jnz1568/getInfo.php?workbook=18_08.xlsx&amp;sheet=U0&amp;row=3212&amp;col=7&amp;number=0.0141&amp;sourceID=14","0.0141")</f>
        <v>0.0141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HYPERLINK("http://141.218.60.56/~jnz1568/getInfo.php?workbook=18_08.xlsx&amp;sheet=U0&amp;row=3213&amp;col=6&amp;number=3.9&amp;sourceID=14","3.9")</f>
        <v>3.9</v>
      </c>
      <c r="G3213" s="4" t="str">
        <f>HYPERLINK("http://141.218.60.56/~jnz1568/getInfo.php?workbook=18_08.xlsx&amp;sheet=U0&amp;row=3213&amp;col=7&amp;number=0.0141&amp;sourceID=14","0.0141")</f>
        <v>0.0141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HYPERLINK("http://141.218.60.56/~jnz1568/getInfo.php?workbook=18_08.xlsx&amp;sheet=U0&amp;row=3214&amp;col=6&amp;number=4&amp;sourceID=14","4")</f>
        <v>4</v>
      </c>
      <c r="G3214" s="4" t="str">
        <f>HYPERLINK("http://141.218.60.56/~jnz1568/getInfo.php?workbook=18_08.xlsx&amp;sheet=U0&amp;row=3214&amp;col=7&amp;number=0.0141&amp;sourceID=14","0.0141")</f>
        <v>0.0141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HYPERLINK("http://141.218.60.56/~jnz1568/getInfo.php?workbook=18_08.xlsx&amp;sheet=U0&amp;row=3215&amp;col=6&amp;number=4.1&amp;sourceID=14","4.1")</f>
        <v>4.1</v>
      </c>
      <c r="G3215" s="4" t="str">
        <f>HYPERLINK("http://141.218.60.56/~jnz1568/getInfo.php?workbook=18_08.xlsx&amp;sheet=U0&amp;row=3215&amp;col=7&amp;number=0.0141&amp;sourceID=14","0.0141")</f>
        <v>0.0141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HYPERLINK("http://141.218.60.56/~jnz1568/getInfo.php?workbook=18_08.xlsx&amp;sheet=U0&amp;row=3216&amp;col=6&amp;number=4.2&amp;sourceID=14","4.2")</f>
        <v>4.2</v>
      </c>
      <c r="G3216" s="4" t="str">
        <f>HYPERLINK("http://141.218.60.56/~jnz1568/getInfo.php?workbook=18_08.xlsx&amp;sheet=U0&amp;row=3216&amp;col=7&amp;number=0.0141&amp;sourceID=14","0.0141")</f>
        <v>0.0141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HYPERLINK("http://141.218.60.56/~jnz1568/getInfo.php?workbook=18_08.xlsx&amp;sheet=U0&amp;row=3217&amp;col=6&amp;number=4.3&amp;sourceID=14","4.3")</f>
        <v>4.3</v>
      </c>
      <c r="G3217" s="4" t="str">
        <f>HYPERLINK("http://141.218.60.56/~jnz1568/getInfo.php?workbook=18_08.xlsx&amp;sheet=U0&amp;row=3217&amp;col=7&amp;number=0.0142&amp;sourceID=14","0.0142")</f>
        <v>0.0142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HYPERLINK("http://141.218.60.56/~jnz1568/getInfo.php?workbook=18_08.xlsx&amp;sheet=U0&amp;row=3218&amp;col=6&amp;number=4.4&amp;sourceID=14","4.4")</f>
        <v>4.4</v>
      </c>
      <c r="G3218" s="4" t="str">
        <f>HYPERLINK("http://141.218.60.56/~jnz1568/getInfo.php?workbook=18_08.xlsx&amp;sheet=U0&amp;row=3218&amp;col=7&amp;number=0.0142&amp;sourceID=14","0.0142")</f>
        <v>0.0142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HYPERLINK("http://141.218.60.56/~jnz1568/getInfo.php?workbook=18_08.xlsx&amp;sheet=U0&amp;row=3219&amp;col=6&amp;number=4.5&amp;sourceID=14","4.5")</f>
        <v>4.5</v>
      </c>
      <c r="G3219" s="4" t="str">
        <f>HYPERLINK("http://141.218.60.56/~jnz1568/getInfo.php?workbook=18_08.xlsx&amp;sheet=U0&amp;row=3219&amp;col=7&amp;number=0.0142&amp;sourceID=14","0.0142")</f>
        <v>0.0142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HYPERLINK("http://141.218.60.56/~jnz1568/getInfo.php?workbook=18_08.xlsx&amp;sheet=U0&amp;row=3220&amp;col=6&amp;number=4.6&amp;sourceID=14","4.6")</f>
        <v>4.6</v>
      </c>
      <c r="G3220" s="4" t="str">
        <f>HYPERLINK("http://141.218.60.56/~jnz1568/getInfo.php?workbook=18_08.xlsx&amp;sheet=U0&amp;row=3220&amp;col=7&amp;number=0.0142&amp;sourceID=14","0.0142")</f>
        <v>0.0142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HYPERLINK("http://141.218.60.56/~jnz1568/getInfo.php?workbook=18_08.xlsx&amp;sheet=U0&amp;row=3221&amp;col=6&amp;number=4.7&amp;sourceID=14","4.7")</f>
        <v>4.7</v>
      </c>
      <c r="G3221" s="4" t="str">
        <f>HYPERLINK("http://141.218.60.56/~jnz1568/getInfo.php?workbook=18_08.xlsx&amp;sheet=U0&amp;row=3221&amp;col=7&amp;number=0.0143&amp;sourceID=14","0.0143")</f>
        <v>0.0143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HYPERLINK("http://141.218.60.56/~jnz1568/getInfo.php?workbook=18_08.xlsx&amp;sheet=U0&amp;row=3222&amp;col=6&amp;number=4.8&amp;sourceID=14","4.8")</f>
        <v>4.8</v>
      </c>
      <c r="G3222" s="4" t="str">
        <f>HYPERLINK("http://141.218.60.56/~jnz1568/getInfo.php?workbook=18_08.xlsx&amp;sheet=U0&amp;row=3222&amp;col=7&amp;number=0.0143&amp;sourceID=14","0.0143")</f>
        <v>0.0143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HYPERLINK("http://141.218.60.56/~jnz1568/getInfo.php?workbook=18_08.xlsx&amp;sheet=U0&amp;row=3223&amp;col=6&amp;number=4.9&amp;sourceID=14","4.9")</f>
        <v>4.9</v>
      </c>
      <c r="G3223" s="4" t="str">
        <f>HYPERLINK("http://141.218.60.56/~jnz1568/getInfo.php?workbook=18_08.xlsx&amp;sheet=U0&amp;row=3223&amp;col=7&amp;number=0.0144&amp;sourceID=14","0.0144")</f>
        <v>0.0144</v>
      </c>
    </row>
    <row r="3224" spans="1:7">
      <c r="A3224" s="3">
        <v>18</v>
      </c>
      <c r="B3224" s="3">
        <v>8</v>
      </c>
      <c r="C3224" s="3" t="s">
        <v>60</v>
      </c>
      <c r="D3224" s="3">
        <v>9</v>
      </c>
      <c r="E3224" s="3">
        <v>1</v>
      </c>
      <c r="F3224" s="4" t="str">
        <f>HYPERLINK("http://141.218.60.56/~jnz1568/getInfo.php?workbook=18_08.xlsx&amp;sheet=U0&amp;row=3224&amp;col=6&amp;number=3&amp;sourceID=14","3")</f>
        <v>3</v>
      </c>
      <c r="G3224" s="4" t="str">
        <f>HYPERLINK("http://141.218.60.56/~jnz1568/getInfo.php?workbook=18_08.xlsx&amp;sheet=U0&amp;row=3224&amp;col=7&amp;number=0.0169&amp;sourceID=14","0.0169")</f>
        <v>0.0169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HYPERLINK("http://141.218.60.56/~jnz1568/getInfo.php?workbook=18_08.xlsx&amp;sheet=U0&amp;row=3225&amp;col=6&amp;number=3.1&amp;sourceID=14","3.1")</f>
        <v>3.1</v>
      </c>
      <c r="G3225" s="4" t="str">
        <f>HYPERLINK("http://141.218.60.56/~jnz1568/getInfo.php?workbook=18_08.xlsx&amp;sheet=U0&amp;row=3225&amp;col=7&amp;number=0.0169&amp;sourceID=14","0.0169")</f>
        <v>0.0169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HYPERLINK("http://141.218.60.56/~jnz1568/getInfo.php?workbook=18_08.xlsx&amp;sheet=U0&amp;row=3226&amp;col=6&amp;number=3.2&amp;sourceID=14","3.2")</f>
        <v>3.2</v>
      </c>
      <c r="G3226" s="4" t="str">
        <f>HYPERLINK("http://141.218.60.56/~jnz1568/getInfo.php?workbook=18_08.xlsx&amp;sheet=U0&amp;row=3226&amp;col=7&amp;number=0.0169&amp;sourceID=14","0.0169")</f>
        <v>0.0169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HYPERLINK("http://141.218.60.56/~jnz1568/getInfo.php?workbook=18_08.xlsx&amp;sheet=U0&amp;row=3227&amp;col=6&amp;number=3.3&amp;sourceID=14","3.3")</f>
        <v>3.3</v>
      </c>
      <c r="G3227" s="4" t="str">
        <f>HYPERLINK("http://141.218.60.56/~jnz1568/getInfo.php?workbook=18_08.xlsx&amp;sheet=U0&amp;row=3227&amp;col=7&amp;number=0.0169&amp;sourceID=14","0.0169")</f>
        <v>0.0169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HYPERLINK("http://141.218.60.56/~jnz1568/getInfo.php?workbook=18_08.xlsx&amp;sheet=U0&amp;row=3228&amp;col=6&amp;number=3.4&amp;sourceID=14","3.4")</f>
        <v>3.4</v>
      </c>
      <c r="G3228" s="4" t="str">
        <f>HYPERLINK("http://141.218.60.56/~jnz1568/getInfo.php?workbook=18_08.xlsx&amp;sheet=U0&amp;row=3228&amp;col=7&amp;number=0.0169&amp;sourceID=14","0.0169")</f>
        <v>0.0169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HYPERLINK("http://141.218.60.56/~jnz1568/getInfo.php?workbook=18_08.xlsx&amp;sheet=U0&amp;row=3229&amp;col=6&amp;number=3.5&amp;sourceID=14","3.5")</f>
        <v>3.5</v>
      </c>
      <c r="G3229" s="4" t="str">
        <f>HYPERLINK("http://141.218.60.56/~jnz1568/getInfo.php?workbook=18_08.xlsx&amp;sheet=U0&amp;row=3229&amp;col=7&amp;number=0.0169&amp;sourceID=14","0.0169")</f>
        <v>0.0169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HYPERLINK("http://141.218.60.56/~jnz1568/getInfo.php?workbook=18_08.xlsx&amp;sheet=U0&amp;row=3230&amp;col=6&amp;number=3.6&amp;sourceID=14","3.6")</f>
        <v>3.6</v>
      </c>
      <c r="G3230" s="4" t="str">
        <f>HYPERLINK("http://141.218.60.56/~jnz1568/getInfo.php?workbook=18_08.xlsx&amp;sheet=U0&amp;row=3230&amp;col=7&amp;number=0.0169&amp;sourceID=14","0.0169")</f>
        <v>0.0169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HYPERLINK("http://141.218.60.56/~jnz1568/getInfo.php?workbook=18_08.xlsx&amp;sheet=U0&amp;row=3231&amp;col=6&amp;number=3.7&amp;sourceID=14","3.7")</f>
        <v>3.7</v>
      </c>
      <c r="G3231" s="4" t="str">
        <f>HYPERLINK("http://141.218.60.56/~jnz1568/getInfo.php?workbook=18_08.xlsx&amp;sheet=U0&amp;row=3231&amp;col=7&amp;number=0.0169&amp;sourceID=14","0.0169")</f>
        <v>0.0169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HYPERLINK("http://141.218.60.56/~jnz1568/getInfo.php?workbook=18_08.xlsx&amp;sheet=U0&amp;row=3232&amp;col=6&amp;number=3.8&amp;sourceID=14","3.8")</f>
        <v>3.8</v>
      </c>
      <c r="G3232" s="4" t="str">
        <f>HYPERLINK("http://141.218.60.56/~jnz1568/getInfo.php?workbook=18_08.xlsx&amp;sheet=U0&amp;row=3232&amp;col=7&amp;number=0.0169&amp;sourceID=14","0.0169")</f>
        <v>0.0169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HYPERLINK("http://141.218.60.56/~jnz1568/getInfo.php?workbook=18_08.xlsx&amp;sheet=U0&amp;row=3233&amp;col=6&amp;number=3.9&amp;sourceID=14","3.9")</f>
        <v>3.9</v>
      </c>
      <c r="G3233" s="4" t="str">
        <f>HYPERLINK("http://141.218.60.56/~jnz1568/getInfo.php?workbook=18_08.xlsx&amp;sheet=U0&amp;row=3233&amp;col=7&amp;number=0.0169&amp;sourceID=14","0.0169")</f>
        <v>0.0169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HYPERLINK("http://141.218.60.56/~jnz1568/getInfo.php?workbook=18_08.xlsx&amp;sheet=U0&amp;row=3234&amp;col=6&amp;number=4&amp;sourceID=14","4")</f>
        <v>4</v>
      </c>
      <c r="G3234" s="4" t="str">
        <f>HYPERLINK("http://141.218.60.56/~jnz1568/getInfo.php?workbook=18_08.xlsx&amp;sheet=U0&amp;row=3234&amp;col=7&amp;number=0.0169&amp;sourceID=14","0.0169")</f>
        <v>0.0169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HYPERLINK("http://141.218.60.56/~jnz1568/getInfo.php?workbook=18_08.xlsx&amp;sheet=U0&amp;row=3235&amp;col=6&amp;number=4.1&amp;sourceID=14","4.1")</f>
        <v>4.1</v>
      </c>
      <c r="G3235" s="4" t="str">
        <f>HYPERLINK("http://141.218.60.56/~jnz1568/getInfo.php?workbook=18_08.xlsx&amp;sheet=U0&amp;row=3235&amp;col=7&amp;number=0.0169&amp;sourceID=14","0.0169")</f>
        <v>0.0169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HYPERLINK("http://141.218.60.56/~jnz1568/getInfo.php?workbook=18_08.xlsx&amp;sheet=U0&amp;row=3236&amp;col=6&amp;number=4.2&amp;sourceID=14","4.2")</f>
        <v>4.2</v>
      </c>
      <c r="G3236" s="4" t="str">
        <f>HYPERLINK("http://141.218.60.56/~jnz1568/getInfo.php?workbook=18_08.xlsx&amp;sheet=U0&amp;row=3236&amp;col=7&amp;number=0.0169&amp;sourceID=14","0.0169")</f>
        <v>0.0169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HYPERLINK("http://141.218.60.56/~jnz1568/getInfo.php?workbook=18_08.xlsx&amp;sheet=U0&amp;row=3237&amp;col=6&amp;number=4.3&amp;sourceID=14","4.3")</f>
        <v>4.3</v>
      </c>
      <c r="G3237" s="4" t="str">
        <f>HYPERLINK("http://141.218.60.56/~jnz1568/getInfo.php?workbook=18_08.xlsx&amp;sheet=U0&amp;row=3237&amp;col=7&amp;number=0.0169&amp;sourceID=14","0.0169")</f>
        <v>0.0169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HYPERLINK("http://141.218.60.56/~jnz1568/getInfo.php?workbook=18_08.xlsx&amp;sheet=U0&amp;row=3238&amp;col=6&amp;number=4.4&amp;sourceID=14","4.4")</f>
        <v>4.4</v>
      </c>
      <c r="G3238" s="4" t="str">
        <f>HYPERLINK("http://141.218.60.56/~jnz1568/getInfo.php?workbook=18_08.xlsx&amp;sheet=U0&amp;row=3238&amp;col=7&amp;number=0.0169&amp;sourceID=14","0.0169")</f>
        <v>0.0169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HYPERLINK("http://141.218.60.56/~jnz1568/getInfo.php?workbook=18_08.xlsx&amp;sheet=U0&amp;row=3239&amp;col=6&amp;number=4.5&amp;sourceID=14","4.5")</f>
        <v>4.5</v>
      </c>
      <c r="G3239" s="4" t="str">
        <f>HYPERLINK("http://141.218.60.56/~jnz1568/getInfo.php?workbook=18_08.xlsx&amp;sheet=U0&amp;row=3239&amp;col=7&amp;number=0.0169&amp;sourceID=14","0.0169")</f>
        <v>0.0169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HYPERLINK("http://141.218.60.56/~jnz1568/getInfo.php?workbook=18_08.xlsx&amp;sheet=U0&amp;row=3240&amp;col=6&amp;number=4.6&amp;sourceID=14","4.6")</f>
        <v>4.6</v>
      </c>
      <c r="G3240" s="4" t="str">
        <f>HYPERLINK("http://141.218.60.56/~jnz1568/getInfo.php?workbook=18_08.xlsx&amp;sheet=U0&amp;row=3240&amp;col=7&amp;number=0.017&amp;sourceID=14","0.017")</f>
        <v>0.017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HYPERLINK("http://141.218.60.56/~jnz1568/getInfo.php?workbook=18_08.xlsx&amp;sheet=U0&amp;row=3241&amp;col=6&amp;number=4.7&amp;sourceID=14","4.7")</f>
        <v>4.7</v>
      </c>
      <c r="G3241" s="4" t="str">
        <f>HYPERLINK("http://141.218.60.56/~jnz1568/getInfo.php?workbook=18_08.xlsx&amp;sheet=U0&amp;row=3241&amp;col=7&amp;number=0.017&amp;sourceID=14","0.017")</f>
        <v>0.017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HYPERLINK("http://141.218.60.56/~jnz1568/getInfo.php?workbook=18_08.xlsx&amp;sheet=U0&amp;row=3242&amp;col=6&amp;number=4.8&amp;sourceID=14","4.8")</f>
        <v>4.8</v>
      </c>
      <c r="G3242" s="4" t="str">
        <f>HYPERLINK("http://141.218.60.56/~jnz1568/getInfo.php?workbook=18_08.xlsx&amp;sheet=U0&amp;row=3242&amp;col=7&amp;number=0.017&amp;sourceID=14","0.017")</f>
        <v>0.017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HYPERLINK("http://141.218.60.56/~jnz1568/getInfo.php?workbook=18_08.xlsx&amp;sheet=U0&amp;row=3243&amp;col=6&amp;number=4.9&amp;sourceID=14","4.9")</f>
        <v>4.9</v>
      </c>
      <c r="G3243" s="4" t="str">
        <f>HYPERLINK("http://141.218.60.56/~jnz1568/getInfo.php?workbook=18_08.xlsx&amp;sheet=U0&amp;row=3243&amp;col=7&amp;number=0.0171&amp;sourceID=14","0.0171")</f>
        <v>0.0171</v>
      </c>
    </row>
    <row r="3244" spans="1:7">
      <c r="A3244" s="3">
        <v>18</v>
      </c>
      <c r="B3244" s="3">
        <v>8</v>
      </c>
      <c r="C3244" s="3" t="s">
        <v>61</v>
      </c>
      <c r="D3244" s="3">
        <v>0</v>
      </c>
      <c r="E3244" s="3">
        <v>1</v>
      </c>
      <c r="F3244" s="4" t="str">
        <f>HYPERLINK("http://141.218.60.56/~jnz1568/getInfo.php?workbook=18_08.xlsx&amp;sheet=U0&amp;row=3244&amp;col=6&amp;number=3&amp;sourceID=14","3")</f>
        <v>3</v>
      </c>
      <c r="G3244" s="4" t="str">
        <f>HYPERLINK("http://141.218.60.56/~jnz1568/getInfo.php?workbook=18_08.xlsx&amp;sheet=U0&amp;row=3244&amp;col=7&amp;number=0.00929&amp;sourceID=14","0.00929")</f>
        <v>0.00929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HYPERLINK("http://141.218.60.56/~jnz1568/getInfo.php?workbook=18_08.xlsx&amp;sheet=U0&amp;row=3245&amp;col=6&amp;number=3.1&amp;sourceID=14","3.1")</f>
        <v>3.1</v>
      </c>
      <c r="G3245" s="4" t="str">
        <f>HYPERLINK("http://141.218.60.56/~jnz1568/getInfo.php?workbook=18_08.xlsx&amp;sheet=U0&amp;row=3245&amp;col=7&amp;number=0.00929&amp;sourceID=14","0.00929")</f>
        <v>0.00929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HYPERLINK("http://141.218.60.56/~jnz1568/getInfo.php?workbook=18_08.xlsx&amp;sheet=U0&amp;row=3246&amp;col=6&amp;number=3.2&amp;sourceID=14","3.2")</f>
        <v>3.2</v>
      </c>
      <c r="G3246" s="4" t="str">
        <f>HYPERLINK("http://141.218.60.56/~jnz1568/getInfo.php?workbook=18_08.xlsx&amp;sheet=U0&amp;row=3246&amp;col=7&amp;number=0.00929&amp;sourceID=14","0.00929")</f>
        <v>0.00929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HYPERLINK("http://141.218.60.56/~jnz1568/getInfo.php?workbook=18_08.xlsx&amp;sheet=U0&amp;row=3247&amp;col=6&amp;number=3.3&amp;sourceID=14","3.3")</f>
        <v>3.3</v>
      </c>
      <c r="G3247" s="4" t="str">
        <f>HYPERLINK("http://141.218.60.56/~jnz1568/getInfo.php?workbook=18_08.xlsx&amp;sheet=U0&amp;row=3247&amp;col=7&amp;number=0.00929&amp;sourceID=14","0.00929")</f>
        <v>0.00929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HYPERLINK("http://141.218.60.56/~jnz1568/getInfo.php?workbook=18_08.xlsx&amp;sheet=U0&amp;row=3248&amp;col=6&amp;number=3.4&amp;sourceID=14","3.4")</f>
        <v>3.4</v>
      </c>
      <c r="G3248" s="4" t="str">
        <f>HYPERLINK("http://141.218.60.56/~jnz1568/getInfo.php?workbook=18_08.xlsx&amp;sheet=U0&amp;row=3248&amp;col=7&amp;number=0.00929&amp;sourceID=14","0.00929")</f>
        <v>0.00929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HYPERLINK("http://141.218.60.56/~jnz1568/getInfo.php?workbook=18_08.xlsx&amp;sheet=U0&amp;row=3249&amp;col=6&amp;number=3.5&amp;sourceID=14","3.5")</f>
        <v>3.5</v>
      </c>
      <c r="G3249" s="4" t="str">
        <f>HYPERLINK("http://141.218.60.56/~jnz1568/getInfo.php?workbook=18_08.xlsx&amp;sheet=U0&amp;row=3249&amp;col=7&amp;number=0.00929&amp;sourceID=14","0.00929")</f>
        <v>0.00929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HYPERLINK("http://141.218.60.56/~jnz1568/getInfo.php?workbook=18_08.xlsx&amp;sheet=U0&amp;row=3250&amp;col=6&amp;number=3.6&amp;sourceID=14","3.6")</f>
        <v>3.6</v>
      </c>
      <c r="G3250" s="4" t="str">
        <f>HYPERLINK("http://141.218.60.56/~jnz1568/getInfo.php?workbook=18_08.xlsx&amp;sheet=U0&amp;row=3250&amp;col=7&amp;number=0.00929&amp;sourceID=14","0.00929")</f>
        <v>0.00929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HYPERLINK("http://141.218.60.56/~jnz1568/getInfo.php?workbook=18_08.xlsx&amp;sheet=U0&amp;row=3251&amp;col=6&amp;number=3.7&amp;sourceID=14","3.7")</f>
        <v>3.7</v>
      </c>
      <c r="G3251" s="4" t="str">
        <f>HYPERLINK("http://141.218.60.56/~jnz1568/getInfo.php?workbook=18_08.xlsx&amp;sheet=U0&amp;row=3251&amp;col=7&amp;number=0.00929&amp;sourceID=14","0.00929")</f>
        <v>0.00929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HYPERLINK("http://141.218.60.56/~jnz1568/getInfo.php?workbook=18_08.xlsx&amp;sheet=U0&amp;row=3252&amp;col=6&amp;number=3.8&amp;sourceID=14","3.8")</f>
        <v>3.8</v>
      </c>
      <c r="G3252" s="4" t="str">
        <f>HYPERLINK("http://141.218.60.56/~jnz1568/getInfo.php?workbook=18_08.xlsx&amp;sheet=U0&amp;row=3252&amp;col=7&amp;number=0.00929&amp;sourceID=14","0.00929")</f>
        <v>0.00929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HYPERLINK("http://141.218.60.56/~jnz1568/getInfo.php?workbook=18_08.xlsx&amp;sheet=U0&amp;row=3253&amp;col=6&amp;number=3.9&amp;sourceID=14","3.9")</f>
        <v>3.9</v>
      </c>
      <c r="G3253" s="4" t="str">
        <f>HYPERLINK("http://141.218.60.56/~jnz1568/getInfo.php?workbook=18_08.xlsx&amp;sheet=U0&amp;row=3253&amp;col=7&amp;number=0.00929&amp;sourceID=14","0.00929")</f>
        <v>0.00929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HYPERLINK("http://141.218.60.56/~jnz1568/getInfo.php?workbook=18_08.xlsx&amp;sheet=U0&amp;row=3254&amp;col=6&amp;number=4&amp;sourceID=14","4")</f>
        <v>4</v>
      </c>
      <c r="G3254" s="4" t="str">
        <f>HYPERLINK("http://141.218.60.56/~jnz1568/getInfo.php?workbook=18_08.xlsx&amp;sheet=U0&amp;row=3254&amp;col=7&amp;number=0.00929&amp;sourceID=14","0.00929")</f>
        <v>0.00929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HYPERLINK("http://141.218.60.56/~jnz1568/getInfo.php?workbook=18_08.xlsx&amp;sheet=U0&amp;row=3255&amp;col=6&amp;number=4.1&amp;sourceID=14","4.1")</f>
        <v>4.1</v>
      </c>
      <c r="G3255" s="4" t="str">
        <f>HYPERLINK("http://141.218.60.56/~jnz1568/getInfo.php?workbook=18_08.xlsx&amp;sheet=U0&amp;row=3255&amp;col=7&amp;number=0.00929&amp;sourceID=14","0.00929")</f>
        <v>0.00929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HYPERLINK("http://141.218.60.56/~jnz1568/getInfo.php?workbook=18_08.xlsx&amp;sheet=U0&amp;row=3256&amp;col=6&amp;number=4.2&amp;sourceID=14","4.2")</f>
        <v>4.2</v>
      </c>
      <c r="G3256" s="4" t="str">
        <f>HYPERLINK("http://141.218.60.56/~jnz1568/getInfo.php?workbook=18_08.xlsx&amp;sheet=U0&amp;row=3256&amp;col=7&amp;number=0.00929&amp;sourceID=14","0.00929")</f>
        <v>0.00929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HYPERLINK("http://141.218.60.56/~jnz1568/getInfo.php?workbook=18_08.xlsx&amp;sheet=U0&amp;row=3257&amp;col=6&amp;number=4.3&amp;sourceID=14","4.3")</f>
        <v>4.3</v>
      </c>
      <c r="G3257" s="4" t="str">
        <f>HYPERLINK("http://141.218.60.56/~jnz1568/getInfo.php?workbook=18_08.xlsx&amp;sheet=U0&amp;row=3257&amp;col=7&amp;number=0.0093&amp;sourceID=14","0.0093")</f>
        <v>0.0093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HYPERLINK("http://141.218.60.56/~jnz1568/getInfo.php?workbook=18_08.xlsx&amp;sheet=U0&amp;row=3258&amp;col=6&amp;number=4.4&amp;sourceID=14","4.4")</f>
        <v>4.4</v>
      </c>
      <c r="G3258" s="4" t="str">
        <f>HYPERLINK("http://141.218.60.56/~jnz1568/getInfo.php?workbook=18_08.xlsx&amp;sheet=U0&amp;row=3258&amp;col=7&amp;number=0.0093&amp;sourceID=14","0.0093")</f>
        <v>0.0093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HYPERLINK("http://141.218.60.56/~jnz1568/getInfo.php?workbook=18_08.xlsx&amp;sheet=U0&amp;row=3259&amp;col=6&amp;number=4.5&amp;sourceID=14","4.5")</f>
        <v>4.5</v>
      </c>
      <c r="G3259" s="4" t="str">
        <f>HYPERLINK("http://141.218.60.56/~jnz1568/getInfo.php?workbook=18_08.xlsx&amp;sheet=U0&amp;row=3259&amp;col=7&amp;number=0.0093&amp;sourceID=14","0.0093")</f>
        <v>0.0093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HYPERLINK("http://141.218.60.56/~jnz1568/getInfo.php?workbook=18_08.xlsx&amp;sheet=U0&amp;row=3260&amp;col=6&amp;number=4.6&amp;sourceID=14","4.6")</f>
        <v>4.6</v>
      </c>
      <c r="G3260" s="4" t="str">
        <f>HYPERLINK("http://141.218.60.56/~jnz1568/getInfo.php?workbook=18_08.xlsx&amp;sheet=U0&amp;row=3260&amp;col=7&amp;number=0.0093&amp;sourceID=14","0.0093")</f>
        <v>0.0093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HYPERLINK("http://141.218.60.56/~jnz1568/getInfo.php?workbook=18_08.xlsx&amp;sheet=U0&amp;row=3261&amp;col=6&amp;number=4.7&amp;sourceID=14","4.7")</f>
        <v>4.7</v>
      </c>
      <c r="G3261" s="4" t="str">
        <f>HYPERLINK("http://141.218.60.56/~jnz1568/getInfo.php?workbook=18_08.xlsx&amp;sheet=U0&amp;row=3261&amp;col=7&amp;number=0.00931&amp;sourceID=14","0.00931")</f>
        <v>0.00931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HYPERLINK("http://141.218.60.56/~jnz1568/getInfo.php?workbook=18_08.xlsx&amp;sheet=U0&amp;row=3262&amp;col=6&amp;number=4.8&amp;sourceID=14","4.8")</f>
        <v>4.8</v>
      </c>
      <c r="G3262" s="4" t="str">
        <f>HYPERLINK("http://141.218.60.56/~jnz1568/getInfo.php?workbook=18_08.xlsx&amp;sheet=U0&amp;row=3262&amp;col=7&amp;number=0.00931&amp;sourceID=14","0.00931")</f>
        <v>0.00931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HYPERLINK("http://141.218.60.56/~jnz1568/getInfo.php?workbook=18_08.xlsx&amp;sheet=U0&amp;row=3263&amp;col=6&amp;number=4.9&amp;sourceID=14","4.9")</f>
        <v>4.9</v>
      </c>
      <c r="G3263" s="4" t="str">
        <f>HYPERLINK("http://141.218.60.56/~jnz1568/getInfo.php?workbook=18_08.xlsx&amp;sheet=U0&amp;row=3263&amp;col=7&amp;number=0.00932&amp;sourceID=14","0.00932")</f>
        <v>0.00932</v>
      </c>
    </row>
    <row r="3264" spans="1:7">
      <c r="A3264" s="3">
        <v>18</v>
      </c>
      <c r="B3264" s="3">
        <v>8</v>
      </c>
      <c r="C3264" s="3" t="s">
        <v>61</v>
      </c>
      <c r="D3264" s="3">
        <v>1</v>
      </c>
      <c r="E3264" s="3">
        <v>1</v>
      </c>
      <c r="F3264" s="4" t="str">
        <f>HYPERLINK("http://141.218.60.56/~jnz1568/getInfo.php?workbook=18_08.xlsx&amp;sheet=U0&amp;row=3264&amp;col=6&amp;number=3&amp;sourceID=14","3")</f>
        <v>3</v>
      </c>
      <c r="G3264" s="4" t="str">
        <f>HYPERLINK("http://141.218.60.56/~jnz1568/getInfo.php?workbook=18_08.xlsx&amp;sheet=U0&amp;row=3264&amp;col=7&amp;number=0.0731&amp;sourceID=14","0.0731")</f>
        <v>0.0731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HYPERLINK("http://141.218.60.56/~jnz1568/getInfo.php?workbook=18_08.xlsx&amp;sheet=U0&amp;row=3265&amp;col=6&amp;number=3.1&amp;sourceID=14","3.1")</f>
        <v>3.1</v>
      </c>
      <c r="G3265" s="4" t="str">
        <f>HYPERLINK("http://141.218.60.56/~jnz1568/getInfo.php?workbook=18_08.xlsx&amp;sheet=U0&amp;row=3265&amp;col=7&amp;number=0.0731&amp;sourceID=14","0.0731")</f>
        <v>0.0731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HYPERLINK("http://141.218.60.56/~jnz1568/getInfo.php?workbook=18_08.xlsx&amp;sheet=U0&amp;row=3266&amp;col=6&amp;number=3.2&amp;sourceID=14","3.2")</f>
        <v>3.2</v>
      </c>
      <c r="G3266" s="4" t="str">
        <f>HYPERLINK("http://141.218.60.56/~jnz1568/getInfo.php?workbook=18_08.xlsx&amp;sheet=U0&amp;row=3266&amp;col=7&amp;number=0.0731&amp;sourceID=14","0.0731")</f>
        <v>0.0731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HYPERLINK("http://141.218.60.56/~jnz1568/getInfo.php?workbook=18_08.xlsx&amp;sheet=U0&amp;row=3267&amp;col=6&amp;number=3.3&amp;sourceID=14","3.3")</f>
        <v>3.3</v>
      </c>
      <c r="G3267" s="4" t="str">
        <f>HYPERLINK("http://141.218.60.56/~jnz1568/getInfo.php?workbook=18_08.xlsx&amp;sheet=U0&amp;row=3267&amp;col=7&amp;number=0.0731&amp;sourceID=14","0.0731")</f>
        <v>0.0731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HYPERLINK("http://141.218.60.56/~jnz1568/getInfo.php?workbook=18_08.xlsx&amp;sheet=U0&amp;row=3268&amp;col=6&amp;number=3.4&amp;sourceID=14","3.4")</f>
        <v>3.4</v>
      </c>
      <c r="G3268" s="4" t="str">
        <f>HYPERLINK("http://141.218.60.56/~jnz1568/getInfo.php?workbook=18_08.xlsx&amp;sheet=U0&amp;row=3268&amp;col=7&amp;number=0.0731&amp;sourceID=14","0.0731")</f>
        <v>0.0731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HYPERLINK("http://141.218.60.56/~jnz1568/getInfo.php?workbook=18_08.xlsx&amp;sheet=U0&amp;row=3269&amp;col=6&amp;number=3.5&amp;sourceID=14","3.5")</f>
        <v>3.5</v>
      </c>
      <c r="G3269" s="4" t="str">
        <f>HYPERLINK("http://141.218.60.56/~jnz1568/getInfo.php?workbook=18_08.xlsx&amp;sheet=U0&amp;row=3269&amp;col=7&amp;number=0.0731&amp;sourceID=14","0.0731")</f>
        <v>0.0731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HYPERLINK("http://141.218.60.56/~jnz1568/getInfo.php?workbook=18_08.xlsx&amp;sheet=U0&amp;row=3270&amp;col=6&amp;number=3.6&amp;sourceID=14","3.6")</f>
        <v>3.6</v>
      </c>
      <c r="G3270" s="4" t="str">
        <f>HYPERLINK("http://141.218.60.56/~jnz1568/getInfo.php?workbook=18_08.xlsx&amp;sheet=U0&amp;row=3270&amp;col=7&amp;number=0.0731&amp;sourceID=14","0.0731")</f>
        <v>0.0731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HYPERLINK("http://141.218.60.56/~jnz1568/getInfo.php?workbook=18_08.xlsx&amp;sheet=U0&amp;row=3271&amp;col=6&amp;number=3.7&amp;sourceID=14","3.7")</f>
        <v>3.7</v>
      </c>
      <c r="G3271" s="4" t="str">
        <f>HYPERLINK("http://141.218.60.56/~jnz1568/getInfo.php?workbook=18_08.xlsx&amp;sheet=U0&amp;row=3271&amp;col=7&amp;number=0.0731&amp;sourceID=14","0.0731")</f>
        <v>0.0731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HYPERLINK("http://141.218.60.56/~jnz1568/getInfo.php?workbook=18_08.xlsx&amp;sheet=U0&amp;row=3272&amp;col=6&amp;number=3.8&amp;sourceID=14","3.8")</f>
        <v>3.8</v>
      </c>
      <c r="G3272" s="4" t="str">
        <f>HYPERLINK("http://141.218.60.56/~jnz1568/getInfo.php?workbook=18_08.xlsx&amp;sheet=U0&amp;row=3272&amp;col=7&amp;number=0.0732&amp;sourceID=14","0.0732")</f>
        <v>0.0732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HYPERLINK("http://141.218.60.56/~jnz1568/getInfo.php?workbook=18_08.xlsx&amp;sheet=U0&amp;row=3273&amp;col=6&amp;number=3.9&amp;sourceID=14","3.9")</f>
        <v>3.9</v>
      </c>
      <c r="G3273" s="4" t="str">
        <f>HYPERLINK("http://141.218.60.56/~jnz1568/getInfo.php?workbook=18_08.xlsx&amp;sheet=U0&amp;row=3273&amp;col=7&amp;number=0.0732&amp;sourceID=14","0.0732")</f>
        <v>0.0732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HYPERLINK("http://141.218.60.56/~jnz1568/getInfo.php?workbook=18_08.xlsx&amp;sheet=U0&amp;row=3274&amp;col=6&amp;number=4&amp;sourceID=14","4")</f>
        <v>4</v>
      </c>
      <c r="G3274" s="4" t="str">
        <f>HYPERLINK("http://141.218.60.56/~jnz1568/getInfo.php?workbook=18_08.xlsx&amp;sheet=U0&amp;row=3274&amp;col=7&amp;number=0.0732&amp;sourceID=14","0.0732")</f>
        <v>0.0732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HYPERLINK("http://141.218.60.56/~jnz1568/getInfo.php?workbook=18_08.xlsx&amp;sheet=U0&amp;row=3275&amp;col=6&amp;number=4.1&amp;sourceID=14","4.1")</f>
        <v>4.1</v>
      </c>
      <c r="G3275" s="4" t="str">
        <f>HYPERLINK("http://141.218.60.56/~jnz1568/getInfo.php?workbook=18_08.xlsx&amp;sheet=U0&amp;row=3275&amp;col=7&amp;number=0.0733&amp;sourceID=14","0.0733")</f>
        <v>0.0733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HYPERLINK("http://141.218.60.56/~jnz1568/getInfo.php?workbook=18_08.xlsx&amp;sheet=U0&amp;row=3276&amp;col=6&amp;number=4.2&amp;sourceID=14","4.2")</f>
        <v>4.2</v>
      </c>
      <c r="G3276" s="4" t="str">
        <f>HYPERLINK("http://141.218.60.56/~jnz1568/getInfo.php?workbook=18_08.xlsx&amp;sheet=U0&amp;row=3276&amp;col=7&amp;number=0.0733&amp;sourceID=14","0.0733")</f>
        <v>0.0733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HYPERLINK("http://141.218.60.56/~jnz1568/getInfo.php?workbook=18_08.xlsx&amp;sheet=U0&amp;row=3277&amp;col=6&amp;number=4.3&amp;sourceID=14","4.3")</f>
        <v>4.3</v>
      </c>
      <c r="G3277" s="4" t="str">
        <f>HYPERLINK("http://141.218.60.56/~jnz1568/getInfo.php?workbook=18_08.xlsx&amp;sheet=U0&amp;row=3277&amp;col=7&amp;number=0.0734&amp;sourceID=14","0.0734")</f>
        <v>0.0734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HYPERLINK("http://141.218.60.56/~jnz1568/getInfo.php?workbook=18_08.xlsx&amp;sheet=U0&amp;row=3278&amp;col=6&amp;number=4.4&amp;sourceID=14","4.4")</f>
        <v>4.4</v>
      </c>
      <c r="G3278" s="4" t="str">
        <f>HYPERLINK("http://141.218.60.56/~jnz1568/getInfo.php?workbook=18_08.xlsx&amp;sheet=U0&amp;row=3278&amp;col=7&amp;number=0.0735&amp;sourceID=14","0.0735")</f>
        <v>0.0735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HYPERLINK("http://141.218.60.56/~jnz1568/getInfo.php?workbook=18_08.xlsx&amp;sheet=U0&amp;row=3279&amp;col=6&amp;number=4.5&amp;sourceID=14","4.5")</f>
        <v>4.5</v>
      </c>
      <c r="G3279" s="4" t="str">
        <f>HYPERLINK("http://141.218.60.56/~jnz1568/getInfo.php?workbook=18_08.xlsx&amp;sheet=U0&amp;row=3279&amp;col=7&amp;number=0.0736&amp;sourceID=14","0.0736")</f>
        <v>0.0736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HYPERLINK("http://141.218.60.56/~jnz1568/getInfo.php?workbook=18_08.xlsx&amp;sheet=U0&amp;row=3280&amp;col=6&amp;number=4.6&amp;sourceID=14","4.6")</f>
        <v>4.6</v>
      </c>
      <c r="G3280" s="4" t="str">
        <f>HYPERLINK("http://141.218.60.56/~jnz1568/getInfo.php?workbook=18_08.xlsx&amp;sheet=U0&amp;row=3280&amp;col=7&amp;number=0.0738&amp;sourceID=14","0.0738")</f>
        <v>0.0738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HYPERLINK("http://141.218.60.56/~jnz1568/getInfo.php?workbook=18_08.xlsx&amp;sheet=U0&amp;row=3281&amp;col=6&amp;number=4.7&amp;sourceID=14","4.7")</f>
        <v>4.7</v>
      </c>
      <c r="G3281" s="4" t="str">
        <f>HYPERLINK("http://141.218.60.56/~jnz1568/getInfo.php?workbook=18_08.xlsx&amp;sheet=U0&amp;row=3281&amp;col=7&amp;number=0.074&amp;sourceID=14","0.074")</f>
        <v>0.074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HYPERLINK("http://141.218.60.56/~jnz1568/getInfo.php?workbook=18_08.xlsx&amp;sheet=U0&amp;row=3282&amp;col=6&amp;number=4.8&amp;sourceID=14","4.8")</f>
        <v>4.8</v>
      </c>
      <c r="G3282" s="4" t="str">
        <f>HYPERLINK("http://141.218.60.56/~jnz1568/getInfo.php?workbook=18_08.xlsx&amp;sheet=U0&amp;row=3282&amp;col=7&amp;number=0.0742&amp;sourceID=14","0.0742")</f>
        <v>0.0742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HYPERLINK("http://141.218.60.56/~jnz1568/getInfo.php?workbook=18_08.xlsx&amp;sheet=U0&amp;row=3283&amp;col=6&amp;number=4.9&amp;sourceID=14","4.9")</f>
        <v>4.9</v>
      </c>
      <c r="G3283" s="4" t="str">
        <f>HYPERLINK("http://141.218.60.56/~jnz1568/getInfo.php?workbook=18_08.xlsx&amp;sheet=U0&amp;row=3283&amp;col=7&amp;number=0.0745&amp;sourceID=14","0.0745")</f>
        <v>0.0745</v>
      </c>
    </row>
    <row r="3284" spans="1:7">
      <c r="A3284" s="3">
        <v>18</v>
      </c>
      <c r="B3284" s="3">
        <v>8</v>
      </c>
      <c r="C3284" s="3" t="s">
        <v>61</v>
      </c>
      <c r="D3284" s="3">
        <v>2</v>
      </c>
      <c r="E3284" s="3">
        <v>1</v>
      </c>
      <c r="F3284" s="4" t="str">
        <f>HYPERLINK("http://141.218.60.56/~jnz1568/getInfo.php?workbook=18_08.xlsx&amp;sheet=U0&amp;row=3284&amp;col=6&amp;number=3&amp;sourceID=14","3")</f>
        <v>3</v>
      </c>
      <c r="G3284" s="4" t="str">
        <f>HYPERLINK("http://141.218.60.56/~jnz1568/getInfo.php?workbook=18_08.xlsx&amp;sheet=U0&amp;row=3284&amp;col=7&amp;number=0.00781&amp;sourceID=14","0.00781")</f>
        <v>0.00781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HYPERLINK("http://141.218.60.56/~jnz1568/getInfo.php?workbook=18_08.xlsx&amp;sheet=U0&amp;row=3285&amp;col=6&amp;number=3.1&amp;sourceID=14","3.1")</f>
        <v>3.1</v>
      </c>
      <c r="G3285" s="4" t="str">
        <f>HYPERLINK("http://141.218.60.56/~jnz1568/getInfo.php?workbook=18_08.xlsx&amp;sheet=U0&amp;row=3285&amp;col=7&amp;number=0.00781&amp;sourceID=14","0.00781")</f>
        <v>0.00781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HYPERLINK("http://141.218.60.56/~jnz1568/getInfo.php?workbook=18_08.xlsx&amp;sheet=U0&amp;row=3286&amp;col=6&amp;number=3.2&amp;sourceID=14","3.2")</f>
        <v>3.2</v>
      </c>
      <c r="G3286" s="4" t="str">
        <f>HYPERLINK("http://141.218.60.56/~jnz1568/getInfo.php?workbook=18_08.xlsx&amp;sheet=U0&amp;row=3286&amp;col=7&amp;number=0.00781&amp;sourceID=14","0.00781")</f>
        <v>0.00781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HYPERLINK("http://141.218.60.56/~jnz1568/getInfo.php?workbook=18_08.xlsx&amp;sheet=U0&amp;row=3287&amp;col=6&amp;number=3.3&amp;sourceID=14","3.3")</f>
        <v>3.3</v>
      </c>
      <c r="G3287" s="4" t="str">
        <f>HYPERLINK("http://141.218.60.56/~jnz1568/getInfo.php?workbook=18_08.xlsx&amp;sheet=U0&amp;row=3287&amp;col=7&amp;number=0.00781&amp;sourceID=14","0.00781")</f>
        <v>0.00781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HYPERLINK("http://141.218.60.56/~jnz1568/getInfo.php?workbook=18_08.xlsx&amp;sheet=U0&amp;row=3288&amp;col=6&amp;number=3.4&amp;sourceID=14","3.4")</f>
        <v>3.4</v>
      </c>
      <c r="G3288" s="4" t="str">
        <f>HYPERLINK("http://141.218.60.56/~jnz1568/getInfo.php?workbook=18_08.xlsx&amp;sheet=U0&amp;row=3288&amp;col=7&amp;number=0.00781&amp;sourceID=14","0.00781")</f>
        <v>0.00781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HYPERLINK("http://141.218.60.56/~jnz1568/getInfo.php?workbook=18_08.xlsx&amp;sheet=U0&amp;row=3289&amp;col=6&amp;number=3.5&amp;sourceID=14","3.5")</f>
        <v>3.5</v>
      </c>
      <c r="G3289" s="4" t="str">
        <f>HYPERLINK("http://141.218.60.56/~jnz1568/getInfo.php?workbook=18_08.xlsx&amp;sheet=U0&amp;row=3289&amp;col=7&amp;number=0.00781&amp;sourceID=14","0.00781")</f>
        <v>0.00781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HYPERLINK("http://141.218.60.56/~jnz1568/getInfo.php?workbook=18_08.xlsx&amp;sheet=U0&amp;row=3290&amp;col=6&amp;number=3.6&amp;sourceID=14","3.6")</f>
        <v>3.6</v>
      </c>
      <c r="G3290" s="4" t="str">
        <f>HYPERLINK("http://141.218.60.56/~jnz1568/getInfo.php?workbook=18_08.xlsx&amp;sheet=U0&amp;row=3290&amp;col=7&amp;number=0.00781&amp;sourceID=14","0.00781")</f>
        <v>0.00781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HYPERLINK("http://141.218.60.56/~jnz1568/getInfo.php?workbook=18_08.xlsx&amp;sheet=U0&amp;row=3291&amp;col=6&amp;number=3.7&amp;sourceID=14","3.7")</f>
        <v>3.7</v>
      </c>
      <c r="G3291" s="4" t="str">
        <f>HYPERLINK("http://141.218.60.56/~jnz1568/getInfo.php?workbook=18_08.xlsx&amp;sheet=U0&amp;row=3291&amp;col=7&amp;number=0.00781&amp;sourceID=14","0.00781")</f>
        <v>0.00781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HYPERLINK("http://141.218.60.56/~jnz1568/getInfo.php?workbook=18_08.xlsx&amp;sheet=U0&amp;row=3292&amp;col=6&amp;number=3.8&amp;sourceID=14","3.8")</f>
        <v>3.8</v>
      </c>
      <c r="G3292" s="4" t="str">
        <f>HYPERLINK("http://141.218.60.56/~jnz1568/getInfo.php?workbook=18_08.xlsx&amp;sheet=U0&amp;row=3292&amp;col=7&amp;number=0.0078&amp;sourceID=14","0.0078")</f>
        <v>0.0078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HYPERLINK("http://141.218.60.56/~jnz1568/getInfo.php?workbook=18_08.xlsx&amp;sheet=U0&amp;row=3293&amp;col=6&amp;number=3.9&amp;sourceID=14","3.9")</f>
        <v>3.9</v>
      </c>
      <c r="G3293" s="4" t="str">
        <f>HYPERLINK("http://141.218.60.56/~jnz1568/getInfo.php?workbook=18_08.xlsx&amp;sheet=U0&amp;row=3293&amp;col=7&amp;number=0.0078&amp;sourceID=14","0.0078")</f>
        <v>0.0078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HYPERLINK("http://141.218.60.56/~jnz1568/getInfo.php?workbook=18_08.xlsx&amp;sheet=U0&amp;row=3294&amp;col=6&amp;number=4&amp;sourceID=14","4")</f>
        <v>4</v>
      </c>
      <c r="G3294" s="4" t="str">
        <f>HYPERLINK("http://141.218.60.56/~jnz1568/getInfo.php?workbook=18_08.xlsx&amp;sheet=U0&amp;row=3294&amp;col=7&amp;number=0.0078&amp;sourceID=14","0.0078")</f>
        <v>0.0078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HYPERLINK("http://141.218.60.56/~jnz1568/getInfo.php?workbook=18_08.xlsx&amp;sheet=U0&amp;row=3295&amp;col=6&amp;number=4.1&amp;sourceID=14","4.1")</f>
        <v>4.1</v>
      </c>
      <c r="G3295" s="4" t="str">
        <f>HYPERLINK("http://141.218.60.56/~jnz1568/getInfo.php?workbook=18_08.xlsx&amp;sheet=U0&amp;row=3295&amp;col=7&amp;number=0.0078&amp;sourceID=14","0.0078")</f>
        <v>0.0078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HYPERLINK("http://141.218.60.56/~jnz1568/getInfo.php?workbook=18_08.xlsx&amp;sheet=U0&amp;row=3296&amp;col=6&amp;number=4.2&amp;sourceID=14","4.2")</f>
        <v>4.2</v>
      </c>
      <c r="G3296" s="4" t="str">
        <f>HYPERLINK("http://141.218.60.56/~jnz1568/getInfo.php?workbook=18_08.xlsx&amp;sheet=U0&amp;row=3296&amp;col=7&amp;number=0.00779&amp;sourceID=14","0.00779")</f>
        <v>0.00779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HYPERLINK("http://141.218.60.56/~jnz1568/getInfo.php?workbook=18_08.xlsx&amp;sheet=U0&amp;row=3297&amp;col=6&amp;number=4.3&amp;sourceID=14","4.3")</f>
        <v>4.3</v>
      </c>
      <c r="G3297" s="4" t="str">
        <f>HYPERLINK("http://141.218.60.56/~jnz1568/getInfo.php?workbook=18_08.xlsx&amp;sheet=U0&amp;row=3297&amp;col=7&amp;number=0.00778&amp;sourceID=14","0.00778")</f>
        <v>0.00778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HYPERLINK("http://141.218.60.56/~jnz1568/getInfo.php?workbook=18_08.xlsx&amp;sheet=U0&amp;row=3298&amp;col=6&amp;number=4.4&amp;sourceID=14","4.4")</f>
        <v>4.4</v>
      </c>
      <c r="G3298" s="4" t="str">
        <f>HYPERLINK("http://141.218.60.56/~jnz1568/getInfo.php?workbook=18_08.xlsx&amp;sheet=U0&amp;row=3298&amp;col=7&amp;number=0.00778&amp;sourceID=14","0.00778")</f>
        <v>0.00778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HYPERLINK("http://141.218.60.56/~jnz1568/getInfo.php?workbook=18_08.xlsx&amp;sheet=U0&amp;row=3299&amp;col=6&amp;number=4.5&amp;sourceID=14","4.5")</f>
        <v>4.5</v>
      </c>
      <c r="G3299" s="4" t="str">
        <f>HYPERLINK("http://141.218.60.56/~jnz1568/getInfo.php?workbook=18_08.xlsx&amp;sheet=U0&amp;row=3299&amp;col=7&amp;number=0.00777&amp;sourceID=14","0.00777")</f>
        <v>0.00777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HYPERLINK("http://141.218.60.56/~jnz1568/getInfo.php?workbook=18_08.xlsx&amp;sheet=U0&amp;row=3300&amp;col=6&amp;number=4.6&amp;sourceID=14","4.6")</f>
        <v>4.6</v>
      </c>
      <c r="G3300" s="4" t="str">
        <f>HYPERLINK("http://141.218.60.56/~jnz1568/getInfo.php?workbook=18_08.xlsx&amp;sheet=U0&amp;row=3300&amp;col=7&amp;number=0.00776&amp;sourceID=14","0.00776")</f>
        <v>0.00776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HYPERLINK("http://141.218.60.56/~jnz1568/getInfo.php?workbook=18_08.xlsx&amp;sheet=U0&amp;row=3301&amp;col=6&amp;number=4.7&amp;sourceID=14","4.7")</f>
        <v>4.7</v>
      </c>
      <c r="G3301" s="4" t="str">
        <f>HYPERLINK("http://141.218.60.56/~jnz1568/getInfo.php?workbook=18_08.xlsx&amp;sheet=U0&amp;row=3301&amp;col=7&amp;number=0.00774&amp;sourceID=14","0.00774")</f>
        <v>0.00774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HYPERLINK("http://141.218.60.56/~jnz1568/getInfo.php?workbook=18_08.xlsx&amp;sheet=U0&amp;row=3302&amp;col=6&amp;number=4.8&amp;sourceID=14","4.8")</f>
        <v>4.8</v>
      </c>
      <c r="G3302" s="4" t="str">
        <f>HYPERLINK("http://141.218.60.56/~jnz1568/getInfo.php?workbook=18_08.xlsx&amp;sheet=U0&amp;row=3302&amp;col=7&amp;number=0.00772&amp;sourceID=14","0.00772")</f>
        <v>0.00772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HYPERLINK("http://141.218.60.56/~jnz1568/getInfo.php?workbook=18_08.xlsx&amp;sheet=U0&amp;row=3303&amp;col=6&amp;number=4.9&amp;sourceID=14","4.9")</f>
        <v>4.9</v>
      </c>
      <c r="G3303" s="4" t="str">
        <f>HYPERLINK("http://141.218.60.56/~jnz1568/getInfo.php?workbook=18_08.xlsx&amp;sheet=U0&amp;row=3303&amp;col=7&amp;number=0.0077&amp;sourceID=14","0.0077")</f>
        <v>0.0077</v>
      </c>
    </row>
    <row r="3304" spans="1:7">
      <c r="A3304" s="3">
        <v>18</v>
      </c>
      <c r="B3304" s="3">
        <v>8</v>
      </c>
      <c r="C3304" s="3" t="s">
        <v>61</v>
      </c>
      <c r="D3304" s="3">
        <v>3</v>
      </c>
      <c r="E3304" s="3">
        <v>1</v>
      </c>
      <c r="F3304" s="4" t="str">
        <f>HYPERLINK("http://141.218.60.56/~jnz1568/getInfo.php?workbook=18_08.xlsx&amp;sheet=U0&amp;row=3304&amp;col=6&amp;number=3&amp;sourceID=14","3")</f>
        <v>3</v>
      </c>
      <c r="G3304" s="4" t="str">
        <f>HYPERLINK("http://141.218.60.56/~jnz1568/getInfo.php?workbook=18_08.xlsx&amp;sheet=U0&amp;row=3304&amp;col=7&amp;number=0.0378&amp;sourceID=14","0.0378")</f>
        <v>0.0378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HYPERLINK("http://141.218.60.56/~jnz1568/getInfo.php?workbook=18_08.xlsx&amp;sheet=U0&amp;row=3305&amp;col=6&amp;number=3.1&amp;sourceID=14","3.1")</f>
        <v>3.1</v>
      </c>
      <c r="G3305" s="4" t="str">
        <f>HYPERLINK("http://141.218.60.56/~jnz1568/getInfo.php?workbook=18_08.xlsx&amp;sheet=U0&amp;row=3305&amp;col=7&amp;number=0.0379&amp;sourceID=14","0.0379")</f>
        <v>0.0379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HYPERLINK("http://141.218.60.56/~jnz1568/getInfo.php?workbook=18_08.xlsx&amp;sheet=U0&amp;row=3306&amp;col=6&amp;number=3.2&amp;sourceID=14","3.2")</f>
        <v>3.2</v>
      </c>
      <c r="G3306" s="4" t="str">
        <f>HYPERLINK("http://141.218.60.56/~jnz1568/getInfo.php?workbook=18_08.xlsx&amp;sheet=U0&amp;row=3306&amp;col=7&amp;number=0.0379&amp;sourceID=14","0.0379")</f>
        <v>0.0379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HYPERLINK("http://141.218.60.56/~jnz1568/getInfo.php?workbook=18_08.xlsx&amp;sheet=U0&amp;row=3307&amp;col=6&amp;number=3.3&amp;sourceID=14","3.3")</f>
        <v>3.3</v>
      </c>
      <c r="G3307" s="4" t="str">
        <f>HYPERLINK("http://141.218.60.56/~jnz1568/getInfo.php?workbook=18_08.xlsx&amp;sheet=U0&amp;row=3307&amp;col=7&amp;number=0.0379&amp;sourceID=14","0.0379")</f>
        <v>0.0379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HYPERLINK("http://141.218.60.56/~jnz1568/getInfo.php?workbook=18_08.xlsx&amp;sheet=U0&amp;row=3308&amp;col=6&amp;number=3.4&amp;sourceID=14","3.4")</f>
        <v>3.4</v>
      </c>
      <c r="G3308" s="4" t="str">
        <f>HYPERLINK("http://141.218.60.56/~jnz1568/getInfo.php?workbook=18_08.xlsx&amp;sheet=U0&amp;row=3308&amp;col=7&amp;number=0.0379&amp;sourceID=14","0.0379")</f>
        <v>0.0379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HYPERLINK("http://141.218.60.56/~jnz1568/getInfo.php?workbook=18_08.xlsx&amp;sheet=U0&amp;row=3309&amp;col=6&amp;number=3.5&amp;sourceID=14","3.5")</f>
        <v>3.5</v>
      </c>
      <c r="G3309" s="4" t="str">
        <f>HYPERLINK("http://141.218.60.56/~jnz1568/getInfo.php?workbook=18_08.xlsx&amp;sheet=U0&amp;row=3309&amp;col=7&amp;number=0.0379&amp;sourceID=14","0.0379")</f>
        <v>0.0379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HYPERLINK("http://141.218.60.56/~jnz1568/getInfo.php?workbook=18_08.xlsx&amp;sheet=U0&amp;row=3310&amp;col=6&amp;number=3.6&amp;sourceID=14","3.6")</f>
        <v>3.6</v>
      </c>
      <c r="G3310" s="4" t="str">
        <f>HYPERLINK("http://141.218.60.56/~jnz1568/getInfo.php?workbook=18_08.xlsx&amp;sheet=U0&amp;row=3310&amp;col=7&amp;number=0.0379&amp;sourceID=14","0.0379")</f>
        <v>0.0379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HYPERLINK("http://141.218.60.56/~jnz1568/getInfo.php?workbook=18_08.xlsx&amp;sheet=U0&amp;row=3311&amp;col=6&amp;number=3.7&amp;sourceID=14","3.7")</f>
        <v>3.7</v>
      </c>
      <c r="G3311" s="4" t="str">
        <f>HYPERLINK("http://141.218.60.56/~jnz1568/getInfo.php?workbook=18_08.xlsx&amp;sheet=U0&amp;row=3311&amp;col=7&amp;number=0.0379&amp;sourceID=14","0.0379")</f>
        <v>0.0379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HYPERLINK("http://141.218.60.56/~jnz1568/getInfo.php?workbook=18_08.xlsx&amp;sheet=U0&amp;row=3312&amp;col=6&amp;number=3.8&amp;sourceID=14","3.8")</f>
        <v>3.8</v>
      </c>
      <c r="G3312" s="4" t="str">
        <f>HYPERLINK("http://141.218.60.56/~jnz1568/getInfo.php?workbook=18_08.xlsx&amp;sheet=U0&amp;row=3312&amp;col=7&amp;number=0.0379&amp;sourceID=14","0.0379")</f>
        <v>0.0379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HYPERLINK("http://141.218.60.56/~jnz1568/getInfo.php?workbook=18_08.xlsx&amp;sheet=U0&amp;row=3313&amp;col=6&amp;number=3.9&amp;sourceID=14","3.9")</f>
        <v>3.9</v>
      </c>
      <c r="G3313" s="4" t="str">
        <f>HYPERLINK("http://141.218.60.56/~jnz1568/getInfo.php?workbook=18_08.xlsx&amp;sheet=U0&amp;row=3313&amp;col=7&amp;number=0.0379&amp;sourceID=14","0.0379")</f>
        <v>0.0379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HYPERLINK("http://141.218.60.56/~jnz1568/getInfo.php?workbook=18_08.xlsx&amp;sheet=U0&amp;row=3314&amp;col=6&amp;number=4&amp;sourceID=14","4")</f>
        <v>4</v>
      </c>
      <c r="G3314" s="4" t="str">
        <f>HYPERLINK("http://141.218.60.56/~jnz1568/getInfo.php?workbook=18_08.xlsx&amp;sheet=U0&amp;row=3314&amp;col=7&amp;number=0.0379&amp;sourceID=14","0.0379")</f>
        <v>0.0379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HYPERLINK("http://141.218.60.56/~jnz1568/getInfo.php?workbook=18_08.xlsx&amp;sheet=U0&amp;row=3315&amp;col=6&amp;number=4.1&amp;sourceID=14","4.1")</f>
        <v>4.1</v>
      </c>
      <c r="G3315" s="4" t="str">
        <f>HYPERLINK("http://141.218.60.56/~jnz1568/getInfo.php?workbook=18_08.xlsx&amp;sheet=U0&amp;row=3315&amp;col=7&amp;number=0.0379&amp;sourceID=14","0.0379")</f>
        <v>0.0379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HYPERLINK("http://141.218.60.56/~jnz1568/getInfo.php?workbook=18_08.xlsx&amp;sheet=U0&amp;row=3316&amp;col=6&amp;number=4.2&amp;sourceID=14","4.2")</f>
        <v>4.2</v>
      </c>
      <c r="G3316" s="4" t="str">
        <f>HYPERLINK("http://141.218.60.56/~jnz1568/getInfo.php?workbook=18_08.xlsx&amp;sheet=U0&amp;row=3316&amp;col=7&amp;number=0.038&amp;sourceID=14","0.038")</f>
        <v>0.038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HYPERLINK("http://141.218.60.56/~jnz1568/getInfo.php?workbook=18_08.xlsx&amp;sheet=U0&amp;row=3317&amp;col=6&amp;number=4.3&amp;sourceID=14","4.3")</f>
        <v>4.3</v>
      </c>
      <c r="G3317" s="4" t="str">
        <f>HYPERLINK("http://141.218.60.56/~jnz1568/getInfo.php?workbook=18_08.xlsx&amp;sheet=U0&amp;row=3317&amp;col=7&amp;number=0.038&amp;sourceID=14","0.038")</f>
        <v>0.038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HYPERLINK("http://141.218.60.56/~jnz1568/getInfo.php?workbook=18_08.xlsx&amp;sheet=U0&amp;row=3318&amp;col=6&amp;number=4.4&amp;sourceID=14","4.4")</f>
        <v>4.4</v>
      </c>
      <c r="G3318" s="4" t="str">
        <f>HYPERLINK("http://141.218.60.56/~jnz1568/getInfo.php?workbook=18_08.xlsx&amp;sheet=U0&amp;row=3318&amp;col=7&amp;number=0.0381&amp;sourceID=14","0.0381")</f>
        <v>0.0381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HYPERLINK("http://141.218.60.56/~jnz1568/getInfo.php?workbook=18_08.xlsx&amp;sheet=U0&amp;row=3319&amp;col=6&amp;number=4.5&amp;sourceID=14","4.5")</f>
        <v>4.5</v>
      </c>
      <c r="G3319" s="4" t="str">
        <f>HYPERLINK("http://141.218.60.56/~jnz1568/getInfo.php?workbook=18_08.xlsx&amp;sheet=U0&amp;row=3319&amp;col=7&amp;number=0.0381&amp;sourceID=14","0.0381")</f>
        <v>0.0381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HYPERLINK("http://141.218.60.56/~jnz1568/getInfo.php?workbook=18_08.xlsx&amp;sheet=U0&amp;row=3320&amp;col=6&amp;number=4.6&amp;sourceID=14","4.6")</f>
        <v>4.6</v>
      </c>
      <c r="G3320" s="4" t="str">
        <f>HYPERLINK("http://141.218.60.56/~jnz1568/getInfo.php?workbook=18_08.xlsx&amp;sheet=U0&amp;row=3320&amp;col=7&amp;number=0.0382&amp;sourceID=14","0.0382")</f>
        <v>0.0382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HYPERLINK("http://141.218.60.56/~jnz1568/getInfo.php?workbook=18_08.xlsx&amp;sheet=U0&amp;row=3321&amp;col=6&amp;number=4.7&amp;sourceID=14","4.7")</f>
        <v>4.7</v>
      </c>
      <c r="G3321" s="4" t="str">
        <f>HYPERLINK("http://141.218.60.56/~jnz1568/getInfo.php?workbook=18_08.xlsx&amp;sheet=U0&amp;row=3321&amp;col=7&amp;number=0.0383&amp;sourceID=14","0.0383")</f>
        <v>0.0383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HYPERLINK("http://141.218.60.56/~jnz1568/getInfo.php?workbook=18_08.xlsx&amp;sheet=U0&amp;row=3322&amp;col=6&amp;number=4.8&amp;sourceID=14","4.8")</f>
        <v>4.8</v>
      </c>
      <c r="G3322" s="4" t="str">
        <f>HYPERLINK("http://141.218.60.56/~jnz1568/getInfo.php?workbook=18_08.xlsx&amp;sheet=U0&amp;row=3322&amp;col=7&amp;number=0.0384&amp;sourceID=14","0.0384")</f>
        <v>0.0384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HYPERLINK("http://141.218.60.56/~jnz1568/getInfo.php?workbook=18_08.xlsx&amp;sheet=U0&amp;row=3323&amp;col=6&amp;number=4.9&amp;sourceID=14","4.9")</f>
        <v>4.9</v>
      </c>
      <c r="G3323" s="4" t="str">
        <f>HYPERLINK("http://141.218.60.56/~jnz1568/getInfo.php?workbook=18_08.xlsx&amp;sheet=U0&amp;row=3323&amp;col=7&amp;number=0.0385&amp;sourceID=14","0.0385")</f>
        <v>0.0385</v>
      </c>
    </row>
    <row r="3324" spans="1:7">
      <c r="A3324" s="3">
        <v>18</v>
      </c>
      <c r="B3324" s="3">
        <v>8</v>
      </c>
      <c r="C3324" s="3" t="s">
        <v>61</v>
      </c>
      <c r="D3324" s="3">
        <v>4</v>
      </c>
      <c r="E3324" s="3">
        <v>1</v>
      </c>
      <c r="F3324" s="4" t="str">
        <f>HYPERLINK("http://141.218.60.56/~jnz1568/getInfo.php?workbook=18_08.xlsx&amp;sheet=U0&amp;row=3324&amp;col=6&amp;number=3&amp;sourceID=14","3")</f>
        <v>3</v>
      </c>
      <c r="G3324" s="4" t="str">
        <f>HYPERLINK("http://141.218.60.56/~jnz1568/getInfo.php?workbook=18_08.xlsx&amp;sheet=U0&amp;row=3324&amp;col=7&amp;number=0.028&amp;sourceID=14","0.028")</f>
        <v>0.028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HYPERLINK("http://141.218.60.56/~jnz1568/getInfo.php?workbook=18_08.xlsx&amp;sheet=U0&amp;row=3325&amp;col=6&amp;number=3.1&amp;sourceID=14","3.1")</f>
        <v>3.1</v>
      </c>
      <c r="G3325" s="4" t="str">
        <f>HYPERLINK("http://141.218.60.56/~jnz1568/getInfo.php?workbook=18_08.xlsx&amp;sheet=U0&amp;row=3325&amp;col=7&amp;number=0.028&amp;sourceID=14","0.028")</f>
        <v>0.028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HYPERLINK("http://141.218.60.56/~jnz1568/getInfo.php?workbook=18_08.xlsx&amp;sheet=U0&amp;row=3326&amp;col=6&amp;number=3.2&amp;sourceID=14","3.2")</f>
        <v>3.2</v>
      </c>
      <c r="G3326" s="4" t="str">
        <f>HYPERLINK("http://141.218.60.56/~jnz1568/getInfo.php?workbook=18_08.xlsx&amp;sheet=U0&amp;row=3326&amp;col=7&amp;number=0.028&amp;sourceID=14","0.028")</f>
        <v>0.028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HYPERLINK("http://141.218.60.56/~jnz1568/getInfo.php?workbook=18_08.xlsx&amp;sheet=U0&amp;row=3327&amp;col=6&amp;number=3.3&amp;sourceID=14","3.3")</f>
        <v>3.3</v>
      </c>
      <c r="G3327" s="4" t="str">
        <f>HYPERLINK("http://141.218.60.56/~jnz1568/getInfo.php?workbook=18_08.xlsx&amp;sheet=U0&amp;row=3327&amp;col=7&amp;number=0.028&amp;sourceID=14","0.028")</f>
        <v>0.028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HYPERLINK("http://141.218.60.56/~jnz1568/getInfo.php?workbook=18_08.xlsx&amp;sheet=U0&amp;row=3328&amp;col=6&amp;number=3.4&amp;sourceID=14","3.4")</f>
        <v>3.4</v>
      </c>
      <c r="G3328" s="4" t="str">
        <f>HYPERLINK("http://141.218.60.56/~jnz1568/getInfo.php?workbook=18_08.xlsx&amp;sheet=U0&amp;row=3328&amp;col=7&amp;number=0.028&amp;sourceID=14","0.028")</f>
        <v>0.028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HYPERLINK("http://141.218.60.56/~jnz1568/getInfo.php?workbook=18_08.xlsx&amp;sheet=U0&amp;row=3329&amp;col=6&amp;number=3.5&amp;sourceID=14","3.5")</f>
        <v>3.5</v>
      </c>
      <c r="G3329" s="4" t="str">
        <f>HYPERLINK("http://141.218.60.56/~jnz1568/getInfo.php?workbook=18_08.xlsx&amp;sheet=U0&amp;row=3329&amp;col=7&amp;number=0.028&amp;sourceID=14","0.028")</f>
        <v>0.028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HYPERLINK("http://141.218.60.56/~jnz1568/getInfo.php?workbook=18_08.xlsx&amp;sheet=U0&amp;row=3330&amp;col=6&amp;number=3.6&amp;sourceID=14","3.6")</f>
        <v>3.6</v>
      </c>
      <c r="G3330" s="4" t="str">
        <f>HYPERLINK("http://141.218.60.56/~jnz1568/getInfo.php?workbook=18_08.xlsx&amp;sheet=U0&amp;row=3330&amp;col=7&amp;number=0.028&amp;sourceID=14","0.028")</f>
        <v>0.028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HYPERLINK("http://141.218.60.56/~jnz1568/getInfo.php?workbook=18_08.xlsx&amp;sheet=U0&amp;row=3331&amp;col=6&amp;number=3.7&amp;sourceID=14","3.7")</f>
        <v>3.7</v>
      </c>
      <c r="G3331" s="4" t="str">
        <f>HYPERLINK("http://141.218.60.56/~jnz1568/getInfo.php?workbook=18_08.xlsx&amp;sheet=U0&amp;row=3331&amp;col=7&amp;number=0.028&amp;sourceID=14","0.028")</f>
        <v>0.028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HYPERLINK("http://141.218.60.56/~jnz1568/getInfo.php?workbook=18_08.xlsx&amp;sheet=U0&amp;row=3332&amp;col=6&amp;number=3.8&amp;sourceID=14","3.8")</f>
        <v>3.8</v>
      </c>
      <c r="G3332" s="4" t="str">
        <f>HYPERLINK("http://141.218.60.56/~jnz1568/getInfo.php?workbook=18_08.xlsx&amp;sheet=U0&amp;row=3332&amp;col=7&amp;number=0.028&amp;sourceID=14","0.028")</f>
        <v>0.028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HYPERLINK("http://141.218.60.56/~jnz1568/getInfo.php?workbook=18_08.xlsx&amp;sheet=U0&amp;row=3333&amp;col=6&amp;number=3.9&amp;sourceID=14","3.9")</f>
        <v>3.9</v>
      </c>
      <c r="G3333" s="4" t="str">
        <f>HYPERLINK("http://141.218.60.56/~jnz1568/getInfo.php?workbook=18_08.xlsx&amp;sheet=U0&amp;row=3333&amp;col=7&amp;number=0.028&amp;sourceID=14","0.028")</f>
        <v>0.028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HYPERLINK("http://141.218.60.56/~jnz1568/getInfo.php?workbook=18_08.xlsx&amp;sheet=U0&amp;row=3334&amp;col=6&amp;number=4&amp;sourceID=14","4")</f>
        <v>4</v>
      </c>
      <c r="G3334" s="4" t="str">
        <f>HYPERLINK("http://141.218.60.56/~jnz1568/getInfo.php?workbook=18_08.xlsx&amp;sheet=U0&amp;row=3334&amp;col=7&amp;number=0.0281&amp;sourceID=14","0.0281")</f>
        <v>0.0281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HYPERLINK("http://141.218.60.56/~jnz1568/getInfo.php?workbook=18_08.xlsx&amp;sheet=U0&amp;row=3335&amp;col=6&amp;number=4.1&amp;sourceID=14","4.1")</f>
        <v>4.1</v>
      </c>
      <c r="G3335" s="4" t="str">
        <f>HYPERLINK("http://141.218.60.56/~jnz1568/getInfo.php?workbook=18_08.xlsx&amp;sheet=U0&amp;row=3335&amp;col=7&amp;number=0.0281&amp;sourceID=14","0.0281")</f>
        <v>0.0281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HYPERLINK("http://141.218.60.56/~jnz1568/getInfo.php?workbook=18_08.xlsx&amp;sheet=U0&amp;row=3336&amp;col=6&amp;number=4.2&amp;sourceID=14","4.2")</f>
        <v>4.2</v>
      </c>
      <c r="G3336" s="4" t="str">
        <f>HYPERLINK("http://141.218.60.56/~jnz1568/getInfo.php?workbook=18_08.xlsx&amp;sheet=U0&amp;row=3336&amp;col=7&amp;number=0.0281&amp;sourceID=14","0.0281")</f>
        <v>0.0281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HYPERLINK("http://141.218.60.56/~jnz1568/getInfo.php?workbook=18_08.xlsx&amp;sheet=U0&amp;row=3337&amp;col=6&amp;number=4.3&amp;sourceID=14","4.3")</f>
        <v>4.3</v>
      </c>
      <c r="G3337" s="4" t="str">
        <f>HYPERLINK("http://141.218.60.56/~jnz1568/getInfo.php?workbook=18_08.xlsx&amp;sheet=U0&amp;row=3337&amp;col=7&amp;number=0.0281&amp;sourceID=14","0.0281")</f>
        <v>0.0281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HYPERLINK("http://141.218.60.56/~jnz1568/getInfo.php?workbook=18_08.xlsx&amp;sheet=U0&amp;row=3338&amp;col=6&amp;number=4.4&amp;sourceID=14","4.4")</f>
        <v>4.4</v>
      </c>
      <c r="G3338" s="4" t="str">
        <f>HYPERLINK("http://141.218.60.56/~jnz1568/getInfo.php?workbook=18_08.xlsx&amp;sheet=U0&amp;row=3338&amp;col=7&amp;number=0.0281&amp;sourceID=14","0.0281")</f>
        <v>0.0281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HYPERLINK("http://141.218.60.56/~jnz1568/getInfo.php?workbook=18_08.xlsx&amp;sheet=U0&amp;row=3339&amp;col=6&amp;number=4.5&amp;sourceID=14","4.5")</f>
        <v>4.5</v>
      </c>
      <c r="G3339" s="4" t="str">
        <f>HYPERLINK("http://141.218.60.56/~jnz1568/getInfo.php?workbook=18_08.xlsx&amp;sheet=U0&amp;row=3339&amp;col=7&amp;number=0.0282&amp;sourceID=14","0.0282")</f>
        <v>0.0282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HYPERLINK("http://141.218.60.56/~jnz1568/getInfo.php?workbook=18_08.xlsx&amp;sheet=U0&amp;row=3340&amp;col=6&amp;number=4.6&amp;sourceID=14","4.6")</f>
        <v>4.6</v>
      </c>
      <c r="G3340" s="4" t="str">
        <f>HYPERLINK("http://141.218.60.56/~jnz1568/getInfo.php?workbook=18_08.xlsx&amp;sheet=U0&amp;row=3340&amp;col=7&amp;number=0.0282&amp;sourceID=14","0.0282")</f>
        <v>0.0282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HYPERLINK("http://141.218.60.56/~jnz1568/getInfo.php?workbook=18_08.xlsx&amp;sheet=U0&amp;row=3341&amp;col=6&amp;number=4.7&amp;sourceID=14","4.7")</f>
        <v>4.7</v>
      </c>
      <c r="G3341" s="4" t="str">
        <f>HYPERLINK("http://141.218.60.56/~jnz1568/getInfo.php?workbook=18_08.xlsx&amp;sheet=U0&amp;row=3341&amp;col=7&amp;number=0.0283&amp;sourceID=14","0.0283")</f>
        <v>0.0283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HYPERLINK("http://141.218.60.56/~jnz1568/getInfo.php?workbook=18_08.xlsx&amp;sheet=U0&amp;row=3342&amp;col=6&amp;number=4.8&amp;sourceID=14","4.8")</f>
        <v>4.8</v>
      </c>
      <c r="G3342" s="4" t="str">
        <f>HYPERLINK("http://141.218.60.56/~jnz1568/getInfo.php?workbook=18_08.xlsx&amp;sheet=U0&amp;row=3342&amp;col=7&amp;number=0.0284&amp;sourceID=14","0.0284")</f>
        <v>0.0284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HYPERLINK("http://141.218.60.56/~jnz1568/getInfo.php?workbook=18_08.xlsx&amp;sheet=U0&amp;row=3343&amp;col=6&amp;number=4.9&amp;sourceID=14","4.9")</f>
        <v>4.9</v>
      </c>
      <c r="G3343" s="4" t="str">
        <f>HYPERLINK("http://141.218.60.56/~jnz1568/getInfo.php?workbook=18_08.xlsx&amp;sheet=U0&amp;row=3343&amp;col=7&amp;number=0.0285&amp;sourceID=14","0.0285")</f>
        <v>0.0285</v>
      </c>
    </row>
    <row r="3344" spans="1:7">
      <c r="A3344" s="3">
        <v>18</v>
      </c>
      <c r="B3344" s="3">
        <v>8</v>
      </c>
      <c r="C3344" s="3" t="s">
        <v>61</v>
      </c>
      <c r="D3344" s="3">
        <v>5</v>
      </c>
      <c r="E3344" s="3">
        <v>1</v>
      </c>
      <c r="F3344" s="4" t="str">
        <f>HYPERLINK("http://141.218.60.56/~jnz1568/getInfo.php?workbook=18_08.xlsx&amp;sheet=U0&amp;row=3344&amp;col=6&amp;number=3&amp;sourceID=14","3")</f>
        <v>3</v>
      </c>
      <c r="G3344" s="4" t="str">
        <f>HYPERLINK("http://141.218.60.56/~jnz1568/getInfo.php?workbook=18_08.xlsx&amp;sheet=U0&amp;row=3344&amp;col=7&amp;number=0.00867&amp;sourceID=14","0.00867")</f>
        <v>0.00867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HYPERLINK("http://141.218.60.56/~jnz1568/getInfo.php?workbook=18_08.xlsx&amp;sheet=U0&amp;row=3345&amp;col=6&amp;number=3.1&amp;sourceID=14","3.1")</f>
        <v>3.1</v>
      </c>
      <c r="G3345" s="4" t="str">
        <f>HYPERLINK("http://141.218.60.56/~jnz1568/getInfo.php?workbook=18_08.xlsx&amp;sheet=U0&amp;row=3345&amp;col=7&amp;number=0.00867&amp;sourceID=14","0.00867")</f>
        <v>0.00867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HYPERLINK("http://141.218.60.56/~jnz1568/getInfo.php?workbook=18_08.xlsx&amp;sheet=U0&amp;row=3346&amp;col=6&amp;number=3.2&amp;sourceID=14","3.2")</f>
        <v>3.2</v>
      </c>
      <c r="G3346" s="4" t="str">
        <f>HYPERLINK("http://141.218.60.56/~jnz1568/getInfo.php?workbook=18_08.xlsx&amp;sheet=U0&amp;row=3346&amp;col=7&amp;number=0.00867&amp;sourceID=14","0.00867")</f>
        <v>0.00867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HYPERLINK("http://141.218.60.56/~jnz1568/getInfo.php?workbook=18_08.xlsx&amp;sheet=U0&amp;row=3347&amp;col=6&amp;number=3.3&amp;sourceID=14","3.3")</f>
        <v>3.3</v>
      </c>
      <c r="G3347" s="4" t="str">
        <f>HYPERLINK("http://141.218.60.56/~jnz1568/getInfo.php?workbook=18_08.xlsx&amp;sheet=U0&amp;row=3347&amp;col=7&amp;number=0.00867&amp;sourceID=14","0.00867")</f>
        <v>0.00867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HYPERLINK("http://141.218.60.56/~jnz1568/getInfo.php?workbook=18_08.xlsx&amp;sheet=U0&amp;row=3348&amp;col=6&amp;number=3.4&amp;sourceID=14","3.4")</f>
        <v>3.4</v>
      </c>
      <c r="G3348" s="4" t="str">
        <f>HYPERLINK("http://141.218.60.56/~jnz1568/getInfo.php?workbook=18_08.xlsx&amp;sheet=U0&amp;row=3348&amp;col=7&amp;number=0.00866&amp;sourceID=14","0.00866")</f>
        <v>0.00866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HYPERLINK("http://141.218.60.56/~jnz1568/getInfo.php?workbook=18_08.xlsx&amp;sheet=U0&amp;row=3349&amp;col=6&amp;number=3.5&amp;sourceID=14","3.5")</f>
        <v>3.5</v>
      </c>
      <c r="G3349" s="4" t="str">
        <f>HYPERLINK("http://141.218.60.56/~jnz1568/getInfo.php?workbook=18_08.xlsx&amp;sheet=U0&amp;row=3349&amp;col=7&amp;number=0.00866&amp;sourceID=14","0.00866")</f>
        <v>0.00866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HYPERLINK("http://141.218.60.56/~jnz1568/getInfo.php?workbook=18_08.xlsx&amp;sheet=U0&amp;row=3350&amp;col=6&amp;number=3.6&amp;sourceID=14","3.6")</f>
        <v>3.6</v>
      </c>
      <c r="G3350" s="4" t="str">
        <f>HYPERLINK("http://141.218.60.56/~jnz1568/getInfo.php?workbook=18_08.xlsx&amp;sheet=U0&amp;row=3350&amp;col=7&amp;number=0.00866&amp;sourceID=14","0.00866")</f>
        <v>0.00866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HYPERLINK("http://141.218.60.56/~jnz1568/getInfo.php?workbook=18_08.xlsx&amp;sheet=U0&amp;row=3351&amp;col=6&amp;number=3.7&amp;sourceID=14","3.7")</f>
        <v>3.7</v>
      </c>
      <c r="G3351" s="4" t="str">
        <f>HYPERLINK("http://141.218.60.56/~jnz1568/getInfo.php?workbook=18_08.xlsx&amp;sheet=U0&amp;row=3351&amp;col=7&amp;number=0.00866&amp;sourceID=14","0.00866")</f>
        <v>0.00866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HYPERLINK("http://141.218.60.56/~jnz1568/getInfo.php?workbook=18_08.xlsx&amp;sheet=U0&amp;row=3352&amp;col=6&amp;number=3.8&amp;sourceID=14","3.8")</f>
        <v>3.8</v>
      </c>
      <c r="G3352" s="4" t="str">
        <f>HYPERLINK("http://141.218.60.56/~jnz1568/getInfo.php?workbook=18_08.xlsx&amp;sheet=U0&amp;row=3352&amp;col=7&amp;number=0.00865&amp;sourceID=14","0.00865")</f>
        <v>0.00865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HYPERLINK("http://141.218.60.56/~jnz1568/getInfo.php?workbook=18_08.xlsx&amp;sheet=U0&amp;row=3353&amp;col=6&amp;number=3.9&amp;sourceID=14","3.9")</f>
        <v>3.9</v>
      </c>
      <c r="G3353" s="4" t="str">
        <f>HYPERLINK("http://141.218.60.56/~jnz1568/getInfo.php?workbook=18_08.xlsx&amp;sheet=U0&amp;row=3353&amp;col=7&amp;number=0.00865&amp;sourceID=14","0.00865")</f>
        <v>0.00865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HYPERLINK("http://141.218.60.56/~jnz1568/getInfo.php?workbook=18_08.xlsx&amp;sheet=U0&amp;row=3354&amp;col=6&amp;number=4&amp;sourceID=14","4")</f>
        <v>4</v>
      </c>
      <c r="G3354" s="4" t="str">
        <f>HYPERLINK("http://141.218.60.56/~jnz1568/getInfo.php?workbook=18_08.xlsx&amp;sheet=U0&amp;row=3354&amp;col=7&amp;number=0.00865&amp;sourceID=14","0.00865")</f>
        <v>0.00865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HYPERLINK("http://141.218.60.56/~jnz1568/getInfo.php?workbook=18_08.xlsx&amp;sheet=U0&amp;row=3355&amp;col=6&amp;number=4.1&amp;sourceID=14","4.1")</f>
        <v>4.1</v>
      </c>
      <c r="G3355" s="4" t="str">
        <f>HYPERLINK("http://141.218.60.56/~jnz1568/getInfo.php?workbook=18_08.xlsx&amp;sheet=U0&amp;row=3355&amp;col=7&amp;number=0.00864&amp;sourceID=14","0.00864")</f>
        <v>0.00864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HYPERLINK("http://141.218.60.56/~jnz1568/getInfo.php?workbook=18_08.xlsx&amp;sheet=U0&amp;row=3356&amp;col=6&amp;number=4.2&amp;sourceID=14","4.2")</f>
        <v>4.2</v>
      </c>
      <c r="G3356" s="4" t="str">
        <f>HYPERLINK("http://141.218.60.56/~jnz1568/getInfo.php?workbook=18_08.xlsx&amp;sheet=U0&amp;row=3356&amp;col=7&amp;number=0.00863&amp;sourceID=14","0.00863")</f>
        <v>0.00863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HYPERLINK("http://141.218.60.56/~jnz1568/getInfo.php?workbook=18_08.xlsx&amp;sheet=U0&amp;row=3357&amp;col=6&amp;number=4.3&amp;sourceID=14","4.3")</f>
        <v>4.3</v>
      </c>
      <c r="G3357" s="4" t="str">
        <f>HYPERLINK("http://141.218.60.56/~jnz1568/getInfo.php?workbook=18_08.xlsx&amp;sheet=U0&amp;row=3357&amp;col=7&amp;number=0.00862&amp;sourceID=14","0.00862")</f>
        <v>0.00862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HYPERLINK("http://141.218.60.56/~jnz1568/getInfo.php?workbook=18_08.xlsx&amp;sheet=U0&amp;row=3358&amp;col=6&amp;number=4.4&amp;sourceID=14","4.4")</f>
        <v>4.4</v>
      </c>
      <c r="G3358" s="4" t="str">
        <f>HYPERLINK("http://141.218.60.56/~jnz1568/getInfo.php?workbook=18_08.xlsx&amp;sheet=U0&amp;row=3358&amp;col=7&amp;number=0.00861&amp;sourceID=14","0.00861")</f>
        <v>0.00861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HYPERLINK("http://141.218.60.56/~jnz1568/getInfo.php?workbook=18_08.xlsx&amp;sheet=U0&amp;row=3359&amp;col=6&amp;number=4.5&amp;sourceID=14","4.5")</f>
        <v>4.5</v>
      </c>
      <c r="G3359" s="4" t="str">
        <f>HYPERLINK("http://141.218.60.56/~jnz1568/getInfo.php?workbook=18_08.xlsx&amp;sheet=U0&amp;row=3359&amp;col=7&amp;number=0.00859&amp;sourceID=14","0.00859")</f>
        <v>0.00859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HYPERLINK("http://141.218.60.56/~jnz1568/getInfo.php?workbook=18_08.xlsx&amp;sheet=U0&amp;row=3360&amp;col=6&amp;number=4.6&amp;sourceID=14","4.6")</f>
        <v>4.6</v>
      </c>
      <c r="G3360" s="4" t="str">
        <f>HYPERLINK("http://141.218.60.56/~jnz1568/getInfo.php?workbook=18_08.xlsx&amp;sheet=U0&amp;row=3360&amp;col=7&amp;number=0.00857&amp;sourceID=14","0.00857")</f>
        <v>0.00857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HYPERLINK("http://141.218.60.56/~jnz1568/getInfo.php?workbook=18_08.xlsx&amp;sheet=U0&amp;row=3361&amp;col=6&amp;number=4.7&amp;sourceID=14","4.7")</f>
        <v>4.7</v>
      </c>
      <c r="G3361" s="4" t="str">
        <f>HYPERLINK("http://141.218.60.56/~jnz1568/getInfo.php?workbook=18_08.xlsx&amp;sheet=U0&amp;row=3361&amp;col=7&amp;number=0.00854&amp;sourceID=14","0.00854")</f>
        <v>0.00854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HYPERLINK("http://141.218.60.56/~jnz1568/getInfo.php?workbook=18_08.xlsx&amp;sheet=U0&amp;row=3362&amp;col=6&amp;number=4.8&amp;sourceID=14","4.8")</f>
        <v>4.8</v>
      </c>
      <c r="G3362" s="4" t="str">
        <f>HYPERLINK("http://141.218.60.56/~jnz1568/getInfo.php?workbook=18_08.xlsx&amp;sheet=U0&amp;row=3362&amp;col=7&amp;number=0.00851&amp;sourceID=14","0.00851")</f>
        <v>0.00851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HYPERLINK("http://141.218.60.56/~jnz1568/getInfo.php?workbook=18_08.xlsx&amp;sheet=U0&amp;row=3363&amp;col=6&amp;number=4.9&amp;sourceID=14","4.9")</f>
        <v>4.9</v>
      </c>
      <c r="G3363" s="4" t="str">
        <f>HYPERLINK("http://141.218.60.56/~jnz1568/getInfo.php?workbook=18_08.xlsx&amp;sheet=U0&amp;row=3363&amp;col=7&amp;number=0.00847&amp;sourceID=14","0.00847")</f>
        <v>0.00847</v>
      </c>
    </row>
    <row r="3364" spans="1:7">
      <c r="A3364" s="3">
        <v>18</v>
      </c>
      <c r="B3364" s="3">
        <v>8</v>
      </c>
      <c r="C3364" s="3" t="s">
        <v>61</v>
      </c>
      <c r="D3364" s="3">
        <v>6</v>
      </c>
      <c r="E3364" s="3">
        <v>1</v>
      </c>
      <c r="F3364" s="4" t="str">
        <f>HYPERLINK("http://141.218.60.56/~jnz1568/getInfo.php?workbook=18_08.xlsx&amp;sheet=U0&amp;row=3364&amp;col=6&amp;number=3&amp;sourceID=14","3")</f>
        <v>3</v>
      </c>
      <c r="G3364" s="4" t="str">
        <f>HYPERLINK("http://141.218.60.56/~jnz1568/getInfo.php?workbook=18_08.xlsx&amp;sheet=U0&amp;row=3364&amp;col=7&amp;number=0.00289&amp;sourceID=14","0.00289")</f>
        <v>0.00289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HYPERLINK("http://141.218.60.56/~jnz1568/getInfo.php?workbook=18_08.xlsx&amp;sheet=U0&amp;row=3365&amp;col=6&amp;number=3.1&amp;sourceID=14","3.1")</f>
        <v>3.1</v>
      </c>
      <c r="G3365" s="4" t="str">
        <f>HYPERLINK("http://141.218.60.56/~jnz1568/getInfo.php?workbook=18_08.xlsx&amp;sheet=U0&amp;row=3365&amp;col=7&amp;number=0.00289&amp;sourceID=14","0.00289")</f>
        <v>0.00289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HYPERLINK("http://141.218.60.56/~jnz1568/getInfo.php?workbook=18_08.xlsx&amp;sheet=U0&amp;row=3366&amp;col=6&amp;number=3.2&amp;sourceID=14","3.2")</f>
        <v>3.2</v>
      </c>
      <c r="G3366" s="4" t="str">
        <f>HYPERLINK("http://141.218.60.56/~jnz1568/getInfo.php?workbook=18_08.xlsx&amp;sheet=U0&amp;row=3366&amp;col=7&amp;number=0.00289&amp;sourceID=14","0.00289")</f>
        <v>0.00289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HYPERLINK("http://141.218.60.56/~jnz1568/getInfo.php?workbook=18_08.xlsx&amp;sheet=U0&amp;row=3367&amp;col=6&amp;number=3.3&amp;sourceID=14","3.3")</f>
        <v>3.3</v>
      </c>
      <c r="G3367" s="4" t="str">
        <f>HYPERLINK("http://141.218.60.56/~jnz1568/getInfo.php?workbook=18_08.xlsx&amp;sheet=U0&amp;row=3367&amp;col=7&amp;number=0.00289&amp;sourceID=14","0.00289")</f>
        <v>0.00289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HYPERLINK("http://141.218.60.56/~jnz1568/getInfo.php?workbook=18_08.xlsx&amp;sheet=U0&amp;row=3368&amp;col=6&amp;number=3.4&amp;sourceID=14","3.4")</f>
        <v>3.4</v>
      </c>
      <c r="G3368" s="4" t="str">
        <f>HYPERLINK("http://141.218.60.56/~jnz1568/getInfo.php?workbook=18_08.xlsx&amp;sheet=U0&amp;row=3368&amp;col=7&amp;number=0.00289&amp;sourceID=14","0.00289")</f>
        <v>0.00289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HYPERLINK("http://141.218.60.56/~jnz1568/getInfo.php?workbook=18_08.xlsx&amp;sheet=U0&amp;row=3369&amp;col=6&amp;number=3.5&amp;sourceID=14","3.5")</f>
        <v>3.5</v>
      </c>
      <c r="G3369" s="4" t="str">
        <f>HYPERLINK("http://141.218.60.56/~jnz1568/getInfo.php?workbook=18_08.xlsx&amp;sheet=U0&amp;row=3369&amp;col=7&amp;number=0.00289&amp;sourceID=14","0.00289")</f>
        <v>0.00289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HYPERLINK("http://141.218.60.56/~jnz1568/getInfo.php?workbook=18_08.xlsx&amp;sheet=U0&amp;row=3370&amp;col=6&amp;number=3.6&amp;sourceID=14","3.6")</f>
        <v>3.6</v>
      </c>
      <c r="G3370" s="4" t="str">
        <f>HYPERLINK("http://141.218.60.56/~jnz1568/getInfo.php?workbook=18_08.xlsx&amp;sheet=U0&amp;row=3370&amp;col=7&amp;number=0.00289&amp;sourceID=14","0.00289")</f>
        <v>0.00289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HYPERLINK("http://141.218.60.56/~jnz1568/getInfo.php?workbook=18_08.xlsx&amp;sheet=U0&amp;row=3371&amp;col=6&amp;number=3.7&amp;sourceID=14","3.7")</f>
        <v>3.7</v>
      </c>
      <c r="G3371" s="4" t="str">
        <f>HYPERLINK("http://141.218.60.56/~jnz1568/getInfo.php?workbook=18_08.xlsx&amp;sheet=U0&amp;row=3371&amp;col=7&amp;number=0.00289&amp;sourceID=14","0.00289")</f>
        <v>0.00289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HYPERLINK("http://141.218.60.56/~jnz1568/getInfo.php?workbook=18_08.xlsx&amp;sheet=U0&amp;row=3372&amp;col=6&amp;number=3.8&amp;sourceID=14","3.8")</f>
        <v>3.8</v>
      </c>
      <c r="G3372" s="4" t="str">
        <f>HYPERLINK("http://141.218.60.56/~jnz1568/getInfo.php?workbook=18_08.xlsx&amp;sheet=U0&amp;row=3372&amp;col=7&amp;number=0.00289&amp;sourceID=14","0.00289")</f>
        <v>0.00289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HYPERLINK("http://141.218.60.56/~jnz1568/getInfo.php?workbook=18_08.xlsx&amp;sheet=U0&amp;row=3373&amp;col=6&amp;number=3.9&amp;sourceID=14","3.9")</f>
        <v>3.9</v>
      </c>
      <c r="G3373" s="4" t="str">
        <f>HYPERLINK("http://141.218.60.56/~jnz1568/getInfo.php?workbook=18_08.xlsx&amp;sheet=U0&amp;row=3373&amp;col=7&amp;number=0.00288&amp;sourceID=14","0.00288")</f>
        <v>0.00288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HYPERLINK("http://141.218.60.56/~jnz1568/getInfo.php?workbook=18_08.xlsx&amp;sheet=U0&amp;row=3374&amp;col=6&amp;number=4&amp;sourceID=14","4")</f>
        <v>4</v>
      </c>
      <c r="G3374" s="4" t="str">
        <f>HYPERLINK("http://141.218.60.56/~jnz1568/getInfo.php?workbook=18_08.xlsx&amp;sheet=U0&amp;row=3374&amp;col=7&amp;number=0.00288&amp;sourceID=14","0.00288")</f>
        <v>0.00288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HYPERLINK("http://141.218.60.56/~jnz1568/getInfo.php?workbook=18_08.xlsx&amp;sheet=U0&amp;row=3375&amp;col=6&amp;number=4.1&amp;sourceID=14","4.1")</f>
        <v>4.1</v>
      </c>
      <c r="G3375" s="4" t="str">
        <f>HYPERLINK("http://141.218.60.56/~jnz1568/getInfo.php?workbook=18_08.xlsx&amp;sheet=U0&amp;row=3375&amp;col=7&amp;number=0.00288&amp;sourceID=14","0.00288")</f>
        <v>0.00288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HYPERLINK("http://141.218.60.56/~jnz1568/getInfo.php?workbook=18_08.xlsx&amp;sheet=U0&amp;row=3376&amp;col=6&amp;number=4.2&amp;sourceID=14","4.2")</f>
        <v>4.2</v>
      </c>
      <c r="G3376" s="4" t="str">
        <f>HYPERLINK("http://141.218.60.56/~jnz1568/getInfo.php?workbook=18_08.xlsx&amp;sheet=U0&amp;row=3376&amp;col=7&amp;number=0.00288&amp;sourceID=14","0.00288")</f>
        <v>0.00288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HYPERLINK("http://141.218.60.56/~jnz1568/getInfo.php?workbook=18_08.xlsx&amp;sheet=U0&amp;row=3377&amp;col=6&amp;number=4.3&amp;sourceID=14","4.3")</f>
        <v>4.3</v>
      </c>
      <c r="G3377" s="4" t="str">
        <f>HYPERLINK("http://141.218.60.56/~jnz1568/getInfo.php?workbook=18_08.xlsx&amp;sheet=U0&amp;row=3377&amp;col=7&amp;number=0.00288&amp;sourceID=14","0.00288")</f>
        <v>0.00288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HYPERLINK("http://141.218.60.56/~jnz1568/getInfo.php?workbook=18_08.xlsx&amp;sheet=U0&amp;row=3378&amp;col=6&amp;number=4.4&amp;sourceID=14","4.4")</f>
        <v>4.4</v>
      </c>
      <c r="G3378" s="4" t="str">
        <f>HYPERLINK("http://141.218.60.56/~jnz1568/getInfo.php?workbook=18_08.xlsx&amp;sheet=U0&amp;row=3378&amp;col=7&amp;number=0.00288&amp;sourceID=14","0.00288")</f>
        <v>0.00288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HYPERLINK("http://141.218.60.56/~jnz1568/getInfo.php?workbook=18_08.xlsx&amp;sheet=U0&amp;row=3379&amp;col=6&amp;number=4.5&amp;sourceID=14","4.5")</f>
        <v>4.5</v>
      </c>
      <c r="G3379" s="4" t="str">
        <f>HYPERLINK("http://141.218.60.56/~jnz1568/getInfo.php?workbook=18_08.xlsx&amp;sheet=U0&amp;row=3379&amp;col=7&amp;number=0.00287&amp;sourceID=14","0.00287")</f>
        <v>0.00287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HYPERLINK("http://141.218.60.56/~jnz1568/getInfo.php?workbook=18_08.xlsx&amp;sheet=U0&amp;row=3380&amp;col=6&amp;number=4.6&amp;sourceID=14","4.6")</f>
        <v>4.6</v>
      </c>
      <c r="G3380" s="4" t="str">
        <f>HYPERLINK("http://141.218.60.56/~jnz1568/getInfo.php?workbook=18_08.xlsx&amp;sheet=U0&amp;row=3380&amp;col=7&amp;number=0.00287&amp;sourceID=14","0.00287")</f>
        <v>0.00287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HYPERLINK("http://141.218.60.56/~jnz1568/getInfo.php?workbook=18_08.xlsx&amp;sheet=U0&amp;row=3381&amp;col=6&amp;number=4.7&amp;sourceID=14","4.7")</f>
        <v>4.7</v>
      </c>
      <c r="G3381" s="4" t="str">
        <f>HYPERLINK("http://141.218.60.56/~jnz1568/getInfo.php?workbook=18_08.xlsx&amp;sheet=U0&amp;row=3381&amp;col=7&amp;number=0.00286&amp;sourceID=14","0.00286")</f>
        <v>0.00286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HYPERLINK("http://141.218.60.56/~jnz1568/getInfo.php?workbook=18_08.xlsx&amp;sheet=U0&amp;row=3382&amp;col=6&amp;number=4.8&amp;sourceID=14","4.8")</f>
        <v>4.8</v>
      </c>
      <c r="G3382" s="4" t="str">
        <f>HYPERLINK("http://141.218.60.56/~jnz1568/getInfo.php?workbook=18_08.xlsx&amp;sheet=U0&amp;row=3382&amp;col=7&amp;number=0.00286&amp;sourceID=14","0.00286")</f>
        <v>0.00286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HYPERLINK("http://141.218.60.56/~jnz1568/getInfo.php?workbook=18_08.xlsx&amp;sheet=U0&amp;row=3383&amp;col=6&amp;number=4.9&amp;sourceID=14","4.9")</f>
        <v>4.9</v>
      </c>
      <c r="G3383" s="4" t="str">
        <f>HYPERLINK("http://141.218.60.56/~jnz1568/getInfo.php?workbook=18_08.xlsx&amp;sheet=U0&amp;row=3383&amp;col=7&amp;number=0.00285&amp;sourceID=14","0.00285")</f>
        <v>0.00285</v>
      </c>
    </row>
    <row r="3384" spans="1:7">
      <c r="A3384" s="3">
        <v>18</v>
      </c>
      <c r="B3384" s="3">
        <v>8</v>
      </c>
      <c r="C3384" s="3">
        <v>3</v>
      </c>
      <c r="D3384" s="3">
        <v>4</v>
      </c>
      <c r="E3384" s="3">
        <v>1</v>
      </c>
      <c r="F3384" s="4" t="str">
        <f>HYPERLINK("http://141.218.60.56/~jnz1568/getInfo.php?workbook=18_08.xlsx&amp;sheet=U0&amp;row=3384&amp;col=6&amp;number=3&amp;sourceID=14","3")</f>
        <v>3</v>
      </c>
      <c r="G3384" s="4" t="str">
        <f>HYPERLINK("http://141.218.60.56/~jnz1568/getInfo.php?workbook=18_08.xlsx&amp;sheet=U0&amp;row=3384&amp;col=7&amp;number=0.0291&amp;sourceID=14","0.0291")</f>
        <v>0.0291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HYPERLINK("http://141.218.60.56/~jnz1568/getInfo.php?workbook=18_08.xlsx&amp;sheet=U0&amp;row=3385&amp;col=6&amp;number=3.1&amp;sourceID=14","3.1")</f>
        <v>3.1</v>
      </c>
      <c r="G3385" s="4" t="str">
        <f>HYPERLINK("http://141.218.60.56/~jnz1568/getInfo.php?workbook=18_08.xlsx&amp;sheet=U0&amp;row=3385&amp;col=7&amp;number=0.0291&amp;sourceID=14","0.0291")</f>
        <v>0.0291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HYPERLINK("http://141.218.60.56/~jnz1568/getInfo.php?workbook=18_08.xlsx&amp;sheet=U0&amp;row=3386&amp;col=6&amp;number=3.2&amp;sourceID=14","3.2")</f>
        <v>3.2</v>
      </c>
      <c r="G3386" s="4" t="str">
        <f>HYPERLINK("http://141.218.60.56/~jnz1568/getInfo.php?workbook=18_08.xlsx&amp;sheet=U0&amp;row=3386&amp;col=7&amp;number=0.0291&amp;sourceID=14","0.0291")</f>
        <v>0.0291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HYPERLINK("http://141.218.60.56/~jnz1568/getInfo.php?workbook=18_08.xlsx&amp;sheet=U0&amp;row=3387&amp;col=6&amp;number=3.3&amp;sourceID=14","3.3")</f>
        <v>3.3</v>
      </c>
      <c r="G3387" s="4" t="str">
        <f>HYPERLINK("http://141.218.60.56/~jnz1568/getInfo.php?workbook=18_08.xlsx&amp;sheet=U0&amp;row=3387&amp;col=7&amp;number=0.0291&amp;sourceID=14","0.0291")</f>
        <v>0.0291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HYPERLINK("http://141.218.60.56/~jnz1568/getInfo.php?workbook=18_08.xlsx&amp;sheet=U0&amp;row=3388&amp;col=6&amp;number=3.4&amp;sourceID=14","3.4")</f>
        <v>3.4</v>
      </c>
      <c r="G3388" s="4" t="str">
        <f>HYPERLINK("http://141.218.60.56/~jnz1568/getInfo.php?workbook=18_08.xlsx&amp;sheet=U0&amp;row=3388&amp;col=7&amp;number=0.0291&amp;sourceID=14","0.0291")</f>
        <v>0.0291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HYPERLINK("http://141.218.60.56/~jnz1568/getInfo.php?workbook=18_08.xlsx&amp;sheet=U0&amp;row=3389&amp;col=6&amp;number=3.5&amp;sourceID=14","3.5")</f>
        <v>3.5</v>
      </c>
      <c r="G3389" s="4" t="str">
        <f>HYPERLINK("http://141.218.60.56/~jnz1568/getInfo.php?workbook=18_08.xlsx&amp;sheet=U0&amp;row=3389&amp;col=7&amp;number=0.0291&amp;sourceID=14","0.0291")</f>
        <v>0.0291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HYPERLINK("http://141.218.60.56/~jnz1568/getInfo.php?workbook=18_08.xlsx&amp;sheet=U0&amp;row=3390&amp;col=6&amp;number=3.6&amp;sourceID=14","3.6")</f>
        <v>3.6</v>
      </c>
      <c r="G3390" s="4" t="str">
        <f>HYPERLINK("http://141.218.60.56/~jnz1568/getInfo.php?workbook=18_08.xlsx&amp;sheet=U0&amp;row=3390&amp;col=7&amp;number=0.0291&amp;sourceID=14","0.0291")</f>
        <v>0.0291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HYPERLINK("http://141.218.60.56/~jnz1568/getInfo.php?workbook=18_08.xlsx&amp;sheet=U0&amp;row=3391&amp;col=6&amp;number=3.7&amp;sourceID=14","3.7")</f>
        <v>3.7</v>
      </c>
      <c r="G3391" s="4" t="str">
        <f>HYPERLINK("http://141.218.60.56/~jnz1568/getInfo.php?workbook=18_08.xlsx&amp;sheet=U0&amp;row=3391&amp;col=7&amp;number=0.0291&amp;sourceID=14","0.0291")</f>
        <v>0.0291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HYPERLINK("http://141.218.60.56/~jnz1568/getInfo.php?workbook=18_08.xlsx&amp;sheet=U0&amp;row=3392&amp;col=6&amp;number=3.8&amp;sourceID=14","3.8")</f>
        <v>3.8</v>
      </c>
      <c r="G3392" s="4" t="str">
        <f>HYPERLINK("http://141.218.60.56/~jnz1568/getInfo.php?workbook=18_08.xlsx&amp;sheet=U0&amp;row=3392&amp;col=7&amp;number=0.0291&amp;sourceID=14","0.0291")</f>
        <v>0.0291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HYPERLINK("http://141.218.60.56/~jnz1568/getInfo.php?workbook=18_08.xlsx&amp;sheet=U0&amp;row=3393&amp;col=6&amp;number=3.9&amp;sourceID=14","3.9")</f>
        <v>3.9</v>
      </c>
      <c r="G3393" s="4" t="str">
        <f>HYPERLINK("http://141.218.60.56/~jnz1568/getInfo.php?workbook=18_08.xlsx&amp;sheet=U0&amp;row=3393&amp;col=7&amp;number=0.0291&amp;sourceID=14","0.0291")</f>
        <v>0.0291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HYPERLINK("http://141.218.60.56/~jnz1568/getInfo.php?workbook=18_08.xlsx&amp;sheet=U0&amp;row=3394&amp;col=6&amp;number=4&amp;sourceID=14","4")</f>
        <v>4</v>
      </c>
      <c r="G3394" s="4" t="str">
        <f>HYPERLINK("http://141.218.60.56/~jnz1568/getInfo.php?workbook=18_08.xlsx&amp;sheet=U0&amp;row=3394&amp;col=7&amp;number=0.0291&amp;sourceID=14","0.0291")</f>
        <v>0.0291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HYPERLINK("http://141.218.60.56/~jnz1568/getInfo.php?workbook=18_08.xlsx&amp;sheet=U0&amp;row=3395&amp;col=6&amp;number=4.1&amp;sourceID=14","4.1")</f>
        <v>4.1</v>
      </c>
      <c r="G3395" s="4" t="str">
        <f>HYPERLINK("http://141.218.60.56/~jnz1568/getInfo.php?workbook=18_08.xlsx&amp;sheet=U0&amp;row=3395&amp;col=7&amp;number=0.029&amp;sourceID=14","0.029")</f>
        <v>0.029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HYPERLINK("http://141.218.60.56/~jnz1568/getInfo.php?workbook=18_08.xlsx&amp;sheet=U0&amp;row=3396&amp;col=6&amp;number=4.2&amp;sourceID=14","4.2")</f>
        <v>4.2</v>
      </c>
      <c r="G3396" s="4" t="str">
        <f>HYPERLINK("http://141.218.60.56/~jnz1568/getInfo.php?workbook=18_08.xlsx&amp;sheet=U0&amp;row=3396&amp;col=7&amp;number=0.029&amp;sourceID=14","0.029")</f>
        <v>0.029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HYPERLINK("http://141.218.60.56/~jnz1568/getInfo.php?workbook=18_08.xlsx&amp;sheet=U0&amp;row=3397&amp;col=6&amp;number=4.3&amp;sourceID=14","4.3")</f>
        <v>4.3</v>
      </c>
      <c r="G3397" s="4" t="str">
        <f>HYPERLINK("http://141.218.60.56/~jnz1568/getInfo.php?workbook=18_08.xlsx&amp;sheet=U0&amp;row=3397&amp;col=7&amp;number=0.029&amp;sourceID=14","0.029")</f>
        <v>0.029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HYPERLINK("http://141.218.60.56/~jnz1568/getInfo.php?workbook=18_08.xlsx&amp;sheet=U0&amp;row=3398&amp;col=6&amp;number=4.4&amp;sourceID=14","4.4")</f>
        <v>4.4</v>
      </c>
      <c r="G3398" s="4" t="str">
        <f>HYPERLINK("http://141.218.60.56/~jnz1568/getInfo.php?workbook=18_08.xlsx&amp;sheet=U0&amp;row=3398&amp;col=7&amp;number=0.029&amp;sourceID=14","0.029")</f>
        <v>0.029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HYPERLINK("http://141.218.60.56/~jnz1568/getInfo.php?workbook=18_08.xlsx&amp;sheet=U0&amp;row=3399&amp;col=6&amp;number=4.5&amp;sourceID=14","4.5")</f>
        <v>4.5</v>
      </c>
      <c r="G3399" s="4" t="str">
        <f>HYPERLINK("http://141.218.60.56/~jnz1568/getInfo.php?workbook=18_08.xlsx&amp;sheet=U0&amp;row=3399&amp;col=7&amp;number=0.029&amp;sourceID=14","0.029")</f>
        <v>0.029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HYPERLINK("http://141.218.60.56/~jnz1568/getInfo.php?workbook=18_08.xlsx&amp;sheet=U0&amp;row=3400&amp;col=6&amp;number=4.6&amp;sourceID=14","4.6")</f>
        <v>4.6</v>
      </c>
      <c r="G3400" s="4" t="str">
        <f>HYPERLINK("http://141.218.60.56/~jnz1568/getInfo.php?workbook=18_08.xlsx&amp;sheet=U0&amp;row=3400&amp;col=7&amp;number=0.029&amp;sourceID=14","0.029")</f>
        <v>0.029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HYPERLINK("http://141.218.60.56/~jnz1568/getInfo.php?workbook=18_08.xlsx&amp;sheet=U0&amp;row=3401&amp;col=6&amp;number=4.7&amp;sourceID=14","4.7")</f>
        <v>4.7</v>
      </c>
      <c r="G3401" s="4" t="str">
        <f>HYPERLINK("http://141.218.60.56/~jnz1568/getInfo.php?workbook=18_08.xlsx&amp;sheet=U0&amp;row=3401&amp;col=7&amp;number=0.0289&amp;sourceID=14","0.0289")</f>
        <v>0.0289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HYPERLINK("http://141.218.60.56/~jnz1568/getInfo.php?workbook=18_08.xlsx&amp;sheet=U0&amp;row=3402&amp;col=6&amp;number=4.8&amp;sourceID=14","4.8")</f>
        <v>4.8</v>
      </c>
      <c r="G3402" s="4" t="str">
        <f>HYPERLINK("http://141.218.60.56/~jnz1568/getInfo.php?workbook=18_08.xlsx&amp;sheet=U0&amp;row=3402&amp;col=7&amp;number=0.0289&amp;sourceID=14","0.0289")</f>
        <v>0.0289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HYPERLINK("http://141.218.60.56/~jnz1568/getInfo.php?workbook=18_08.xlsx&amp;sheet=U0&amp;row=3403&amp;col=6&amp;number=4.9&amp;sourceID=14","4.9")</f>
        <v>4.9</v>
      </c>
      <c r="G3403" s="4" t="str">
        <f>HYPERLINK("http://141.218.60.56/~jnz1568/getInfo.php?workbook=18_08.xlsx&amp;sheet=U0&amp;row=3403&amp;col=7&amp;number=0.0288&amp;sourceID=14","0.0288")</f>
        <v>0.0288</v>
      </c>
    </row>
    <row r="3404" spans="1:7">
      <c r="A3404" s="3">
        <v>18</v>
      </c>
      <c r="B3404" s="3">
        <v>8</v>
      </c>
      <c r="C3404" s="3">
        <v>3</v>
      </c>
      <c r="D3404" s="3">
        <v>5</v>
      </c>
      <c r="E3404" s="3">
        <v>1</v>
      </c>
      <c r="F3404" s="4" t="str">
        <f>HYPERLINK("http://141.218.60.56/~jnz1568/getInfo.php?workbook=18_08.xlsx&amp;sheet=U0&amp;row=3404&amp;col=6&amp;number=3&amp;sourceID=14","3")</f>
        <v>3</v>
      </c>
      <c r="G3404" s="4" t="str">
        <f>HYPERLINK("http://141.218.60.56/~jnz1568/getInfo.php?workbook=18_08.xlsx&amp;sheet=U0&amp;row=3404&amp;col=7&amp;number=0.00415&amp;sourceID=14","0.00415")</f>
        <v>0.00415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HYPERLINK("http://141.218.60.56/~jnz1568/getInfo.php?workbook=18_08.xlsx&amp;sheet=U0&amp;row=3405&amp;col=6&amp;number=3.1&amp;sourceID=14","3.1")</f>
        <v>3.1</v>
      </c>
      <c r="G3405" s="4" t="str">
        <f>HYPERLINK("http://141.218.60.56/~jnz1568/getInfo.php?workbook=18_08.xlsx&amp;sheet=U0&amp;row=3405&amp;col=7&amp;number=0.00415&amp;sourceID=14","0.00415")</f>
        <v>0.00415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HYPERLINK("http://141.218.60.56/~jnz1568/getInfo.php?workbook=18_08.xlsx&amp;sheet=U0&amp;row=3406&amp;col=6&amp;number=3.2&amp;sourceID=14","3.2")</f>
        <v>3.2</v>
      </c>
      <c r="G3406" s="4" t="str">
        <f>HYPERLINK("http://141.218.60.56/~jnz1568/getInfo.php?workbook=18_08.xlsx&amp;sheet=U0&amp;row=3406&amp;col=7&amp;number=0.00415&amp;sourceID=14","0.00415")</f>
        <v>0.00415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HYPERLINK("http://141.218.60.56/~jnz1568/getInfo.php?workbook=18_08.xlsx&amp;sheet=U0&amp;row=3407&amp;col=6&amp;number=3.3&amp;sourceID=14","3.3")</f>
        <v>3.3</v>
      </c>
      <c r="G3407" s="4" t="str">
        <f>HYPERLINK("http://141.218.60.56/~jnz1568/getInfo.php?workbook=18_08.xlsx&amp;sheet=U0&amp;row=3407&amp;col=7&amp;number=0.00415&amp;sourceID=14","0.00415")</f>
        <v>0.00415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HYPERLINK("http://141.218.60.56/~jnz1568/getInfo.php?workbook=18_08.xlsx&amp;sheet=U0&amp;row=3408&amp;col=6&amp;number=3.4&amp;sourceID=14","3.4")</f>
        <v>3.4</v>
      </c>
      <c r="G3408" s="4" t="str">
        <f>HYPERLINK("http://141.218.60.56/~jnz1568/getInfo.php?workbook=18_08.xlsx&amp;sheet=U0&amp;row=3408&amp;col=7&amp;number=0.00415&amp;sourceID=14","0.00415")</f>
        <v>0.00415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HYPERLINK("http://141.218.60.56/~jnz1568/getInfo.php?workbook=18_08.xlsx&amp;sheet=U0&amp;row=3409&amp;col=6&amp;number=3.5&amp;sourceID=14","3.5")</f>
        <v>3.5</v>
      </c>
      <c r="G3409" s="4" t="str">
        <f>HYPERLINK("http://141.218.60.56/~jnz1568/getInfo.php?workbook=18_08.xlsx&amp;sheet=U0&amp;row=3409&amp;col=7&amp;number=0.00415&amp;sourceID=14","0.00415")</f>
        <v>0.00415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HYPERLINK("http://141.218.60.56/~jnz1568/getInfo.php?workbook=18_08.xlsx&amp;sheet=U0&amp;row=3410&amp;col=6&amp;number=3.6&amp;sourceID=14","3.6")</f>
        <v>3.6</v>
      </c>
      <c r="G3410" s="4" t="str">
        <f>HYPERLINK("http://141.218.60.56/~jnz1568/getInfo.php?workbook=18_08.xlsx&amp;sheet=U0&amp;row=3410&amp;col=7&amp;number=0.00415&amp;sourceID=14","0.00415")</f>
        <v>0.00415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HYPERLINK("http://141.218.60.56/~jnz1568/getInfo.php?workbook=18_08.xlsx&amp;sheet=U0&amp;row=3411&amp;col=6&amp;number=3.7&amp;sourceID=14","3.7")</f>
        <v>3.7</v>
      </c>
      <c r="G3411" s="4" t="str">
        <f>HYPERLINK("http://141.218.60.56/~jnz1568/getInfo.php?workbook=18_08.xlsx&amp;sheet=U0&amp;row=3411&amp;col=7&amp;number=0.00415&amp;sourceID=14","0.00415")</f>
        <v>0.00415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HYPERLINK("http://141.218.60.56/~jnz1568/getInfo.php?workbook=18_08.xlsx&amp;sheet=U0&amp;row=3412&amp;col=6&amp;number=3.8&amp;sourceID=14","3.8")</f>
        <v>3.8</v>
      </c>
      <c r="G3412" s="4" t="str">
        <f>HYPERLINK("http://141.218.60.56/~jnz1568/getInfo.php?workbook=18_08.xlsx&amp;sheet=U0&amp;row=3412&amp;col=7&amp;number=0.00415&amp;sourceID=14","0.00415")</f>
        <v>0.00415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HYPERLINK("http://141.218.60.56/~jnz1568/getInfo.php?workbook=18_08.xlsx&amp;sheet=U0&amp;row=3413&amp;col=6&amp;number=3.9&amp;sourceID=14","3.9")</f>
        <v>3.9</v>
      </c>
      <c r="G3413" s="4" t="str">
        <f>HYPERLINK("http://141.218.60.56/~jnz1568/getInfo.php?workbook=18_08.xlsx&amp;sheet=U0&amp;row=3413&amp;col=7&amp;number=0.00415&amp;sourceID=14","0.00415")</f>
        <v>0.00415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HYPERLINK("http://141.218.60.56/~jnz1568/getInfo.php?workbook=18_08.xlsx&amp;sheet=U0&amp;row=3414&amp;col=6&amp;number=4&amp;sourceID=14","4")</f>
        <v>4</v>
      </c>
      <c r="G3414" s="4" t="str">
        <f>HYPERLINK("http://141.218.60.56/~jnz1568/getInfo.php?workbook=18_08.xlsx&amp;sheet=U0&amp;row=3414&amp;col=7&amp;number=0.00414&amp;sourceID=14","0.00414")</f>
        <v>0.00414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HYPERLINK("http://141.218.60.56/~jnz1568/getInfo.php?workbook=18_08.xlsx&amp;sheet=U0&amp;row=3415&amp;col=6&amp;number=4.1&amp;sourceID=14","4.1")</f>
        <v>4.1</v>
      </c>
      <c r="G3415" s="4" t="str">
        <f>HYPERLINK("http://141.218.60.56/~jnz1568/getInfo.php?workbook=18_08.xlsx&amp;sheet=U0&amp;row=3415&amp;col=7&amp;number=0.00414&amp;sourceID=14","0.00414")</f>
        <v>0.00414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HYPERLINK("http://141.218.60.56/~jnz1568/getInfo.php?workbook=18_08.xlsx&amp;sheet=U0&amp;row=3416&amp;col=6&amp;number=4.2&amp;sourceID=14","4.2")</f>
        <v>4.2</v>
      </c>
      <c r="G3416" s="4" t="str">
        <f>HYPERLINK("http://141.218.60.56/~jnz1568/getInfo.php?workbook=18_08.xlsx&amp;sheet=U0&amp;row=3416&amp;col=7&amp;number=0.00414&amp;sourceID=14","0.00414")</f>
        <v>0.00414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HYPERLINK("http://141.218.60.56/~jnz1568/getInfo.php?workbook=18_08.xlsx&amp;sheet=U0&amp;row=3417&amp;col=6&amp;number=4.3&amp;sourceID=14","4.3")</f>
        <v>4.3</v>
      </c>
      <c r="G3417" s="4" t="str">
        <f>HYPERLINK("http://141.218.60.56/~jnz1568/getInfo.php?workbook=18_08.xlsx&amp;sheet=U0&amp;row=3417&amp;col=7&amp;number=0.00414&amp;sourceID=14","0.00414")</f>
        <v>0.00414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HYPERLINK("http://141.218.60.56/~jnz1568/getInfo.php?workbook=18_08.xlsx&amp;sheet=U0&amp;row=3418&amp;col=6&amp;number=4.4&amp;sourceID=14","4.4")</f>
        <v>4.4</v>
      </c>
      <c r="G3418" s="4" t="str">
        <f>HYPERLINK("http://141.218.60.56/~jnz1568/getInfo.php?workbook=18_08.xlsx&amp;sheet=U0&amp;row=3418&amp;col=7&amp;number=0.00414&amp;sourceID=14","0.00414")</f>
        <v>0.00414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HYPERLINK("http://141.218.60.56/~jnz1568/getInfo.php?workbook=18_08.xlsx&amp;sheet=U0&amp;row=3419&amp;col=6&amp;number=4.5&amp;sourceID=14","4.5")</f>
        <v>4.5</v>
      </c>
      <c r="G3419" s="4" t="str">
        <f>HYPERLINK("http://141.218.60.56/~jnz1568/getInfo.php?workbook=18_08.xlsx&amp;sheet=U0&amp;row=3419&amp;col=7&amp;number=0.00413&amp;sourceID=14","0.00413")</f>
        <v>0.00413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HYPERLINK("http://141.218.60.56/~jnz1568/getInfo.php?workbook=18_08.xlsx&amp;sheet=U0&amp;row=3420&amp;col=6&amp;number=4.6&amp;sourceID=14","4.6")</f>
        <v>4.6</v>
      </c>
      <c r="G3420" s="4" t="str">
        <f>HYPERLINK("http://141.218.60.56/~jnz1568/getInfo.php?workbook=18_08.xlsx&amp;sheet=U0&amp;row=3420&amp;col=7&amp;number=0.00413&amp;sourceID=14","0.00413")</f>
        <v>0.00413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HYPERLINK("http://141.218.60.56/~jnz1568/getInfo.php?workbook=18_08.xlsx&amp;sheet=U0&amp;row=3421&amp;col=6&amp;number=4.7&amp;sourceID=14","4.7")</f>
        <v>4.7</v>
      </c>
      <c r="G3421" s="4" t="str">
        <f>HYPERLINK("http://141.218.60.56/~jnz1568/getInfo.php?workbook=18_08.xlsx&amp;sheet=U0&amp;row=3421&amp;col=7&amp;number=0.00412&amp;sourceID=14","0.00412")</f>
        <v>0.00412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HYPERLINK("http://141.218.60.56/~jnz1568/getInfo.php?workbook=18_08.xlsx&amp;sheet=U0&amp;row=3422&amp;col=6&amp;number=4.8&amp;sourceID=14","4.8")</f>
        <v>4.8</v>
      </c>
      <c r="G3422" s="4" t="str">
        <f>HYPERLINK("http://141.218.60.56/~jnz1568/getInfo.php?workbook=18_08.xlsx&amp;sheet=U0&amp;row=3422&amp;col=7&amp;number=0.00412&amp;sourceID=14","0.00412")</f>
        <v>0.00412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HYPERLINK("http://141.218.60.56/~jnz1568/getInfo.php?workbook=18_08.xlsx&amp;sheet=U0&amp;row=3423&amp;col=6&amp;number=4.9&amp;sourceID=14","4.9")</f>
        <v>4.9</v>
      </c>
      <c r="G3423" s="4" t="str">
        <f>HYPERLINK("http://141.218.60.56/~jnz1568/getInfo.php?workbook=18_08.xlsx&amp;sheet=U0&amp;row=3423&amp;col=7&amp;number=0.00411&amp;sourceID=14","0.00411")</f>
        <v>0.00411</v>
      </c>
    </row>
    <row r="3424" spans="1:7">
      <c r="A3424" s="3">
        <v>18</v>
      </c>
      <c r="B3424" s="3">
        <v>8</v>
      </c>
      <c r="C3424" s="3">
        <v>3</v>
      </c>
      <c r="D3424" s="3">
        <v>6</v>
      </c>
      <c r="E3424" s="3">
        <v>1</v>
      </c>
      <c r="F3424" s="4" t="str">
        <f>HYPERLINK("http://141.218.60.56/~jnz1568/getInfo.php?workbook=18_08.xlsx&amp;sheet=U0&amp;row=3424&amp;col=6&amp;number=3&amp;sourceID=14","3")</f>
        <v>3</v>
      </c>
      <c r="G3424" s="4" t="str">
        <f>HYPERLINK("http://141.218.60.56/~jnz1568/getInfo.php?workbook=18_08.xlsx&amp;sheet=U0&amp;row=3424&amp;col=7&amp;number=0.00561&amp;sourceID=14","0.00561")</f>
        <v>0.00561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HYPERLINK("http://141.218.60.56/~jnz1568/getInfo.php?workbook=18_08.xlsx&amp;sheet=U0&amp;row=3425&amp;col=6&amp;number=3.1&amp;sourceID=14","3.1")</f>
        <v>3.1</v>
      </c>
      <c r="G3425" s="4" t="str">
        <f>HYPERLINK("http://141.218.60.56/~jnz1568/getInfo.php?workbook=18_08.xlsx&amp;sheet=U0&amp;row=3425&amp;col=7&amp;number=0.00561&amp;sourceID=14","0.00561")</f>
        <v>0.00561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HYPERLINK("http://141.218.60.56/~jnz1568/getInfo.php?workbook=18_08.xlsx&amp;sheet=U0&amp;row=3426&amp;col=6&amp;number=3.2&amp;sourceID=14","3.2")</f>
        <v>3.2</v>
      </c>
      <c r="G3426" s="4" t="str">
        <f>HYPERLINK("http://141.218.60.56/~jnz1568/getInfo.php?workbook=18_08.xlsx&amp;sheet=U0&amp;row=3426&amp;col=7&amp;number=0.00561&amp;sourceID=14","0.00561")</f>
        <v>0.00561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HYPERLINK("http://141.218.60.56/~jnz1568/getInfo.php?workbook=18_08.xlsx&amp;sheet=U0&amp;row=3427&amp;col=6&amp;number=3.3&amp;sourceID=14","3.3")</f>
        <v>3.3</v>
      </c>
      <c r="G3427" s="4" t="str">
        <f>HYPERLINK("http://141.218.60.56/~jnz1568/getInfo.php?workbook=18_08.xlsx&amp;sheet=U0&amp;row=3427&amp;col=7&amp;number=0.00561&amp;sourceID=14","0.00561")</f>
        <v>0.00561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HYPERLINK("http://141.218.60.56/~jnz1568/getInfo.php?workbook=18_08.xlsx&amp;sheet=U0&amp;row=3428&amp;col=6&amp;number=3.4&amp;sourceID=14","3.4")</f>
        <v>3.4</v>
      </c>
      <c r="G3428" s="4" t="str">
        <f>HYPERLINK("http://141.218.60.56/~jnz1568/getInfo.php?workbook=18_08.xlsx&amp;sheet=U0&amp;row=3428&amp;col=7&amp;number=0.00561&amp;sourceID=14","0.00561")</f>
        <v>0.00561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HYPERLINK("http://141.218.60.56/~jnz1568/getInfo.php?workbook=18_08.xlsx&amp;sheet=U0&amp;row=3429&amp;col=6&amp;number=3.5&amp;sourceID=14","3.5")</f>
        <v>3.5</v>
      </c>
      <c r="G3429" s="4" t="str">
        <f>HYPERLINK("http://141.218.60.56/~jnz1568/getInfo.php?workbook=18_08.xlsx&amp;sheet=U0&amp;row=3429&amp;col=7&amp;number=0.00561&amp;sourceID=14","0.00561")</f>
        <v>0.00561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HYPERLINK("http://141.218.60.56/~jnz1568/getInfo.php?workbook=18_08.xlsx&amp;sheet=U0&amp;row=3430&amp;col=6&amp;number=3.6&amp;sourceID=14","3.6")</f>
        <v>3.6</v>
      </c>
      <c r="G3430" s="4" t="str">
        <f>HYPERLINK("http://141.218.60.56/~jnz1568/getInfo.php?workbook=18_08.xlsx&amp;sheet=U0&amp;row=3430&amp;col=7&amp;number=0.00561&amp;sourceID=14","0.00561")</f>
        <v>0.00561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HYPERLINK("http://141.218.60.56/~jnz1568/getInfo.php?workbook=18_08.xlsx&amp;sheet=U0&amp;row=3431&amp;col=6&amp;number=3.7&amp;sourceID=14","3.7")</f>
        <v>3.7</v>
      </c>
      <c r="G3431" s="4" t="str">
        <f>HYPERLINK("http://141.218.60.56/~jnz1568/getInfo.php?workbook=18_08.xlsx&amp;sheet=U0&amp;row=3431&amp;col=7&amp;number=0.00561&amp;sourceID=14","0.00561")</f>
        <v>0.00561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HYPERLINK("http://141.218.60.56/~jnz1568/getInfo.php?workbook=18_08.xlsx&amp;sheet=U0&amp;row=3432&amp;col=6&amp;number=3.8&amp;sourceID=14","3.8")</f>
        <v>3.8</v>
      </c>
      <c r="G3432" s="4" t="str">
        <f>HYPERLINK("http://141.218.60.56/~jnz1568/getInfo.php?workbook=18_08.xlsx&amp;sheet=U0&amp;row=3432&amp;col=7&amp;number=0.00561&amp;sourceID=14","0.00561")</f>
        <v>0.00561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HYPERLINK("http://141.218.60.56/~jnz1568/getInfo.php?workbook=18_08.xlsx&amp;sheet=U0&amp;row=3433&amp;col=6&amp;number=3.9&amp;sourceID=14","3.9")</f>
        <v>3.9</v>
      </c>
      <c r="G3433" s="4" t="str">
        <f>HYPERLINK("http://141.218.60.56/~jnz1568/getInfo.php?workbook=18_08.xlsx&amp;sheet=U0&amp;row=3433&amp;col=7&amp;number=0.0056&amp;sourceID=14","0.0056")</f>
        <v>0.0056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HYPERLINK("http://141.218.60.56/~jnz1568/getInfo.php?workbook=18_08.xlsx&amp;sheet=U0&amp;row=3434&amp;col=6&amp;number=4&amp;sourceID=14","4")</f>
        <v>4</v>
      </c>
      <c r="G3434" s="4" t="str">
        <f>HYPERLINK("http://141.218.60.56/~jnz1568/getInfo.php?workbook=18_08.xlsx&amp;sheet=U0&amp;row=3434&amp;col=7&amp;number=0.0056&amp;sourceID=14","0.0056")</f>
        <v>0.0056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HYPERLINK("http://141.218.60.56/~jnz1568/getInfo.php?workbook=18_08.xlsx&amp;sheet=U0&amp;row=3435&amp;col=6&amp;number=4.1&amp;sourceID=14","4.1")</f>
        <v>4.1</v>
      </c>
      <c r="G3435" s="4" t="str">
        <f>HYPERLINK("http://141.218.60.56/~jnz1568/getInfo.php?workbook=18_08.xlsx&amp;sheet=U0&amp;row=3435&amp;col=7&amp;number=0.0056&amp;sourceID=14","0.0056")</f>
        <v>0.0056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HYPERLINK("http://141.218.60.56/~jnz1568/getInfo.php?workbook=18_08.xlsx&amp;sheet=U0&amp;row=3436&amp;col=6&amp;number=4.2&amp;sourceID=14","4.2")</f>
        <v>4.2</v>
      </c>
      <c r="G3436" s="4" t="str">
        <f>HYPERLINK("http://141.218.60.56/~jnz1568/getInfo.php?workbook=18_08.xlsx&amp;sheet=U0&amp;row=3436&amp;col=7&amp;number=0.0056&amp;sourceID=14","0.0056")</f>
        <v>0.0056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HYPERLINK("http://141.218.60.56/~jnz1568/getInfo.php?workbook=18_08.xlsx&amp;sheet=U0&amp;row=3437&amp;col=6&amp;number=4.3&amp;sourceID=14","4.3")</f>
        <v>4.3</v>
      </c>
      <c r="G3437" s="4" t="str">
        <f>HYPERLINK("http://141.218.60.56/~jnz1568/getInfo.php?workbook=18_08.xlsx&amp;sheet=U0&amp;row=3437&amp;col=7&amp;number=0.0056&amp;sourceID=14","0.0056")</f>
        <v>0.0056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HYPERLINK("http://141.218.60.56/~jnz1568/getInfo.php?workbook=18_08.xlsx&amp;sheet=U0&amp;row=3438&amp;col=6&amp;number=4.4&amp;sourceID=14","4.4")</f>
        <v>4.4</v>
      </c>
      <c r="G3438" s="4" t="str">
        <f>HYPERLINK("http://141.218.60.56/~jnz1568/getInfo.php?workbook=18_08.xlsx&amp;sheet=U0&amp;row=3438&amp;col=7&amp;number=0.00559&amp;sourceID=14","0.00559")</f>
        <v>0.00559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HYPERLINK("http://141.218.60.56/~jnz1568/getInfo.php?workbook=18_08.xlsx&amp;sheet=U0&amp;row=3439&amp;col=6&amp;number=4.5&amp;sourceID=14","4.5")</f>
        <v>4.5</v>
      </c>
      <c r="G3439" s="4" t="str">
        <f>HYPERLINK("http://141.218.60.56/~jnz1568/getInfo.php?workbook=18_08.xlsx&amp;sheet=U0&amp;row=3439&amp;col=7&amp;number=0.00559&amp;sourceID=14","0.00559")</f>
        <v>0.00559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HYPERLINK("http://141.218.60.56/~jnz1568/getInfo.php?workbook=18_08.xlsx&amp;sheet=U0&amp;row=3440&amp;col=6&amp;number=4.6&amp;sourceID=14","4.6")</f>
        <v>4.6</v>
      </c>
      <c r="G3440" s="4" t="str">
        <f>HYPERLINK("http://141.218.60.56/~jnz1568/getInfo.php?workbook=18_08.xlsx&amp;sheet=U0&amp;row=3440&amp;col=7&amp;number=0.00558&amp;sourceID=14","0.00558")</f>
        <v>0.00558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HYPERLINK("http://141.218.60.56/~jnz1568/getInfo.php?workbook=18_08.xlsx&amp;sheet=U0&amp;row=3441&amp;col=6&amp;number=4.7&amp;sourceID=14","4.7")</f>
        <v>4.7</v>
      </c>
      <c r="G3441" s="4" t="str">
        <f>HYPERLINK("http://141.218.60.56/~jnz1568/getInfo.php?workbook=18_08.xlsx&amp;sheet=U0&amp;row=3441&amp;col=7&amp;number=0.00558&amp;sourceID=14","0.00558")</f>
        <v>0.00558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HYPERLINK("http://141.218.60.56/~jnz1568/getInfo.php?workbook=18_08.xlsx&amp;sheet=U0&amp;row=3442&amp;col=6&amp;number=4.8&amp;sourceID=14","4.8")</f>
        <v>4.8</v>
      </c>
      <c r="G3442" s="4" t="str">
        <f>HYPERLINK("http://141.218.60.56/~jnz1568/getInfo.php?workbook=18_08.xlsx&amp;sheet=U0&amp;row=3442&amp;col=7&amp;number=0.00557&amp;sourceID=14","0.00557")</f>
        <v>0.00557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HYPERLINK("http://141.218.60.56/~jnz1568/getInfo.php?workbook=18_08.xlsx&amp;sheet=U0&amp;row=3443&amp;col=6&amp;number=4.9&amp;sourceID=14","4.9")</f>
        <v>4.9</v>
      </c>
      <c r="G3443" s="4" t="str">
        <f>HYPERLINK("http://141.218.60.56/~jnz1568/getInfo.php?workbook=18_08.xlsx&amp;sheet=U0&amp;row=3443&amp;col=7&amp;number=0.00556&amp;sourceID=14","0.00556")</f>
        <v>0.00556</v>
      </c>
    </row>
    <row r="3444" spans="1:7">
      <c r="A3444" s="3">
        <v>18</v>
      </c>
      <c r="B3444" s="3">
        <v>8</v>
      </c>
      <c r="C3444" s="3">
        <v>3</v>
      </c>
      <c r="D3444" s="3">
        <v>7</v>
      </c>
      <c r="E3444" s="3">
        <v>1</v>
      </c>
      <c r="F3444" s="4" t="str">
        <f>HYPERLINK("http://141.218.60.56/~jnz1568/getInfo.php?workbook=18_08.xlsx&amp;sheet=U0&amp;row=3444&amp;col=6&amp;number=3&amp;sourceID=14","3")</f>
        <v>3</v>
      </c>
      <c r="G3444" s="4" t="str">
        <f>HYPERLINK("http://141.218.60.56/~jnz1568/getInfo.php?workbook=18_08.xlsx&amp;sheet=U0&amp;row=3444&amp;col=7&amp;number=0.224&amp;sourceID=14","0.224")</f>
        <v>0.224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HYPERLINK("http://141.218.60.56/~jnz1568/getInfo.php?workbook=18_08.xlsx&amp;sheet=U0&amp;row=3445&amp;col=6&amp;number=3.1&amp;sourceID=14","3.1")</f>
        <v>3.1</v>
      </c>
      <c r="G3445" s="4" t="str">
        <f>HYPERLINK("http://141.218.60.56/~jnz1568/getInfo.php?workbook=18_08.xlsx&amp;sheet=U0&amp;row=3445&amp;col=7&amp;number=0.224&amp;sourceID=14","0.224")</f>
        <v>0.224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HYPERLINK("http://141.218.60.56/~jnz1568/getInfo.php?workbook=18_08.xlsx&amp;sheet=U0&amp;row=3446&amp;col=6&amp;number=3.2&amp;sourceID=14","3.2")</f>
        <v>3.2</v>
      </c>
      <c r="G3446" s="4" t="str">
        <f>HYPERLINK("http://141.218.60.56/~jnz1568/getInfo.php?workbook=18_08.xlsx&amp;sheet=U0&amp;row=3446&amp;col=7&amp;number=0.224&amp;sourceID=14","0.224")</f>
        <v>0.224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HYPERLINK("http://141.218.60.56/~jnz1568/getInfo.php?workbook=18_08.xlsx&amp;sheet=U0&amp;row=3447&amp;col=6&amp;number=3.3&amp;sourceID=14","3.3")</f>
        <v>3.3</v>
      </c>
      <c r="G3447" s="4" t="str">
        <f>HYPERLINK("http://141.218.60.56/~jnz1568/getInfo.php?workbook=18_08.xlsx&amp;sheet=U0&amp;row=3447&amp;col=7&amp;number=0.224&amp;sourceID=14","0.224")</f>
        <v>0.224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HYPERLINK("http://141.218.60.56/~jnz1568/getInfo.php?workbook=18_08.xlsx&amp;sheet=U0&amp;row=3448&amp;col=6&amp;number=3.4&amp;sourceID=14","3.4")</f>
        <v>3.4</v>
      </c>
      <c r="G3448" s="4" t="str">
        <f>HYPERLINK("http://141.218.60.56/~jnz1568/getInfo.php?workbook=18_08.xlsx&amp;sheet=U0&amp;row=3448&amp;col=7&amp;number=0.224&amp;sourceID=14","0.224")</f>
        <v>0.224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HYPERLINK("http://141.218.60.56/~jnz1568/getInfo.php?workbook=18_08.xlsx&amp;sheet=U0&amp;row=3449&amp;col=6&amp;number=3.5&amp;sourceID=14","3.5")</f>
        <v>3.5</v>
      </c>
      <c r="G3449" s="4" t="str">
        <f>HYPERLINK("http://141.218.60.56/~jnz1568/getInfo.php?workbook=18_08.xlsx&amp;sheet=U0&amp;row=3449&amp;col=7&amp;number=0.224&amp;sourceID=14","0.224")</f>
        <v>0.224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HYPERLINK("http://141.218.60.56/~jnz1568/getInfo.php?workbook=18_08.xlsx&amp;sheet=U0&amp;row=3450&amp;col=6&amp;number=3.6&amp;sourceID=14","3.6")</f>
        <v>3.6</v>
      </c>
      <c r="G3450" s="4" t="str">
        <f>HYPERLINK("http://141.218.60.56/~jnz1568/getInfo.php?workbook=18_08.xlsx&amp;sheet=U0&amp;row=3450&amp;col=7&amp;number=0.224&amp;sourceID=14","0.224")</f>
        <v>0.224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HYPERLINK("http://141.218.60.56/~jnz1568/getInfo.php?workbook=18_08.xlsx&amp;sheet=U0&amp;row=3451&amp;col=6&amp;number=3.7&amp;sourceID=14","3.7")</f>
        <v>3.7</v>
      </c>
      <c r="G3451" s="4" t="str">
        <f>HYPERLINK("http://141.218.60.56/~jnz1568/getInfo.php?workbook=18_08.xlsx&amp;sheet=U0&amp;row=3451&amp;col=7&amp;number=0.224&amp;sourceID=14","0.224")</f>
        <v>0.224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HYPERLINK("http://141.218.60.56/~jnz1568/getInfo.php?workbook=18_08.xlsx&amp;sheet=U0&amp;row=3452&amp;col=6&amp;number=3.8&amp;sourceID=14","3.8")</f>
        <v>3.8</v>
      </c>
      <c r="G3452" s="4" t="str">
        <f>HYPERLINK("http://141.218.60.56/~jnz1568/getInfo.php?workbook=18_08.xlsx&amp;sheet=U0&amp;row=3452&amp;col=7&amp;number=0.224&amp;sourceID=14","0.224")</f>
        <v>0.224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HYPERLINK("http://141.218.60.56/~jnz1568/getInfo.php?workbook=18_08.xlsx&amp;sheet=U0&amp;row=3453&amp;col=6&amp;number=3.9&amp;sourceID=14","3.9")</f>
        <v>3.9</v>
      </c>
      <c r="G3453" s="4" t="str">
        <f>HYPERLINK("http://141.218.60.56/~jnz1568/getInfo.php?workbook=18_08.xlsx&amp;sheet=U0&amp;row=3453&amp;col=7&amp;number=0.224&amp;sourceID=14","0.224")</f>
        <v>0.224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HYPERLINK("http://141.218.60.56/~jnz1568/getInfo.php?workbook=18_08.xlsx&amp;sheet=U0&amp;row=3454&amp;col=6&amp;number=4&amp;sourceID=14","4")</f>
        <v>4</v>
      </c>
      <c r="G3454" s="4" t="str">
        <f>HYPERLINK("http://141.218.60.56/~jnz1568/getInfo.php?workbook=18_08.xlsx&amp;sheet=U0&amp;row=3454&amp;col=7&amp;number=0.224&amp;sourceID=14","0.224")</f>
        <v>0.224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HYPERLINK("http://141.218.60.56/~jnz1568/getInfo.php?workbook=18_08.xlsx&amp;sheet=U0&amp;row=3455&amp;col=6&amp;number=4.1&amp;sourceID=14","4.1")</f>
        <v>4.1</v>
      </c>
      <c r="G3455" s="4" t="str">
        <f>HYPERLINK("http://141.218.60.56/~jnz1568/getInfo.php?workbook=18_08.xlsx&amp;sheet=U0&amp;row=3455&amp;col=7&amp;number=0.225&amp;sourceID=14","0.225")</f>
        <v>0.225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HYPERLINK("http://141.218.60.56/~jnz1568/getInfo.php?workbook=18_08.xlsx&amp;sheet=U0&amp;row=3456&amp;col=6&amp;number=4.2&amp;sourceID=14","4.2")</f>
        <v>4.2</v>
      </c>
      <c r="G3456" s="4" t="str">
        <f>HYPERLINK("http://141.218.60.56/~jnz1568/getInfo.php?workbook=18_08.xlsx&amp;sheet=U0&amp;row=3456&amp;col=7&amp;number=0.225&amp;sourceID=14","0.225")</f>
        <v>0.225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HYPERLINK("http://141.218.60.56/~jnz1568/getInfo.php?workbook=18_08.xlsx&amp;sheet=U0&amp;row=3457&amp;col=6&amp;number=4.3&amp;sourceID=14","4.3")</f>
        <v>4.3</v>
      </c>
      <c r="G3457" s="4" t="str">
        <f>HYPERLINK("http://141.218.60.56/~jnz1568/getInfo.php?workbook=18_08.xlsx&amp;sheet=U0&amp;row=3457&amp;col=7&amp;number=0.225&amp;sourceID=14","0.225")</f>
        <v>0.225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HYPERLINK("http://141.218.60.56/~jnz1568/getInfo.php?workbook=18_08.xlsx&amp;sheet=U0&amp;row=3458&amp;col=6&amp;number=4.4&amp;sourceID=14","4.4")</f>
        <v>4.4</v>
      </c>
      <c r="G3458" s="4" t="str">
        <f>HYPERLINK("http://141.218.60.56/~jnz1568/getInfo.php?workbook=18_08.xlsx&amp;sheet=U0&amp;row=3458&amp;col=7&amp;number=0.226&amp;sourceID=14","0.226")</f>
        <v>0.226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HYPERLINK("http://141.218.60.56/~jnz1568/getInfo.php?workbook=18_08.xlsx&amp;sheet=U0&amp;row=3459&amp;col=6&amp;number=4.5&amp;sourceID=14","4.5")</f>
        <v>4.5</v>
      </c>
      <c r="G3459" s="4" t="str">
        <f>HYPERLINK("http://141.218.60.56/~jnz1568/getInfo.php?workbook=18_08.xlsx&amp;sheet=U0&amp;row=3459&amp;col=7&amp;number=0.226&amp;sourceID=14","0.226")</f>
        <v>0.226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HYPERLINK("http://141.218.60.56/~jnz1568/getInfo.php?workbook=18_08.xlsx&amp;sheet=U0&amp;row=3460&amp;col=6&amp;number=4.6&amp;sourceID=14","4.6")</f>
        <v>4.6</v>
      </c>
      <c r="G3460" s="4" t="str">
        <f>HYPERLINK("http://141.218.60.56/~jnz1568/getInfo.php?workbook=18_08.xlsx&amp;sheet=U0&amp;row=3460&amp;col=7&amp;number=0.227&amp;sourceID=14","0.227")</f>
        <v>0.227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HYPERLINK("http://141.218.60.56/~jnz1568/getInfo.php?workbook=18_08.xlsx&amp;sheet=U0&amp;row=3461&amp;col=6&amp;number=4.7&amp;sourceID=14","4.7")</f>
        <v>4.7</v>
      </c>
      <c r="G3461" s="4" t="str">
        <f>HYPERLINK("http://141.218.60.56/~jnz1568/getInfo.php?workbook=18_08.xlsx&amp;sheet=U0&amp;row=3461&amp;col=7&amp;number=0.227&amp;sourceID=14","0.227")</f>
        <v>0.227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HYPERLINK("http://141.218.60.56/~jnz1568/getInfo.php?workbook=18_08.xlsx&amp;sheet=U0&amp;row=3462&amp;col=6&amp;number=4.8&amp;sourceID=14","4.8")</f>
        <v>4.8</v>
      </c>
      <c r="G3462" s="4" t="str">
        <f>HYPERLINK("http://141.218.60.56/~jnz1568/getInfo.php?workbook=18_08.xlsx&amp;sheet=U0&amp;row=3462&amp;col=7&amp;number=0.228&amp;sourceID=14","0.228")</f>
        <v>0.228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HYPERLINK("http://141.218.60.56/~jnz1568/getInfo.php?workbook=18_08.xlsx&amp;sheet=U0&amp;row=3463&amp;col=6&amp;number=4.9&amp;sourceID=14","4.9")</f>
        <v>4.9</v>
      </c>
      <c r="G3463" s="4" t="str">
        <f>HYPERLINK("http://141.218.60.56/~jnz1568/getInfo.php?workbook=18_08.xlsx&amp;sheet=U0&amp;row=3463&amp;col=7&amp;number=0.23&amp;sourceID=14","0.23")</f>
        <v>0.23</v>
      </c>
    </row>
    <row r="3464" spans="1:7">
      <c r="A3464" s="3">
        <v>18</v>
      </c>
      <c r="B3464" s="3">
        <v>8</v>
      </c>
      <c r="C3464" s="3">
        <v>3</v>
      </c>
      <c r="D3464" s="3">
        <v>8</v>
      </c>
      <c r="E3464" s="3">
        <v>1</v>
      </c>
      <c r="F3464" s="4" t="str">
        <f>HYPERLINK("http://141.218.60.56/~jnz1568/getInfo.php?workbook=18_08.xlsx&amp;sheet=U0&amp;row=3464&amp;col=6&amp;number=3&amp;sourceID=14","3")</f>
        <v>3</v>
      </c>
      <c r="G3464" s="4" t="str">
        <f>HYPERLINK("http://141.218.60.56/~jnz1568/getInfo.php?workbook=18_08.xlsx&amp;sheet=U0&amp;row=3464&amp;col=7&amp;number=0.0022&amp;sourceID=14","0.0022")</f>
        <v>0.0022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HYPERLINK("http://141.218.60.56/~jnz1568/getInfo.php?workbook=18_08.xlsx&amp;sheet=U0&amp;row=3465&amp;col=6&amp;number=3.1&amp;sourceID=14","3.1")</f>
        <v>3.1</v>
      </c>
      <c r="G3465" s="4" t="str">
        <f>HYPERLINK("http://141.218.60.56/~jnz1568/getInfo.php?workbook=18_08.xlsx&amp;sheet=U0&amp;row=3465&amp;col=7&amp;number=0.0022&amp;sourceID=14","0.0022")</f>
        <v>0.0022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HYPERLINK("http://141.218.60.56/~jnz1568/getInfo.php?workbook=18_08.xlsx&amp;sheet=U0&amp;row=3466&amp;col=6&amp;number=3.2&amp;sourceID=14","3.2")</f>
        <v>3.2</v>
      </c>
      <c r="G3466" s="4" t="str">
        <f>HYPERLINK("http://141.218.60.56/~jnz1568/getInfo.php?workbook=18_08.xlsx&amp;sheet=U0&amp;row=3466&amp;col=7&amp;number=0.0022&amp;sourceID=14","0.0022")</f>
        <v>0.0022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HYPERLINK("http://141.218.60.56/~jnz1568/getInfo.php?workbook=18_08.xlsx&amp;sheet=U0&amp;row=3467&amp;col=6&amp;number=3.3&amp;sourceID=14","3.3")</f>
        <v>3.3</v>
      </c>
      <c r="G3467" s="4" t="str">
        <f>HYPERLINK("http://141.218.60.56/~jnz1568/getInfo.php?workbook=18_08.xlsx&amp;sheet=U0&amp;row=3467&amp;col=7&amp;number=0.0022&amp;sourceID=14","0.0022")</f>
        <v>0.0022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HYPERLINK("http://141.218.60.56/~jnz1568/getInfo.php?workbook=18_08.xlsx&amp;sheet=U0&amp;row=3468&amp;col=6&amp;number=3.4&amp;sourceID=14","3.4")</f>
        <v>3.4</v>
      </c>
      <c r="G3468" s="4" t="str">
        <f>HYPERLINK("http://141.218.60.56/~jnz1568/getInfo.php?workbook=18_08.xlsx&amp;sheet=U0&amp;row=3468&amp;col=7&amp;number=0.0022&amp;sourceID=14","0.0022")</f>
        <v>0.0022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HYPERLINK("http://141.218.60.56/~jnz1568/getInfo.php?workbook=18_08.xlsx&amp;sheet=U0&amp;row=3469&amp;col=6&amp;number=3.5&amp;sourceID=14","3.5")</f>
        <v>3.5</v>
      </c>
      <c r="G3469" s="4" t="str">
        <f>HYPERLINK("http://141.218.60.56/~jnz1568/getInfo.php?workbook=18_08.xlsx&amp;sheet=U0&amp;row=3469&amp;col=7&amp;number=0.0022&amp;sourceID=14","0.0022")</f>
        <v>0.0022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HYPERLINK("http://141.218.60.56/~jnz1568/getInfo.php?workbook=18_08.xlsx&amp;sheet=U0&amp;row=3470&amp;col=6&amp;number=3.6&amp;sourceID=14","3.6")</f>
        <v>3.6</v>
      </c>
      <c r="G3470" s="4" t="str">
        <f>HYPERLINK("http://141.218.60.56/~jnz1568/getInfo.php?workbook=18_08.xlsx&amp;sheet=U0&amp;row=3470&amp;col=7&amp;number=0.0022&amp;sourceID=14","0.0022")</f>
        <v>0.0022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HYPERLINK("http://141.218.60.56/~jnz1568/getInfo.php?workbook=18_08.xlsx&amp;sheet=U0&amp;row=3471&amp;col=6&amp;number=3.7&amp;sourceID=14","3.7")</f>
        <v>3.7</v>
      </c>
      <c r="G3471" s="4" t="str">
        <f>HYPERLINK("http://141.218.60.56/~jnz1568/getInfo.php?workbook=18_08.xlsx&amp;sheet=U0&amp;row=3471&amp;col=7&amp;number=0.0022&amp;sourceID=14","0.0022")</f>
        <v>0.0022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HYPERLINK("http://141.218.60.56/~jnz1568/getInfo.php?workbook=18_08.xlsx&amp;sheet=U0&amp;row=3472&amp;col=6&amp;number=3.8&amp;sourceID=14","3.8")</f>
        <v>3.8</v>
      </c>
      <c r="G3472" s="4" t="str">
        <f>HYPERLINK("http://141.218.60.56/~jnz1568/getInfo.php?workbook=18_08.xlsx&amp;sheet=U0&amp;row=3472&amp;col=7&amp;number=0.0022&amp;sourceID=14","0.0022")</f>
        <v>0.0022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HYPERLINK("http://141.218.60.56/~jnz1568/getInfo.php?workbook=18_08.xlsx&amp;sheet=U0&amp;row=3473&amp;col=6&amp;number=3.9&amp;sourceID=14","3.9")</f>
        <v>3.9</v>
      </c>
      <c r="G3473" s="4" t="str">
        <f>HYPERLINK("http://141.218.60.56/~jnz1568/getInfo.php?workbook=18_08.xlsx&amp;sheet=U0&amp;row=3473&amp;col=7&amp;number=0.00219&amp;sourceID=14","0.00219")</f>
        <v>0.00219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HYPERLINK("http://141.218.60.56/~jnz1568/getInfo.php?workbook=18_08.xlsx&amp;sheet=U0&amp;row=3474&amp;col=6&amp;number=4&amp;sourceID=14","4")</f>
        <v>4</v>
      </c>
      <c r="G3474" s="4" t="str">
        <f>HYPERLINK("http://141.218.60.56/~jnz1568/getInfo.php?workbook=18_08.xlsx&amp;sheet=U0&amp;row=3474&amp;col=7&amp;number=0.00219&amp;sourceID=14","0.00219")</f>
        <v>0.00219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HYPERLINK("http://141.218.60.56/~jnz1568/getInfo.php?workbook=18_08.xlsx&amp;sheet=U0&amp;row=3475&amp;col=6&amp;number=4.1&amp;sourceID=14","4.1")</f>
        <v>4.1</v>
      </c>
      <c r="G3475" s="4" t="str">
        <f>HYPERLINK("http://141.218.60.56/~jnz1568/getInfo.php?workbook=18_08.xlsx&amp;sheet=U0&amp;row=3475&amp;col=7&amp;number=0.00219&amp;sourceID=14","0.00219")</f>
        <v>0.00219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HYPERLINK("http://141.218.60.56/~jnz1568/getInfo.php?workbook=18_08.xlsx&amp;sheet=U0&amp;row=3476&amp;col=6&amp;number=4.2&amp;sourceID=14","4.2")</f>
        <v>4.2</v>
      </c>
      <c r="G3476" s="4" t="str">
        <f>HYPERLINK("http://141.218.60.56/~jnz1568/getInfo.php?workbook=18_08.xlsx&amp;sheet=U0&amp;row=3476&amp;col=7&amp;number=0.00219&amp;sourceID=14","0.00219")</f>
        <v>0.00219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HYPERLINK("http://141.218.60.56/~jnz1568/getInfo.php?workbook=18_08.xlsx&amp;sheet=U0&amp;row=3477&amp;col=6&amp;number=4.3&amp;sourceID=14","4.3")</f>
        <v>4.3</v>
      </c>
      <c r="G3477" s="4" t="str">
        <f>HYPERLINK("http://141.218.60.56/~jnz1568/getInfo.php?workbook=18_08.xlsx&amp;sheet=U0&amp;row=3477&amp;col=7&amp;number=0.00219&amp;sourceID=14","0.00219")</f>
        <v>0.00219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HYPERLINK("http://141.218.60.56/~jnz1568/getInfo.php?workbook=18_08.xlsx&amp;sheet=U0&amp;row=3478&amp;col=6&amp;number=4.4&amp;sourceID=14","4.4")</f>
        <v>4.4</v>
      </c>
      <c r="G3478" s="4" t="str">
        <f>HYPERLINK("http://141.218.60.56/~jnz1568/getInfo.php?workbook=18_08.xlsx&amp;sheet=U0&amp;row=3478&amp;col=7&amp;number=0.00219&amp;sourceID=14","0.00219")</f>
        <v>0.00219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HYPERLINK("http://141.218.60.56/~jnz1568/getInfo.php?workbook=18_08.xlsx&amp;sheet=U0&amp;row=3479&amp;col=6&amp;number=4.5&amp;sourceID=14","4.5")</f>
        <v>4.5</v>
      </c>
      <c r="G3479" s="4" t="str">
        <f>HYPERLINK("http://141.218.60.56/~jnz1568/getInfo.php?workbook=18_08.xlsx&amp;sheet=U0&amp;row=3479&amp;col=7&amp;number=0.00219&amp;sourceID=14","0.00219")</f>
        <v>0.00219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HYPERLINK("http://141.218.60.56/~jnz1568/getInfo.php?workbook=18_08.xlsx&amp;sheet=U0&amp;row=3480&amp;col=6&amp;number=4.6&amp;sourceID=14","4.6")</f>
        <v>4.6</v>
      </c>
      <c r="G3480" s="4" t="str">
        <f>HYPERLINK("http://141.218.60.56/~jnz1568/getInfo.php?workbook=18_08.xlsx&amp;sheet=U0&amp;row=3480&amp;col=7&amp;number=0.00219&amp;sourceID=14","0.00219")</f>
        <v>0.00219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HYPERLINK("http://141.218.60.56/~jnz1568/getInfo.php?workbook=18_08.xlsx&amp;sheet=U0&amp;row=3481&amp;col=6&amp;number=4.7&amp;sourceID=14","4.7")</f>
        <v>4.7</v>
      </c>
      <c r="G3481" s="4" t="str">
        <f>HYPERLINK("http://141.218.60.56/~jnz1568/getInfo.php?workbook=18_08.xlsx&amp;sheet=U0&amp;row=3481&amp;col=7&amp;number=0.00218&amp;sourceID=14","0.00218")</f>
        <v>0.00218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HYPERLINK("http://141.218.60.56/~jnz1568/getInfo.php?workbook=18_08.xlsx&amp;sheet=U0&amp;row=3482&amp;col=6&amp;number=4.8&amp;sourceID=14","4.8")</f>
        <v>4.8</v>
      </c>
      <c r="G3482" s="4" t="str">
        <f>HYPERLINK("http://141.218.60.56/~jnz1568/getInfo.php?workbook=18_08.xlsx&amp;sheet=U0&amp;row=3482&amp;col=7&amp;number=0.00218&amp;sourceID=14","0.00218")</f>
        <v>0.00218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HYPERLINK("http://141.218.60.56/~jnz1568/getInfo.php?workbook=18_08.xlsx&amp;sheet=U0&amp;row=3483&amp;col=6&amp;number=4.9&amp;sourceID=14","4.9")</f>
        <v>4.9</v>
      </c>
      <c r="G3483" s="4" t="str">
        <f>HYPERLINK("http://141.218.60.56/~jnz1568/getInfo.php?workbook=18_08.xlsx&amp;sheet=U0&amp;row=3483&amp;col=7&amp;number=0.00218&amp;sourceID=14","0.00218")</f>
        <v>0.00218</v>
      </c>
    </row>
    <row r="3484" spans="1:7">
      <c r="A3484" s="3">
        <v>18</v>
      </c>
      <c r="B3484" s="3">
        <v>8</v>
      </c>
      <c r="C3484" s="3">
        <v>3</v>
      </c>
      <c r="D3484" s="3">
        <v>9</v>
      </c>
      <c r="E3484" s="3">
        <v>1</v>
      </c>
      <c r="F3484" s="4" t="str">
        <f>HYPERLINK("http://141.218.60.56/~jnz1568/getInfo.php?workbook=18_08.xlsx&amp;sheet=U0&amp;row=3484&amp;col=6&amp;number=3&amp;sourceID=14","3")</f>
        <v>3</v>
      </c>
      <c r="G3484" s="4" t="str">
        <f>HYPERLINK("http://141.218.60.56/~jnz1568/getInfo.php?workbook=18_08.xlsx&amp;sheet=U0&amp;row=3484&amp;col=7&amp;number=0.00519&amp;sourceID=14","0.00519")</f>
        <v>0.00519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HYPERLINK("http://141.218.60.56/~jnz1568/getInfo.php?workbook=18_08.xlsx&amp;sheet=U0&amp;row=3485&amp;col=6&amp;number=3.1&amp;sourceID=14","3.1")</f>
        <v>3.1</v>
      </c>
      <c r="G3485" s="4" t="str">
        <f>HYPERLINK("http://141.218.60.56/~jnz1568/getInfo.php?workbook=18_08.xlsx&amp;sheet=U0&amp;row=3485&amp;col=7&amp;number=0.00519&amp;sourceID=14","0.00519")</f>
        <v>0.00519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HYPERLINK("http://141.218.60.56/~jnz1568/getInfo.php?workbook=18_08.xlsx&amp;sheet=U0&amp;row=3486&amp;col=6&amp;number=3.2&amp;sourceID=14","3.2")</f>
        <v>3.2</v>
      </c>
      <c r="G3486" s="4" t="str">
        <f>HYPERLINK("http://141.218.60.56/~jnz1568/getInfo.php?workbook=18_08.xlsx&amp;sheet=U0&amp;row=3486&amp;col=7&amp;number=0.00519&amp;sourceID=14","0.00519")</f>
        <v>0.00519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HYPERLINK("http://141.218.60.56/~jnz1568/getInfo.php?workbook=18_08.xlsx&amp;sheet=U0&amp;row=3487&amp;col=6&amp;number=3.3&amp;sourceID=14","3.3")</f>
        <v>3.3</v>
      </c>
      <c r="G3487" s="4" t="str">
        <f>HYPERLINK("http://141.218.60.56/~jnz1568/getInfo.php?workbook=18_08.xlsx&amp;sheet=U0&amp;row=3487&amp;col=7&amp;number=0.00519&amp;sourceID=14","0.00519")</f>
        <v>0.00519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HYPERLINK("http://141.218.60.56/~jnz1568/getInfo.php?workbook=18_08.xlsx&amp;sheet=U0&amp;row=3488&amp;col=6&amp;number=3.4&amp;sourceID=14","3.4")</f>
        <v>3.4</v>
      </c>
      <c r="G3488" s="4" t="str">
        <f>HYPERLINK("http://141.218.60.56/~jnz1568/getInfo.php?workbook=18_08.xlsx&amp;sheet=U0&amp;row=3488&amp;col=7&amp;number=0.00519&amp;sourceID=14","0.00519")</f>
        <v>0.00519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HYPERLINK("http://141.218.60.56/~jnz1568/getInfo.php?workbook=18_08.xlsx&amp;sheet=U0&amp;row=3489&amp;col=6&amp;number=3.5&amp;sourceID=14","3.5")</f>
        <v>3.5</v>
      </c>
      <c r="G3489" s="4" t="str">
        <f>HYPERLINK("http://141.218.60.56/~jnz1568/getInfo.php?workbook=18_08.xlsx&amp;sheet=U0&amp;row=3489&amp;col=7&amp;number=0.00519&amp;sourceID=14","0.00519")</f>
        <v>0.00519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HYPERLINK("http://141.218.60.56/~jnz1568/getInfo.php?workbook=18_08.xlsx&amp;sheet=U0&amp;row=3490&amp;col=6&amp;number=3.6&amp;sourceID=14","3.6")</f>
        <v>3.6</v>
      </c>
      <c r="G3490" s="4" t="str">
        <f>HYPERLINK("http://141.218.60.56/~jnz1568/getInfo.php?workbook=18_08.xlsx&amp;sheet=U0&amp;row=3490&amp;col=7&amp;number=0.00519&amp;sourceID=14","0.00519")</f>
        <v>0.00519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HYPERLINK("http://141.218.60.56/~jnz1568/getInfo.php?workbook=18_08.xlsx&amp;sheet=U0&amp;row=3491&amp;col=6&amp;number=3.7&amp;sourceID=14","3.7")</f>
        <v>3.7</v>
      </c>
      <c r="G3491" s="4" t="str">
        <f>HYPERLINK("http://141.218.60.56/~jnz1568/getInfo.php?workbook=18_08.xlsx&amp;sheet=U0&amp;row=3491&amp;col=7&amp;number=0.00519&amp;sourceID=14","0.00519")</f>
        <v>0.00519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HYPERLINK("http://141.218.60.56/~jnz1568/getInfo.php?workbook=18_08.xlsx&amp;sheet=U0&amp;row=3492&amp;col=6&amp;number=3.8&amp;sourceID=14","3.8")</f>
        <v>3.8</v>
      </c>
      <c r="G3492" s="4" t="str">
        <f>HYPERLINK("http://141.218.60.56/~jnz1568/getInfo.php?workbook=18_08.xlsx&amp;sheet=U0&amp;row=3492&amp;col=7&amp;number=0.00519&amp;sourceID=14","0.00519")</f>
        <v>0.00519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HYPERLINK("http://141.218.60.56/~jnz1568/getInfo.php?workbook=18_08.xlsx&amp;sheet=U0&amp;row=3493&amp;col=6&amp;number=3.9&amp;sourceID=14","3.9")</f>
        <v>3.9</v>
      </c>
      <c r="G3493" s="4" t="str">
        <f>HYPERLINK("http://141.218.60.56/~jnz1568/getInfo.php?workbook=18_08.xlsx&amp;sheet=U0&amp;row=3493&amp;col=7&amp;number=0.00518&amp;sourceID=14","0.00518")</f>
        <v>0.00518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HYPERLINK("http://141.218.60.56/~jnz1568/getInfo.php?workbook=18_08.xlsx&amp;sheet=U0&amp;row=3494&amp;col=6&amp;number=4&amp;sourceID=14","4")</f>
        <v>4</v>
      </c>
      <c r="G3494" s="4" t="str">
        <f>HYPERLINK("http://141.218.60.56/~jnz1568/getInfo.php?workbook=18_08.xlsx&amp;sheet=U0&amp;row=3494&amp;col=7&amp;number=0.00518&amp;sourceID=14","0.00518")</f>
        <v>0.00518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HYPERLINK("http://141.218.60.56/~jnz1568/getInfo.php?workbook=18_08.xlsx&amp;sheet=U0&amp;row=3495&amp;col=6&amp;number=4.1&amp;sourceID=14","4.1")</f>
        <v>4.1</v>
      </c>
      <c r="G3495" s="4" t="str">
        <f>HYPERLINK("http://141.218.60.56/~jnz1568/getInfo.php?workbook=18_08.xlsx&amp;sheet=U0&amp;row=3495&amp;col=7&amp;number=0.00518&amp;sourceID=14","0.00518")</f>
        <v>0.00518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HYPERLINK("http://141.218.60.56/~jnz1568/getInfo.php?workbook=18_08.xlsx&amp;sheet=U0&amp;row=3496&amp;col=6&amp;number=4.2&amp;sourceID=14","4.2")</f>
        <v>4.2</v>
      </c>
      <c r="G3496" s="4" t="str">
        <f>HYPERLINK("http://141.218.60.56/~jnz1568/getInfo.php?workbook=18_08.xlsx&amp;sheet=U0&amp;row=3496&amp;col=7&amp;number=0.00518&amp;sourceID=14","0.00518")</f>
        <v>0.00518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HYPERLINK("http://141.218.60.56/~jnz1568/getInfo.php?workbook=18_08.xlsx&amp;sheet=U0&amp;row=3497&amp;col=6&amp;number=4.3&amp;sourceID=14","4.3")</f>
        <v>4.3</v>
      </c>
      <c r="G3497" s="4" t="str">
        <f>HYPERLINK("http://141.218.60.56/~jnz1568/getInfo.php?workbook=18_08.xlsx&amp;sheet=U0&amp;row=3497&amp;col=7&amp;number=0.00518&amp;sourceID=14","0.00518")</f>
        <v>0.00518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HYPERLINK("http://141.218.60.56/~jnz1568/getInfo.php?workbook=18_08.xlsx&amp;sheet=U0&amp;row=3498&amp;col=6&amp;number=4.4&amp;sourceID=14","4.4")</f>
        <v>4.4</v>
      </c>
      <c r="G3498" s="4" t="str">
        <f>HYPERLINK("http://141.218.60.56/~jnz1568/getInfo.php?workbook=18_08.xlsx&amp;sheet=U0&amp;row=3498&amp;col=7&amp;number=0.00518&amp;sourceID=14","0.00518")</f>
        <v>0.00518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HYPERLINK("http://141.218.60.56/~jnz1568/getInfo.php?workbook=18_08.xlsx&amp;sheet=U0&amp;row=3499&amp;col=6&amp;number=4.5&amp;sourceID=14","4.5")</f>
        <v>4.5</v>
      </c>
      <c r="G3499" s="4" t="str">
        <f>HYPERLINK("http://141.218.60.56/~jnz1568/getInfo.php?workbook=18_08.xlsx&amp;sheet=U0&amp;row=3499&amp;col=7&amp;number=0.00518&amp;sourceID=14","0.00518")</f>
        <v>0.00518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HYPERLINK("http://141.218.60.56/~jnz1568/getInfo.php?workbook=18_08.xlsx&amp;sheet=U0&amp;row=3500&amp;col=6&amp;number=4.6&amp;sourceID=14","4.6")</f>
        <v>4.6</v>
      </c>
      <c r="G3500" s="4" t="str">
        <f>HYPERLINK("http://141.218.60.56/~jnz1568/getInfo.php?workbook=18_08.xlsx&amp;sheet=U0&amp;row=3500&amp;col=7&amp;number=0.00517&amp;sourceID=14","0.00517")</f>
        <v>0.00517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HYPERLINK("http://141.218.60.56/~jnz1568/getInfo.php?workbook=18_08.xlsx&amp;sheet=U0&amp;row=3501&amp;col=6&amp;number=4.7&amp;sourceID=14","4.7")</f>
        <v>4.7</v>
      </c>
      <c r="G3501" s="4" t="str">
        <f>HYPERLINK("http://141.218.60.56/~jnz1568/getInfo.php?workbook=18_08.xlsx&amp;sheet=U0&amp;row=3501&amp;col=7&amp;number=0.00517&amp;sourceID=14","0.00517")</f>
        <v>0.00517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HYPERLINK("http://141.218.60.56/~jnz1568/getInfo.php?workbook=18_08.xlsx&amp;sheet=U0&amp;row=3502&amp;col=6&amp;number=4.8&amp;sourceID=14","4.8")</f>
        <v>4.8</v>
      </c>
      <c r="G3502" s="4" t="str">
        <f>HYPERLINK("http://141.218.60.56/~jnz1568/getInfo.php?workbook=18_08.xlsx&amp;sheet=U0&amp;row=3502&amp;col=7&amp;number=0.00516&amp;sourceID=14","0.00516")</f>
        <v>0.00516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HYPERLINK("http://141.218.60.56/~jnz1568/getInfo.php?workbook=18_08.xlsx&amp;sheet=U0&amp;row=3503&amp;col=6&amp;number=4.9&amp;sourceID=14","4.9")</f>
        <v>4.9</v>
      </c>
      <c r="G3503" s="4" t="str">
        <f>HYPERLINK("http://141.218.60.56/~jnz1568/getInfo.php?workbook=18_08.xlsx&amp;sheet=U0&amp;row=3503&amp;col=7&amp;number=0.00516&amp;sourceID=14","0.00516")</f>
        <v>0.00516</v>
      </c>
    </row>
    <row r="3504" spans="1:7">
      <c r="A3504" s="3">
        <v>18</v>
      </c>
      <c r="B3504" s="3">
        <v>8</v>
      </c>
      <c r="C3504" s="3" t="s">
        <v>62</v>
      </c>
      <c r="D3504" s="3">
        <v>0</v>
      </c>
      <c r="E3504" s="3">
        <v>1</v>
      </c>
      <c r="F3504" s="4" t="str">
        <f>HYPERLINK("http://141.218.60.56/~jnz1568/getInfo.php?workbook=18_08.xlsx&amp;sheet=U0&amp;row=3504&amp;col=6&amp;number=3&amp;sourceID=14","3")</f>
        <v>3</v>
      </c>
      <c r="G3504" s="4" t="str">
        <f>HYPERLINK("http://141.218.60.56/~jnz1568/getInfo.php?workbook=18_08.xlsx&amp;sheet=U0&amp;row=3504&amp;col=7&amp;number=0.000122&amp;sourceID=14","0.000122")</f>
        <v>0.000122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HYPERLINK("http://141.218.60.56/~jnz1568/getInfo.php?workbook=18_08.xlsx&amp;sheet=U0&amp;row=3505&amp;col=6&amp;number=3.1&amp;sourceID=14","3.1")</f>
        <v>3.1</v>
      </c>
      <c r="G3505" s="4" t="str">
        <f>HYPERLINK("http://141.218.60.56/~jnz1568/getInfo.php?workbook=18_08.xlsx&amp;sheet=U0&amp;row=3505&amp;col=7&amp;number=0.000122&amp;sourceID=14","0.000122")</f>
        <v>0.000122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HYPERLINK("http://141.218.60.56/~jnz1568/getInfo.php?workbook=18_08.xlsx&amp;sheet=U0&amp;row=3506&amp;col=6&amp;number=3.2&amp;sourceID=14","3.2")</f>
        <v>3.2</v>
      </c>
      <c r="G3506" s="4" t="str">
        <f>HYPERLINK("http://141.218.60.56/~jnz1568/getInfo.php?workbook=18_08.xlsx&amp;sheet=U0&amp;row=3506&amp;col=7&amp;number=0.000122&amp;sourceID=14","0.000122")</f>
        <v>0.000122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HYPERLINK("http://141.218.60.56/~jnz1568/getInfo.php?workbook=18_08.xlsx&amp;sheet=U0&amp;row=3507&amp;col=6&amp;number=3.3&amp;sourceID=14","3.3")</f>
        <v>3.3</v>
      </c>
      <c r="G3507" s="4" t="str">
        <f>HYPERLINK("http://141.218.60.56/~jnz1568/getInfo.php?workbook=18_08.xlsx&amp;sheet=U0&amp;row=3507&amp;col=7&amp;number=0.000122&amp;sourceID=14","0.000122")</f>
        <v>0.000122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HYPERLINK("http://141.218.60.56/~jnz1568/getInfo.php?workbook=18_08.xlsx&amp;sheet=U0&amp;row=3508&amp;col=6&amp;number=3.4&amp;sourceID=14","3.4")</f>
        <v>3.4</v>
      </c>
      <c r="G3508" s="4" t="str">
        <f>HYPERLINK("http://141.218.60.56/~jnz1568/getInfo.php?workbook=18_08.xlsx&amp;sheet=U0&amp;row=3508&amp;col=7&amp;number=0.000122&amp;sourceID=14","0.000122")</f>
        <v>0.000122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HYPERLINK("http://141.218.60.56/~jnz1568/getInfo.php?workbook=18_08.xlsx&amp;sheet=U0&amp;row=3509&amp;col=6&amp;number=3.5&amp;sourceID=14","3.5")</f>
        <v>3.5</v>
      </c>
      <c r="G3509" s="4" t="str">
        <f>HYPERLINK("http://141.218.60.56/~jnz1568/getInfo.php?workbook=18_08.xlsx&amp;sheet=U0&amp;row=3509&amp;col=7&amp;number=0.000122&amp;sourceID=14","0.000122")</f>
        <v>0.000122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HYPERLINK("http://141.218.60.56/~jnz1568/getInfo.php?workbook=18_08.xlsx&amp;sheet=U0&amp;row=3510&amp;col=6&amp;number=3.6&amp;sourceID=14","3.6")</f>
        <v>3.6</v>
      </c>
      <c r="G3510" s="4" t="str">
        <f>HYPERLINK("http://141.218.60.56/~jnz1568/getInfo.php?workbook=18_08.xlsx&amp;sheet=U0&amp;row=3510&amp;col=7&amp;number=0.000122&amp;sourceID=14","0.000122")</f>
        <v>0.000122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HYPERLINK("http://141.218.60.56/~jnz1568/getInfo.php?workbook=18_08.xlsx&amp;sheet=U0&amp;row=3511&amp;col=6&amp;number=3.7&amp;sourceID=14","3.7")</f>
        <v>3.7</v>
      </c>
      <c r="G3511" s="4" t="str">
        <f>HYPERLINK("http://141.218.60.56/~jnz1568/getInfo.php?workbook=18_08.xlsx&amp;sheet=U0&amp;row=3511&amp;col=7&amp;number=0.000122&amp;sourceID=14","0.000122")</f>
        <v>0.000122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HYPERLINK("http://141.218.60.56/~jnz1568/getInfo.php?workbook=18_08.xlsx&amp;sheet=U0&amp;row=3512&amp;col=6&amp;number=3.8&amp;sourceID=14","3.8")</f>
        <v>3.8</v>
      </c>
      <c r="G3512" s="4" t="str">
        <f>HYPERLINK("http://141.218.60.56/~jnz1568/getInfo.php?workbook=18_08.xlsx&amp;sheet=U0&amp;row=3512&amp;col=7&amp;number=0.000122&amp;sourceID=14","0.000122")</f>
        <v>0.000122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HYPERLINK("http://141.218.60.56/~jnz1568/getInfo.php?workbook=18_08.xlsx&amp;sheet=U0&amp;row=3513&amp;col=6&amp;number=3.9&amp;sourceID=14","3.9")</f>
        <v>3.9</v>
      </c>
      <c r="G3513" s="4" t="str">
        <f>HYPERLINK("http://141.218.60.56/~jnz1568/getInfo.php?workbook=18_08.xlsx&amp;sheet=U0&amp;row=3513&amp;col=7&amp;number=0.000122&amp;sourceID=14","0.000122")</f>
        <v>0.000122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HYPERLINK("http://141.218.60.56/~jnz1568/getInfo.php?workbook=18_08.xlsx&amp;sheet=U0&amp;row=3514&amp;col=6&amp;number=4&amp;sourceID=14","4")</f>
        <v>4</v>
      </c>
      <c r="G3514" s="4" t="str">
        <f>HYPERLINK("http://141.218.60.56/~jnz1568/getInfo.php?workbook=18_08.xlsx&amp;sheet=U0&amp;row=3514&amp;col=7&amp;number=0.000122&amp;sourceID=14","0.000122")</f>
        <v>0.000122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HYPERLINK("http://141.218.60.56/~jnz1568/getInfo.php?workbook=18_08.xlsx&amp;sheet=U0&amp;row=3515&amp;col=6&amp;number=4.1&amp;sourceID=14","4.1")</f>
        <v>4.1</v>
      </c>
      <c r="G3515" s="4" t="str">
        <f>HYPERLINK("http://141.218.60.56/~jnz1568/getInfo.php?workbook=18_08.xlsx&amp;sheet=U0&amp;row=3515&amp;col=7&amp;number=0.000122&amp;sourceID=14","0.000122")</f>
        <v>0.000122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HYPERLINK("http://141.218.60.56/~jnz1568/getInfo.php?workbook=18_08.xlsx&amp;sheet=U0&amp;row=3516&amp;col=6&amp;number=4.2&amp;sourceID=14","4.2")</f>
        <v>4.2</v>
      </c>
      <c r="G3516" s="4" t="str">
        <f>HYPERLINK("http://141.218.60.56/~jnz1568/getInfo.php?workbook=18_08.xlsx&amp;sheet=U0&amp;row=3516&amp;col=7&amp;number=0.000122&amp;sourceID=14","0.000122")</f>
        <v>0.000122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HYPERLINK("http://141.218.60.56/~jnz1568/getInfo.php?workbook=18_08.xlsx&amp;sheet=U0&amp;row=3517&amp;col=6&amp;number=4.3&amp;sourceID=14","4.3")</f>
        <v>4.3</v>
      </c>
      <c r="G3517" s="4" t="str">
        <f>HYPERLINK("http://141.218.60.56/~jnz1568/getInfo.php?workbook=18_08.xlsx&amp;sheet=U0&amp;row=3517&amp;col=7&amp;number=0.000122&amp;sourceID=14","0.000122")</f>
        <v>0.000122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HYPERLINK("http://141.218.60.56/~jnz1568/getInfo.php?workbook=18_08.xlsx&amp;sheet=U0&amp;row=3518&amp;col=6&amp;number=4.4&amp;sourceID=14","4.4")</f>
        <v>4.4</v>
      </c>
      <c r="G3518" s="4" t="str">
        <f>HYPERLINK("http://141.218.60.56/~jnz1568/getInfo.php?workbook=18_08.xlsx&amp;sheet=U0&amp;row=3518&amp;col=7&amp;number=0.000122&amp;sourceID=14","0.000122")</f>
        <v>0.000122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HYPERLINK("http://141.218.60.56/~jnz1568/getInfo.php?workbook=18_08.xlsx&amp;sheet=U0&amp;row=3519&amp;col=6&amp;number=4.5&amp;sourceID=14","4.5")</f>
        <v>4.5</v>
      </c>
      <c r="G3519" s="4" t="str">
        <f>HYPERLINK("http://141.218.60.56/~jnz1568/getInfo.php?workbook=18_08.xlsx&amp;sheet=U0&amp;row=3519&amp;col=7&amp;number=0.000122&amp;sourceID=14","0.000122")</f>
        <v>0.000122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HYPERLINK("http://141.218.60.56/~jnz1568/getInfo.php?workbook=18_08.xlsx&amp;sheet=U0&amp;row=3520&amp;col=6&amp;number=4.6&amp;sourceID=14","4.6")</f>
        <v>4.6</v>
      </c>
      <c r="G3520" s="4" t="str">
        <f>HYPERLINK("http://141.218.60.56/~jnz1568/getInfo.php?workbook=18_08.xlsx&amp;sheet=U0&amp;row=3520&amp;col=7&amp;number=0.000122&amp;sourceID=14","0.000122")</f>
        <v>0.000122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HYPERLINK("http://141.218.60.56/~jnz1568/getInfo.php?workbook=18_08.xlsx&amp;sheet=U0&amp;row=3521&amp;col=6&amp;number=4.7&amp;sourceID=14","4.7")</f>
        <v>4.7</v>
      </c>
      <c r="G3521" s="4" t="str">
        <f>HYPERLINK("http://141.218.60.56/~jnz1568/getInfo.php?workbook=18_08.xlsx&amp;sheet=U0&amp;row=3521&amp;col=7&amp;number=0.000121&amp;sourceID=14","0.000121")</f>
        <v>0.000121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HYPERLINK("http://141.218.60.56/~jnz1568/getInfo.php?workbook=18_08.xlsx&amp;sheet=U0&amp;row=3522&amp;col=6&amp;number=4.8&amp;sourceID=14","4.8")</f>
        <v>4.8</v>
      </c>
      <c r="G3522" s="4" t="str">
        <f>HYPERLINK("http://141.218.60.56/~jnz1568/getInfo.php?workbook=18_08.xlsx&amp;sheet=U0&amp;row=3522&amp;col=7&amp;number=0.000121&amp;sourceID=14","0.000121")</f>
        <v>0.000121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HYPERLINK("http://141.218.60.56/~jnz1568/getInfo.php?workbook=18_08.xlsx&amp;sheet=U0&amp;row=3523&amp;col=6&amp;number=4.9&amp;sourceID=14","4.9")</f>
        <v>4.9</v>
      </c>
      <c r="G3523" s="4" t="str">
        <f>HYPERLINK("http://141.218.60.56/~jnz1568/getInfo.php?workbook=18_08.xlsx&amp;sheet=U0&amp;row=3523&amp;col=7&amp;number=0.000121&amp;sourceID=14","0.000121")</f>
        <v>0.000121</v>
      </c>
    </row>
    <row r="3524" spans="1:7">
      <c r="A3524" s="3">
        <v>18</v>
      </c>
      <c r="B3524" s="3">
        <v>8</v>
      </c>
      <c r="C3524" s="3" t="s">
        <v>62</v>
      </c>
      <c r="D3524" s="3">
        <v>1</v>
      </c>
      <c r="E3524" s="3">
        <v>1</v>
      </c>
      <c r="F3524" s="4" t="str">
        <f>HYPERLINK("http://141.218.60.56/~jnz1568/getInfo.php?workbook=18_08.xlsx&amp;sheet=U0&amp;row=3524&amp;col=6&amp;number=3&amp;sourceID=14","3")</f>
        <v>3</v>
      </c>
      <c r="G3524" s="4" t="str">
        <f>HYPERLINK("http://141.218.60.56/~jnz1568/getInfo.php?workbook=18_08.xlsx&amp;sheet=U0&amp;row=3524&amp;col=7&amp;number=0.00151&amp;sourceID=14","0.00151")</f>
        <v>0.00151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HYPERLINK("http://141.218.60.56/~jnz1568/getInfo.php?workbook=18_08.xlsx&amp;sheet=U0&amp;row=3525&amp;col=6&amp;number=3.1&amp;sourceID=14","3.1")</f>
        <v>3.1</v>
      </c>
      <c r="G3525" s="4" t="str">
        <f>HYPERLINK("http://141.218.60.56/~jnz1568/getInfo.php?workbook=18_08.xlsx&amp;sheet=U0&amp;row=3525&amp;col=7&amp;number=0.00151&amp;sourceID=14","0.00151")</f>
        <v>0.00151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HYPERLINK("http://141.218.60.56/~jnz1568/getInfo.php?workbook=18_08.xlsx&amp;sheet=U0&amp;row=3526&amp;col=6&amp;number=3.2&amp;sourceID=14","3.2")</f>
        <v>3.2</v>
      </c>
      <c r="G3526" s="4" t="str">
        <f>HYPERLINK("http://141.218.60.56/~jnz1568/getInfo.php?workbook=18_08.xlsx&amp;sheet=U0&amp;row=3526&amp;col=7&amp;number=0.00151&amp;sourceID=14","0.00151")</f>
        <v>0.00151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HYPERLINK("http://141.218.60.56/~jnz1568/getInfo.php?workbook=18_08.xlsx&amp;sheet=U0&amp;row=3527&amp;col=6&amp;number=3.3&amp;sourceID=14","3.3")</f>
        <v>3.3</v>
      </c>
      <c r="G3527" s="4" t="str">
        <f>HYPERLINK("http://141.218.60.56/~jnz1568/getInfo.php?workbook=18_08.xlsx&amp;sheet=U0&amp;row=3527&amp;col=7&amp;number=0.00151&amp;sourceID=14","0.00151")</f>
        <v>0.00151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HYPERLINK("http://141.218.60.56/~jnz1568/getInfo.php?workbook=18_08.xlsx&amp;sheet=U0&amp;row=3528&amp;col=6&amp;number=3.4&amp;sourceID=14","3.4")</f>
        <v>3.4</v>
      </c>
      <c r="G3528" s="4" t="str">
        <f>HYPERLINK("http://141.218.60.56/~jnz1568/getInfo.php?workbook=18_08.xlsx&amp;sheet=U0&amp;row=3528&amp;col=7&amp;number=0.00151&amp;sourceID=14","0.00151")</f>
        <v>0.00151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HYPERLINK("http://141.218.60.56/~jnz1568/getInfo.php?workbook=18_08.xlsx&amp;sheet=U0&amp;row=3529&amp;col=6&amp;number=3.5&amp;sourceID=14","3.5")</f>
        <v>3.5</v>
      </c>
      <c r="G3529" s="4" t="str">
        <f>HYPERLINK("http://141.218.60.56/~jnz1568/getInfo.php?workbook=18_08.xlsx&amp;sheet=U0&amp;row=3529&amp;col=7&amp;number=0.00151&amp;sourceID=14","0.00151")</f>
        <v>0.00151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HYPERLINK("http://141.218.60.56/~jnz1568/getInfo.php?workbook=18_08.xlsx&amp;sheet=U0&amp;row=3530&amp;col=6&amp;number=3.6&amp;sourceID=14","3.6")</f>
        <v>3.6</v>
      </c>
      <c r="G3530" s="4" t="str">
        <f>HYPERLINK("http://141.218.60.56/~jnz1568/getInfo.php?workbook=18_08.xlsx&amp;sheet=U0&amp;row=3530&amp;col=7&amp;number=0.00151&amp;sourceID=14","0.00151")</f>
        <v>0.00151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HYPERLINK("http://141.218.60.56/~jnz1568/getInfo.php?workbook=18_08.xlsx&amp;sheet=U0&amp;row=3531&amp;col=6&amp;number=3.7&amp;sourceID=14","3.7")</f>
        <v>3.7</v>
      </c>
      <c r="G3531" s="4" t="str">
        <f>HYPERLINK("http://141.218.60.56/~jnz1568/getInfo.php?workbook=18_08.xlsx&amp;sheet=U0&amp;row=3531&amp;col=7&amp;number=0.00151&amp;sourceID=14","0.00151")</f>
        <v>0.00151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HYPERLINK("http://141.218.60.56/~jnz1568/getInfo.php?workbook=18_08.xlsx&amp;sheet=U0&amp;row=3532&amp;col=6&amp;number=3.8&amp;sourceID=14","3.8")</f>
        <v>3.8</v>
      </c>
      <c r="G3532" s="4" t="str">
        <f>HYPERLINK("http://141.218.60.56/~jnz1568/getInfo.php?workbook=18_08.xlsx&amp;sheet=U0&amp;row=3532&amp;col=7&amp;number=0.00151&amp;sourceID=14","0.00151")</f>
        <v>0.00151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HYPERLINK("http://141.218.60.56/~jnz1568/getInfo.php?workbook=18_08.xlsx&amp;sheet=U0&amp;row=3533&amp;col=6&amp;number=3.9&amp;sourceID=14","3.9")</f>
        <v>3.9</v>
      </c>
      <c r="G3533" s="4" t="str">
        <f>HYPERLINK("http://141.218.60.56/~jnz1568/getInfo.php?workbook=18_08.xlsx&amp;sheet=U0&amp;row=3533&amp;col=7&amp;number=0.00151&amp;sourceID=14","0.00151")</f>
        <v>0.00151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HYPERLINK("http://141.218.60.56/~jnz1568/getInfo.php?workbook=18_08.xlsx&amp;sheet=U0&amp;row=3534&amp;col=6&amp;number=4&amp;sourceID=14","4")</f>
        <v>4</v>
      </c>
      <c r="G3534" s="4" t="str">
        <f>HYPERLINK("http://141.218.60.56/~jnz1568/getInfo.php?workbook=18_08.xlsx&amp;sheet=U0&amp;row=3534&amp;col=7&amp;number=0.00151&amp;sourceID=14","0.00151")</f>
        <v>0.00151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HYPERLINK("http://141.218.60.56/~jnz1568/getInfo.php?workbook=18_08.xlsx&amp;sheet=U0&amp;row=3535&amp;col=6&amp;number=4.1&amp;sourceID=14","4.1")</f>
        <v>4.1</v>
      </c>
      <c r="G3535" s="4" t="str">
        <f>HYPERLINK("http://141.218.60.56/~jnz1568/getInfo.php?workbook=18_08.xlsx&amp;sheet=U0&amp;row=3535&amp;col=7&amp;number=0.00151&amp;sourceID=14","0.00151")</f>
        <v>0.00151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HYPERLINK("http://141.218.60.56/~jnz1568/getInfo.php?workbook=18_08.xlsx&amp;sheet=U0&amp;row=3536&amp;col=6&amp;number=4.2&amp;sourceID=14","4.2")</f>
        <v>4.2</v>
      </c>
      <c r="G3536" s="4" t="str">
        <f>HYPERLINK("http://141.218.60.56/~jnz1568/getInfo.php?workbook=18_08.xlsx&amp;sheet=U0&amp;row=3536&amp;col=7&amp;number=0.00151&amp;sourceID=14","0.00151")</f>
        <v>0.00151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HYPERLINK("http://141.218.60.56/~jnz1568/getInfo.php?workbook=18_08.xlsx&amp;sheet=U0&amp;row=3537&amp;col=6&amp;number=4.3&amp;sourceID=14","4.3")</f>
        <v>4.3</v>
      </c>
      <c r="G3537" s="4" t="str">
        <f>HYPERLINK("http://141.218.60.56/~jnz1568/getInfo.php?workbook=18_08.xlsx&amp;sheet=U0&amp;row=3537&amp;col=7&amp;number=0.00151&amp;sourceID=14","0.00151")</f>
        <v>0.00151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HYPERLINK("http://141.218.60.56/~jnz1568/getInfo.php?workbook=18_08.xlsx&amp;sheet=U0&amp;row=3538&amp;col=6&amp;number=4.4&amp;sourceID=14","4.4")</f>
        <v>4.4</v>
      </c>
      <c r="G3538" s="4" t="str">
        <f>HYPERLINK("http://141.218.60.56/~jnz1568/getInfo.php?workbook=18_08.xlsx&amp;sheet=U0&amp;row=3538&amp;col=7&amp;number=0.00151&amp;sourceID=14","0.00151")</f>
        <v>0.00151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HYPERLINK("http://141.218.60.56/~jnz1568/getInfo.php?workbook=18_08.xlsx&amp;sheet=U0&amp;row=3539&amp;col=6&amp;number=4.5&amp;sourceID=14","4.5")</f>
        <v>4.5</v>
      </c>
      <c r="G3539" s="4" t="str">
        <f>HYPERLINK("http://141.218.60.56/~jnz1568/getInfo.php?workbook=18_08.xlsx&amp;sheet=U0&amp;row=3539&amp;col=7&amp;number=0.0015&amp;sourceID=14","0.0015")</f>
        <v>0.0015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HYPERLINK("http://141.218.60.56/~jnz1568/getInfo.php?workbook=18_08.xlsx&amp;sheet=U0&amp;row=3540&amp;col=6&amp;number=4.6&amp;sourceID=14","4.6")</f>
        <v>4.6</v>
      </c>
      <c r="G3540" s="4" t="str">
        <f>HYPERLINK("http://141.218.60.56/~jnz1568/getInfo.php?workbook=18_08.xlsx&amp;sheet=U0&amp;row=3540&amp;col=7&amp;number=0.0015&amp;sourceID=14","0.0015")</f>
        <v>0.0015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HYPERLINK("http://141.218.60.56/~jnz1568/getInfo.php?workbook=18_08.xlsx&amp;sheet=U0&amp;row=3541&amp;col=6&amp;number=4.7&amp;sourceID=14","4.7")</f>
        <v>4.7</v>
      </c>
      <c r="G3541" s="4" t="str">
        <f>HYPERLINK("http://141.218.60.56/~jnz1568/getInfo.php?workbook=18_08.xlsx&amp;sheet=U0&amp;row=3541&amp;col=7&amp;number=0.0015&amp;sourceID=14","0.0015")</f>
        <v>0.0015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HYPERLINK("http://141.218.60.56/~jnz1568/getInfo.php?workbook=18_08.xlsx&amp;sheet=U0&amp;row=3542&amp;col=6&amp;number=4.8&amp;sourceID=14","4.8")</f>
        <v>4.8</v>
      </c>
      <c r="G3542" s="4" t="str">
        <f>HYPERLINK("http://141.218.60.56/~jnz1568/getInfo.php?workbook=18_08.xlsx&amp;sheet=U0&amp;row=3542&amp;col=7&amp;number=0.00149&amp;sourceID=14","0.00149")</f>
        <v>0.00149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HYPERLINK("http://141.218.60.56/~jnz1568/getInfo.php?workbook=18_08.xlsx&amp;sheet=U0&amp;row=3543&amp;col=6&amp;number=4.9&amp;sourceID=14","4.9")</f>
        <v>4.9</v>
      </c>
      <c r="G3543" s="4" t="str">
        <f>HYPERLINK("http://141.218.60.56/~jnz1568/getInfo.php?workbook=18_08.xlsx&amp;sheet=U0&amp;row=3543&amp;col=7&amp;number=0.00149&amp;sourceID=14","0.00149")</f>
        <v>0.00149</v>
      </c>
    </row>
    <row r="3544" spans="1:7">
      <c r="A3544" s="3">
        <v>18</v>
      </c>
      <c r="B3544" s="3">
        <v>8</v>
      </c>
      <c r="C3544" s="3" t="s">
        <v>62</v>
      </c>
      <c r="D3544" s="3">
        <v>2</v>
      </c>
      <c r="E3544" s="3">
        <v>1</v>
      </c>
      <c r="F3544" s="4" t="str">
        <f>HYPERLINK("http://141.218.60.56/~jnz1568/getInfo.php?workbook=18_08.xlsx&amp;sheet=U0&amp;row=3544&amp;col=6&amp;number=3&amp;sourceID=14","3")</f>
        <v>3</v>
      </c>
      <c r="G3544" s="4" t="str">
        <f>HYPERLINK("http://141.218.60.56/~jnz1568/getInfo.php?workbook=18_08.xlsx&amp;sheet=U0&amp;row=3544&amp;col=7&amp;number=0.0011&amp;sourceID=14","0.0011")</f>
        <v>0.0011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HYPERLINK("http://141.218.60.56/~jnz1568/getInfo.php?workbook=18_08.xlsx&amp;sheet=U0&amp;row=3545&amp;col=6&amp;number=3.1&amp;sourceID=14","3.1")</f>
        <v>3.1</v>
      </c>
      <c r="G3545" s="4" t="str">
        <f>HYPERLINK("http://141.218.60.56/~jnz1568/getInfo.php?workbook=18_08.xlsx&amp;sheet=U0&amp;row=3545&amp;col=7&amp;number=0.0011&amp;sourceID=14","0.0011")</f>
        <v>0.0011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HYPERLINK("http://141.218.60.56/~jnz1568/getInfo.php?workbook=18_08.xlsx&amp;sheet=U0&amp;row=3546&amp;col=6&amp;number=3.2&amp;sourceID=14","3.2")</f>
        <v>3.2</v>
      </c>
      <c r="G3546" s="4" t="str">
        <f>HYPERLINK("http://141.218.60.56/~jnz1568/getInfo.php?workbook=18_08.xlsx&amp;sheet=U0&amp;row=3546&amp;col=7&amp;number=0.0011&amp;sourceID=14","0.0011")</f>
        <v>0.0011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HYPERLINK("http://141.218.60.56/~jnz1568/getInfo.php?workbook=18_08.xlsx&amp;sheet=U0&amp;row=3547&amp;col=6&amp;number=3.3&amp;sourceID=14","3.3")</f>
        <v>3.3</v>
      </c>
      <c r="G3547" s="4" t="str">
        <f>HYPERLINK("http://141.218.60.56/~jnz1568/getInfo.php?workbook=18_08.xlsx&amp;sheet=U0&amp;row=3547&amp;col=7&amp;number=0.0011&amp;sourceID=14","0.0011")</f>
        <v>0.0011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HYPERLINK("http://141.218.60.56/~jnz1568/getInfo.php?workbook=18_08.xlsx&amp;sheet=U0&amp;row=3548&amp;col=6&amp;number=3.4&amp;sourceID=14","3.4")</f>
        <v>3.4</v>
      </c>
      <c r="G3548" s="4" t="str">
        <f>HYPERLINK("http://141.218.60.56/~jnz1568/getInfo.php?workbook=18_08.xlsx&amp;sheet=U0&amp;row=3548&amp;col=7&amp;number=0.0011&amp;sourceID=14","0.0011")</f>
        <v>0.0011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HYPERLINK("http://141.218.60.56/~jnz1568/getInfo.php?workbook=18_08.xlsx&amp;sheet=U0&amp;row=3549&amp;col=6&amp;number=3.5&amp;sourceID=14","3.5")</f>
        <v>3.5</v>
      </c>
      <c r="G3549" s="4" t="str">
        <f>HYPERLINK("http://141.218.60.56/~jnz1568/getInfo.php?workbook=18_08.xlsx&amp;sheet=U0&amp;row=3549&amp;col=7&amp;number=0.0011&amp;sourceID=14","0.0011")</f>
        <v>0.0011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HYPERLINK("http://141.218.60.56/~jnz1568/getInfo.php?workbook=18_08.xlsx&amp;sheet=U0&amp;row=3550&amp;col=6&amp;number=3.6&amp;sourceID=14","3.6")</f>
        <v>3.6</v>
      </c>
      <c r="G3550" s="4" t="str">
        <f>HYPERLINK("http://141.218.60.56/~jnz1568/getInfo.php?workbook=18_08.xlsx&amp;sheet=U0&amp;row=3550&amp;col=7&amp;number=0.0011&amp;sourceID=14","0.0011")</f>
        <v>0.0011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HYPERLINK("http://141.218.60.56/~jnz1568/getInfo.php?workbook=18_08.xlsx&amp;sheet=U0&amp;row=3551&amp;col=6&amp;number=3.7&amp;sourceID=14","3.7")</f>
        <v>3.7</v>
      </c>
      <c r="G3551" s="4" t="str">
        <f>HYPERLINK("http://141.218.60.56/~jnz1568/getInfo.php?workbook=18_08.xlsx&amp;sheet=U0&amp;row=3551&amp;col=7&amp;number=0.0011&amp;sourceID=14","0.0011")</f>
        <v>0.0011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HYPERLINK("http://141.218.60.56/~jnz1568/getInfo.php?workbook=18_08.xlsx&amp;sheet=U0&amp;row=3552&amp;col=6&amp;number=3.8&amp;sourceID=14","3.8")</f>
        <v>3.8</v>
      </c>
      <c r="G3552" s="4" t="str">
        <f>HYPERLINK("http://141.218.60.56/~jnz1568/getInfo.php?workbook=18_08.xlsx&amp;sheet=U0&amp;row=3552&amp;col=7&amp;number=0.00111&amp;sourceID=14","0.00111")</f>
        <v>0.00111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HYPERLINK("http://141.218.60.56/~jnz1568/getInfo.php?workbook=18_08.xlsx&amp;sheet=U0&amp;row=3553&amp;col=6&amp;number=3.9&amp;sourceID=14","3.9")</f>
        <v>3.9</v>
      </c>
      <c r="G3553" s="4" t="str">
        <f>HYPERLINK("http://141.218.60.56/~jnz1568/getInfo.php?workbook=18_08.xlsx&amp;sheet=U0&amp;row=3553&amp;col=7&amp;number=0.00111&amp;sourceID=14","0.00111")</f>
        <v>0.00111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HYPERLINK("http://141.218.60.56/~jnz1568/getInfo.php?workbook=18_08.xlsx&amp;sheet=U0&amp;row=3554&amp;col=6&amp;number=4&amp;sourceID=14","4")</f>
        <v>4</v>
      </c>
      <c r="G3554" s="4" t="str">
        <f>HYPERLINK("http://141.218.60.56/~jnz1568/getInfo.php?workbook=18_08.xlsx&amp;sheet=U0&amp;row=3554&amp;col=7&amp;number=0.00111&amp;sourceID=14","0.00111")</f>
        <v>0.00111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HYPERLINK("http://141.218.60.56/~jnz1568/getInfo.php?workbook=18_08.xlsx&amp;sheet=U0&amp;row=3555&amp;col=6&amp;number=4.1&amp;sourceID=14","4.1")</f>
        <v>4.1</v>
      </c>
      <c r="G3555" s="4" t="str">
        <f>HYPERLINK("http://141.218.60.56/~jnz1568/getInfo.php?workbook=18_08.xlsx&amp;sheet=U0&amp;row=3555&amp;col=7&amp;number=0.00111&amp;sourceID=14","0.00111")</f>
        <v>0.00111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HYPERLINK("http://141.218.60.56/~jnz1568/getInfo.php?workbook=18_08.xlsx&amp;sheet=U0&amp;row=3556&amp;col=6&amp;number=4.2&amp;sourceID=14","4.2")</f>
        <v>4.2</v>
      </c>
      <c r="G3556" s="4" t="str">
        <f>HYPERLINK("http://141.218.60.56/~jnz1568/getInfo.php?workbook=18_08.xlsx&amp;sheet=U0&amp;row=3556&amp;col=7&amp;number=0.00111&amp;sourceID=14","0.00111")</f>
        <v>0.00111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HYPERLINK("http://141.218.60.56/~jnz1568/getInfo.php?workbook=18_08.xlsx&amp;sheet=U0&amp;row=3557&amp;col=6&amp;number=4.3&amp;sourceID=14","4.3")</f>
        <v>4.3</v>
      </c>
      <c r="G3557" s="4" t="str">
        <f>HYPERLINK("http://141.218.60.56/~jnz1568/getInfo.php?workbook=18_08.xlsx&amp;sheet=U0&amp;row=3557&amp;col=7&amp;number=0.00112&amp;sourceID=14","0.00112")</f>
        <v>0.00112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HYPERLINK("http://141.218.60.56/~jnz1568/getInfo.php?workbook=18_08.xlsx&amp;sheet=U0&amp;row=3558&amp;col=6&amp;number=4.4&amp;sourceID=14","4.4")</f>
        <v>4.4</v>
      </c>
      <c r="G3558" s="4" t="str">
        <f>HYPERLINK("http://141.218.60.56/~jnz1568/getInfo.php?workbook=18_08.xlsx&amp;sheet=U0&amp;row=3558&amp;col=7&amp;number=0.00112&amp;sourceID=14","0.00112")</f>
        <v>0.00112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HYPERLINK("http://141.218.60.56/~jnz1568/getInfo.php?workbook=18_08.xlsx&amp;sheet=U0&amp;row=3559&amp;col=6&amp;number=4.5&amp;sourceID=14","4.5")</f>
        <v>4.5</v>
      </c>
      <c r="G3559" s="4" t="str">
        <f>HYPERLINK("http://141.218.60.56/~jnz1568/getInfo.php?workbook=18_08.xlsx&amp;sheet=U0&amp;row=3559&amp;col=7&amp;number=0.00113&amp;sourceID=14","0.00113")</f>
        <v>0.00113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HYPERLINK("http://141.218.60.56/~jnz1568/getInfo.php?workbook=18_08.xlsx&amp;sheet=U0&amp;row=3560&amp;col=6&amp;number=4.6&amp;sourceID=14","4.6")</f>
        <v>4.6</v>
      </c>
      <c r="G3560" s="4" t="str">
        <f>HYPERLINK("http://141.218.60.56/~jnz1568/getInfo.php?workbook=18_08.xlsx&amp;sheet=U0&amp;row=3560&amp;col=7&amp;number=0.00113&amp;sourceID=14","0.00113")</f>
        <v>0.00113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HYPERLINK("http://141.218.60.56/~jnz1568/getInfo.php?workbook=18_08.xlsx&amp;sheet=U0&amp;row=3561&amp;col=6&amp;number=4.7&amp;sourceID=14","4.7")</f>
        <v>4.7</v>
      </c>
      <c r="G3561" s="4" t="str">
        <f>HYPERLINK("http://141.218.60.56/~jnz1568/getInfo.php?workbook=18_08.xlsx&amp;sheet=U0&amp;row=3561&amp;col=7&amp;number=0.00114&amp;sourceID=14","0.00114")</f>
        <v>0.00114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HYPERLINK("http://141.218.60.56/~jnz1568/getInfo.php?workbook=18_08.xlsx&amp;sheet=U0&amp;row=3562&amp;col=6&amp;number=4.8&amp;sourceID=14","4.8")</f>
        <v>4.8</v>
      </c>
      <c r="G3562" s="4" t="str">
        <f>HYPERLINK("http://141.218.60.56/~jnz1568/getInfo.php?workbook=18_08.xlsx&amp;sheet=U0&amp;row=3562&amp;col=7&amp;number=0.00115&amp;sourceID=14","0.00115")</f>
        <v>0.00115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HYPERLINK("http://141.218.60.56/~jnz1568/getInfo.php?workbook=18_08.xlsx&amp;sheet=U0&amp;row=3563&amp;col=6&amp;number=4.9&amp;sourceID=14","4.9")</f>
        <v>4.9</v>
      </c>
      <c r="G3563" s="4" t="str">
        <f>HYPERLINK("http://141.218.60.56/~jnz1568/getInfo.php?workbook=18_08.xlsx&amp;sheet=U0&amp;row=3563&amp;col=7&amp;number=0.00116&amp;sourceID=14","0.00116")</f>
        <v>0.00116</v>
      </c>
    </row>
    <row r="3564" spans="1:7">
      <c r="A3564" s="3">
        <v>18</v>
      </c>
      <c r="B3564" s="3">
        <v>8</v>
      </c>
      <c r="C3564" s="3" t="s">
        <v>62</v>
      </c>
      <c r="D3564" s="3">
        <v>3</v>
      </c>
      <c r="E3564" s="3">
        <v>1</v>
      </c>
      <c r="F3564" s="4" t="str">
        <f>HYPERLINK("http://141.218.60.56/~jnz1568/getInfo.php?workbook=18_08.xlsx&amp;sheet=U0&amp;row=3564&amp;col=6&amp;number=3&amp;sourceID=14","3")</f>
        <v>3</v>
      </c>
      <c r="G3564" s="4" t="str">
        <f>HYPERLINK("http://141.218.60.56/~jnz1568/getInfo.php?workbook=18_08.xlsx&amp;sheet=U0&amp;row=3564&amp;col=7&amp;number=0.00123&amp;sourceID=14","0.00123")</f>
        <v>0.00123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HYPERLINK("http://141.218.60.56/~jnz1568/getInfo.php?workbook=18_08.xlsx&amp;sheet=U0&amp;row=3565&amp;col=6&amp;number=3.1&amp;sourceID=14","3.1")</f>
        <v>3.1</v>
      </c>
      <c r="G3565" s="4" t="str">
        <f>HYPERLINK("http://141.218.60.56/~jnz1568/getInfo.php?workbook=18_08.xlsx&amp;sheet=U0&amp;row=3565&amp;col=7&amp;number=0.00123&amp;sourceID=14","0.00123")</f>
        <v>0.00123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HYPERLINK("http://141.218.60.56/~jnz1568/getInfo.php?workbook=18_08.xlsx&amp;sheet=U0&amp;row=3566&amp;col=6&amp;number=3.2&amp;sourceID=14","3.2")</f>
        <v>3.2</v>
      </c>
      <c r="G3566" s="4" t="str">
        <f>HYPERLINK("http://141.218.60.56/~jnz1568/getInfo.php?workbook=18_08.xlsx&amp;sheet=U0&amp;row=3566&amp;col=7&amp;number=0.00123&amp;sourceID=14","0.00123")</f>
        <v>0.00123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HYPERLINK("http://141.218.60.56/~jnz1568/getInfo.php?workbook=18_08.xlsx&amp;sheet=U0&amp;row=3567&amp;col=6&amp;number=3.3&amp;sourceID=14","3.3")</f>
        <v>3.3</v>
      </c>
      <c r="G3567" s="4" t="str">
        <f>HYPERLINK("http://141.218.60.56/~jnz1568/getInfo.php?workbook=18_08.xlsx&amp;sheet=U0&amp;row=3567&amp;col=7&amp;number=0.00123&amp;sourceID=14","0.00123")</f>
        <v>0.00123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HYPERLINK("http://141.218.60.56/~jnz1568/getInfo.php?workbook=18_08.xlsx&amp;sheet=U0&amp;row=3568&amp;col=6&amp;number=3.4&amp;sourceID=14","3.4")</f>
        <v>3.4</v>
      </c>
      <c r="G3568" s="4" t="str">
        <f>HYPERLINK("http://141.218.60.56/~jnz1568/getInfo.php?workbook=18_08.xlsx&amp;sheet=U0&amp;row=3568&amp;col=7&amp;number=0.00123&amp;sourceID=14","0.00123")</f>
        <v>0.00123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HYPERLINK("http://141.218.60.56/~jnz1568/getInfo.php?workbook=18_08.xlsx&amp;sheet=U0&amp;row=3569&amp;col=6&amp;number=3.5&amp;sourceID=14","3.5")</f>
        <v>3.5</v>
      </c>
      <c r="G3569" s="4" t="str">
        <f>HYPERLINK("http://141.218.60.56/~jnz1568/getInfo.php?workbook=18_08.xlsx&amp;sheet=U0&amp;row=3569&amp;col=7&amp;number=0.00123&amp;sourceID=14","0.00123")</f>
        <v>0.00123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HYPERLINK("http://141.218.60.56/~jnz1568/getInfo.php?workbook=18_08.xlsx&amp;sheet=U0&amp;row=3570&amp;col=6&amp;number=3.6&amp;sourceID=14","3.6")</f>
        <v>3.6</v>
      </c>
      <c r="G3570" s="4" t="str">
        <f>HYPERLINK("http://141.218.60.56/~jnz1568/getInfo.php?workbook=18_08.xlsx&amp;sheet=U0&amp;row=3570&amp;col=7&amp;number=0.00124&amp;sourceID=14","0.00124")</f>
        <v>0.00124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HYPERLINK("http://141.218.60.56/~jnz1568/getInfo.php?workbook=18_08.xlsx&amp;sheet=U0&amp;row=3571&amp;col=6&amp;number=3.7&amp;sourceID=14","3.7")</f>
        <v>3.7</v>
      </c>
      <c r="G3571" s="4" t="str">
        <f>HYPERLINK("http://141.218.60.56/~jnz1568/getInfo.php?workbook=18_08.xlsx&amp;sheet=U0&amp;row=3571&amp;col=7&amp;number=0.00124&amp;sourceID=14","0.00124")</f>
        <v>0.00124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HYPERLINK("http://141.218.60.56/~jnz1568/getInfo.php?workbook=18_08.xlsx&amp;sheet=U0&amp;row=3572&amp;col=6&amp;number=3.8&amp;sourceID=14","3.8")</f>
        <v>3.8</v>
      </c>
      <c r="G3572" s="4" t="str">
        <f>HYPERLINK("http://141.218.60.56/~jnz1568/getInfo.php?workbook=18_08.xlsx&amp;sheet=U0&amp;row=3572&amp;col=7&amp;number=0.00124&amp;sourceID=14","0.00124")</f>
        <v>0.00124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HYPERLINK("http://141.218.60.56/~jnz1568/getInfo.php?workbook=18_08.xlsx&amp;sheet=U0&amp;row=3573&amp;col=6&amp;number=3.9&amp;sourceID=14","3.9")</f>
        <v>3.9</v>
      </c>
      <c r="G3573" s="4" t="str">
        <f>HYPERLINK("http://141.218.60.56/~jnz1568/getInfo.php?workbook=18_08.xlsx&amp;sheet=U0&amp;row=3573&amp;col=7&amp;number=0.00124&amp;sourceID=14","0.00124")</f>
        <v>0.00124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HYPERLINK("http://141.218.60.56/~jnz1568/getInfo.php?workbook=18_08.xlsx&amp;sheet=U0&amp;row=3574&amp;col=6&amp;number=4&amp;sourceID=14","4")</f>
        <v>4</v>
      </c>
      <c r="G3574" s="4" t="str">
        <f>HYPERLINK("http://141.218.60.56/~jnz1568/getInfo.php?workbook=18_08.xlsx&amp;sheet=U0&amp;row=3574&amp;col=7&amp;number=0.00124&amp;sourceID=14","0.00124")</f>
        <v>0.00124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HYPERLINK("http://141.218.60.56/~jnz1568/getInfo.php?workbook=18_08.xlsx&amp;sheet=U0&amp;row=3575&amp;col=6&amp;number=4.1&amp;sourceID=14","4.1")</f>
        <v>4.1</v>
      </c>
      <c r="G3575" s="4" t="str">
        <f>HYPERLINK("http://141.218.60.56/~jnz1568/getInfo.php?workbook=18_08.xlsx&amp;sheet=U0&amp;row=3575&amp;col=7&amp;number=0.00124&amp;sourceID=14","0.00124")</f>
        <v>0.00124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HYPERLINK("http://141.218.60.56/~jnz1568/getInfo.php?workbook=18_08.xlsx&amp;sheet=U0&amp;row=3576&amp;col=6&amp;number=4.2&amp;sourceID=14","4.2")</f>
        <v>4.2</v>
      </c>
      <c r="G3576" s="4" t="str">
        <f>HYPERLINK("http://141.218.60.56/~jnz1568/getInfo.php?workbook=18_08.xlsx&amp;sheet=U0&amp;row=3576&amp;col=7&amp;number=0.00124&amp;sourceID=14","0.00124")</f>
        <v>0.00124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HYPERLINK("http://141.218.60.56/~jnz1568/getInfo.php?workbook=18_08.xlsx&amp;sheet=U0&amp;row=3577&amp;col=6&amp;number=4.3&amp;sourceID=14","4.3")</f>
        <v>4.3</v>
      </c>
      <c r="G3577" s="4" t="str">
        <f>HYPERLINK("http://141.218.60.56/~jnz1568/getInfo.php?workbook=18_08.xlsx&amp;sheet=U0&amp;row=3577&amp;col=7&amp;number=0.00125&amp;sourceID=14","0.00125")</f>
        <v>0.00125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HYPERLINK("http://141.218.60.56/~jnz1568/getInfo.php?workbook=18_08.xlsx&amp;sheet=U0&amp;row=3578&amp;col=6&amp;number=4.4&amp;sourceID=14","4.4")</f>
        <v>4.4</v>
      </c>
      <c r="G3578" s="4" t="str">
        <f>HYPERLINK("http://141.218.60.56/~jnz1568/getInfo.php?workbook=18_08.xlsx&amp;sheet=U0&amp;row=3578&amp;col=7&amp;number=0.00125&amp;sourceID=14","0.00125")</f>
        <v>0.00125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HYPERLINK("http://141.218.60.56/~jnz1568/getInfo.php?workbook=18_08.xlsx&amp;sheet=U0&amp;row=3579&amp;col=6&amp;number=4.5&amp;sourceID=14","4.5")</f>
        <v>4.5</v>
      </c>
      <c r="G3579" s="4" t="str">
        <f>HYPERLINK("http://141.218.60.56/~jnz1568/getInfo.php?workbook=18_08.xlsx&amp;sheet=U0&amp;row=3579&amp;col=7&amp;number=0.00126&amp;sourceID=14","0.00126")</f>
        <v>0.00126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HYPERLINK("http://141.218.60.56/~jnz1568/getInfo.php?workbook=18_08.xlsx&amp;sheet=U0&amp;row=3580&amp;col=6&amp;number=4.6&amp;sourceID=14","4.6")</f>
        <v>4.6</v>
      </c>
      <c r="G3580" s="4" t="str">
        <f>HYPERLINK("http://141.218.60.56/~jnz1568/getInfo.php?workbook=18_08.xlsx&amp;sheet=U0&amp;row=3580&amp;col=7&amp;number=0.00126&amp;sourceID=14","0.00126")</f>
        <v>0.00126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HYPERLINK("http://141.218.60.56/~jnz1568/getInfo.php?workbook=18_08.xlsx&amp;sheet=U0&amp;row=3581&amp;col=6&amp;number=4.7&amp;sourceID=14","4.7")</f>
        <v>4.7</v>
      </c>
      <c r="G3581" s="4" t="str">
        <f>HYPERLINK("http://141.218.60.56/~jnz1568/getInfo.php?workbook=18_08.xlsx&amp;sheet=U0&amp;row=3581&amp;col=7&amp;number=0.00127&amp;sourceID=14","0.00127")</f>
        <v>0.00127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HYPERLINK("http://141.218.60.56/~jnz1568/getInfo.php?workbook=18_08.xlsx&amp;sheet=U0&amp;row=3582&amp;col=6&amp;number=4.8&amp;sourceID=14","4.8")</f>
        <v>4.8</v>
      </c>
      <c r="G3582" s="4" t="str">
        <f>HYPERLINK("http://141.218.60.56/~jnz1568/getInfo.php?workbook=18_08.xlsx&amp;sheet=U0&amp;row=3582&amp;col=7&amp;number=0.00128&amp;sourceID=14","0.00128")</f>
        <v>0.00128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HYPERLINK("http://141.218.60.56/~jnz1568/getInfo.php?workbook=18_08.xlsx&amp;sheet=U0&amp;row=3583&amp;col=6&amp;number=4.9&amp;sourceID=14","4.9")</f>
        <v>4.9</v>
      </c>
      <c r="G3583" s="4" t="str">
        <f>HYPERLINK("http://141.218.60.56/~jnz1568/getInfo.php?workbook=18_08.xlsx&amp;sheet=U0&amp;row=3583&amp;col=7&amp;number=0.0013&amp;sourceID=14","0.0013")</f>
        <v>0.0013</v>
      </c>
    </row>
    <row r="3584" spans="1:7">
      <c r="A3584" s="3">
        <v>18</v>
      </c>
      <c r="B3584" s="3">
        <v>8</v>
      </c>
      <c r="C3584" s="3" t="s">
        <v>62</v>
      </c>
      <c r="D3584" s="3">
        <v>4</v>
      </c>
      <c r="E3584" s="3">
        <v>1</v>
      </c>
      <c r="F3584" s="4" t="str">
        <f>HYPERLINK("http://141.218.60.56/~jnz1568/getInfo.php?workbook=18_08.xlsx&amp;sheet=U0&amp;row=3584&amp;col=6&amp;number=3&amp;sourceID=14","3")</f>
        <v>3</v>
      </c>
      <c r="G3584" s="4" t="str">
        <f>HYPERLINK("http://141.218.60.56/~jnz1568/getInfo.php?workbook=18_08.xlsx&amp;sheet=U0&amp;row=3584&amp;col=7&amp;number=0.000925&amp;sourceID=14","0.000925")</f>
        <v>0.000925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HYPERLINK("http://141.218.60.56/~jnz1568/getInfo.php?workbook=18_08.xlsx&amp;sheet=U0&amp;row=3585&amp;col=6&amp;number=3.1&amp;sourceID=14","3.1")</f>
        <v>3.1</v>
      </c>
      <c r="G3585" s="4" t="str">
        <f>HYPERLINK("http://141.218.60.56/~jnz1568/getInfo.php?workbook=18_08.xlsx&amp;sheet=U0&amp;row=3585&amp;col=7&amp;number=0.000925&amp;sourceID=14","0.000925")</f>
        <v>0.000925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HYPERLINK("http://141.218.60.56/~jnz1568/getInfo.php?workbook=18_08.xlsx&amp;sheet=U0&amp;row=3586&amp;col=6&amp;number=3.2&amp;sourceID=14","3.2")</f>
        <v>3.2</v>
      </c>
      <c r="G3586" s="4" t="str">
        <f>HYPERLINK("http://141.218.60.56/~jnz1568/getInfo.php?workbook=18_08.xlsx&amp;sheet=U0&amp;row=3586&amp;col=7&amp;number=0.000925&amp;sourceID=14","0.000925")</f>
        <v>0.000925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HYPERLINK("http://141.218.60.56/~jnz1568/getInfo.php?workbook=18_08.xlsx&amp;sheet=U0&amp;row=3587&amp;col=6&amp;number=3.3&amp;sourceID=14","3.3")</f>
        <v>3.3</v>
      </c>
      <c r="G3587" s="4" t="str">
        <f>HYPERLINK("http://141.218.60.56/~jnz1568/getInfo.php?workbook=18_08.xlsx&amp;sheet=U0&amp;row=3587&amp;col=7&amp;number=0.000925&amp;sourceID=14","0.000925")</f>
        <v>0.000925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HYPERLINK("http://141.218.60.56/~jnz1568/getInfo.php?workbook=18_08.xlsx&amp;sheet=U0&amp;row=3588&amp;col=6&amp;number=3.4&amp;sourceID=14","3.4")</f>
        <v>3.4</v>
      </c>
      <c r="G3588" s="4" t="str">
        <f>HYPERLINK("http://141.218.60.56/~jnz1568/getInfo.php?workbook=18_08.xlsx&amp;sheet=U0&amp;row=3588&amp;col=7&amp;number=0.000925&amp;sourceID=14","0.000925")</f>
        <v>0.000925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HYPERLINK("http://141.218.60.56/~jnz1568/getInfo.php?workbook=18_08.xlsx&amp;sheet=U0&amp;row=3589&amp;col=6&amp;number=3.5&amp;sourceID=14","3.5")</f>
        <v>3.5</v>
      </c>
      <c r="G3589" s="4" t="str">
        <f>HYPERLINK("http://141.218.60.56/~jnz1568/getInfo.php?workbook=18_08.xlsx&amp;sheet=U0&amp;row=3589&amp;col=7&amp;number=0.000924&amp;sourceID=14","0.000924")</f>
        <v>0.000924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HYPERLINK("http://141.218.60.56/~jnz1568/getInfo.php?workbook=18_08.xlsx&amp;sheet=U0&amp;row=3590&amp;col=6&amp;number=3.6&amp;sourceID=14","3.6")</f>
        <v>3.6</v>
      </c>
      <c r="G3590" s="4" t="str">
        <f>HYPERLINK("http://141.218.60.56/~jnz1568/getInfo.php?workbook=18_08.xlsx&amp;sheet=U0&amp;row=3590&amp;col=7&amp;number=0.000924&amp;sourceID=14","0.000924")</f>
        <v>0.000924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HYPERLINK("http://141.218.60.56/~jnz1568/getInfo.php?workbook=18_08.xlsx&amp;sheet=U0&amp;row=3591&amp;col=6&amp;number=3.7&amp;sourceID=14","3.7")</f>
        <v>3.7</v>
      </c>
      <c r="G3591" s="4" t="str">
        <f>HYPERLINK("http://141.218.60.56/~jnz1568/getInfo.php?workbook=18_08.xlsx&amp;sheet=U0&amp;row=3591&amp;col=7&amp;number=0.000924&amp;sourceID=14","0.000924")</f>
        <v>0.000924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HYPERLINK("http://141.218.60.56/~jnz1568/getInfo.php?workbook=18_08.xlsx&amp;sheet=U0&amp;row=3592&amp;col=6&amp;number=3.8&amp;sourceID=14","3.8")</f>
        <v>3.8</v>
      </c>
      <c r="G3592" s="4" t="str">
        <f>HYPERLINK("http://141.218.60.56/~jnz1568/getInfo.php?workbook=18_08.xlsx&amp;sheet=U0&amp;row=3592&amp;col=7&amp;number=0.000924&amp;sourceID=14","0.000924")</f>
        <v>0.000924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HYPERLINK("http://141.218.60.56/~jnz1568/getInfo.php?workbook=18_08.xlsx&amp;sheet=U0&amp;row=3593&amp;col=6&amp;number=3.9&amp;sourceID=14","3.9")</f>
        <v>3.9</v>
      </c>
      <c r="G3593" s="4" t="str">
        <f>HYPERLINK("http://141.218.60.56/~jnz1568/getInfo.php?workbook=18_08.xlsx&amp;sheet=U0&amp;row=3593&amp;col=7&amp;number=0.000924&amp;sourceID=14","0.000924")</f>
        <v>0.000924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HYPERLINK("http://141.218.60.56/~jnz1568/getInfo.php?workbook=18_08.xlsx&amp;sheet=U0&amp;row=3594&amp;col=6&amp;number=4&amp;sourceID=14","4")</f>
        <v>4</v>
      </c>
      <c r="G3594" s="4" t="str">
        <f>HYPERLINK("http://141.218.60.56/~jnz1568/getInfo.php?workbook=18_08.xlsx&amp;sheet=U0&amp;row=3594&amp;col=7&amp;number=0.000923&amp;sourceID=14","0.000923")</f>
        <v>0.000923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HYPERLINK("http://141.218.60.56/~jnz1568/getInfo.php?workbook=18_08.xlsx&amp;sheet=U0&amp;row=3595&amp;col=6&amp;number=4.1&amp;sourceID=14","4.1")</f>
        <v>4.1</v>
      </c>
      <c r="G3595" s="4" t="str">
        <f>HYPERLINK("http://141.218.60.56/~jnz1568/getInfo.php?workbook=18_08.xlsx&amp;sheet=U0&amp;row=3595&amp;col=7&amp;number=0.000923&amp;sourceID=14","0.000923")</f>
        <v>0.000923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HYPERLINK("http://141.218.60.56/~jnz1568/getInfo.php?workbook=18_08.xlsx&amp;sheet=U0&amp;row=3596&amp;col=6&amp;number=4.2&amp;sourceID=14","4.2")</f>
        <v>4.2</v>
      </c>
      <c r="G3596" s="4" t="str">
        <f>HYPERLINK("http://141.218.60.56/~jnz1568/getInfo.php?workbook=18_08.xlsx&amp;sheet=U0&amp;row=3596&amp;col=7&amp;number=0.000922&amp;sourceID=14","0.000922")</f>
        <v>0.000922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HYPERLINK("http://141.218.60.56/~jnz1568/getInfo.php?workbook=18_08.xlsx&amp;sheet=U0&amp;row=3597&amp;col=6&amp;number=4.3&amp;sourceID=14","4.3")</f>
        <v>4.3</v>
      </c>
      <c r="G3597" s="4" t="str">
        <f>HYPERLINK("http://141.218.60.56/~jnz1568/getInfo.php?workbook=18_08.xlsx&amp;sheet=U0&amp;row=3597&amp;col=7&amp;number=0.000922&amp;sourceID=14","0.000922")</f>
        <v>0.000922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HYPERLINK("http://141.218.60.56/~jnz1568/getInfo.php?workbook=18_08.xlsx&amp;sheet=U0&amp;row=3598&amp;col=6&amp;number=4.4&amp;sourceID=14","4.4")</f>
        <v>4.4</v>
      </c>
      <c r="G3598" s="4" t="str">
        <f>HYPERLINK("http://141.218.60.56/~jnz1568/getInfo.php?workbook=18_08.xlsx&amp;sheet=U0&amp;row=3598&amp;col=7&amp;number=0.000921&amp;sourceID=14","0.000921")</f>
        <v>0.000921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HYPERLINK("http://141.218.60.56/~jnz1568/getInfo.php?workbook=18_08.xlsx&amp;sheet=U0&amp;row=3599&amp;col=6&amp;number=4.5&amp;sourceID=14","4.5")</f>
        <v>4.5</v>
      </c>
      <c r="G3599" s="4" t="str">
        <f>HYPERLINK("http://141.218.60.56/~jnz1568/getInfo.php?workbook=18_08.xlsx&amp;sheet=U0&amp;row=3599&amp;col=7&amp;number=0.00092&amp;sourceID=14","0.00092")</f>
        <v>0.00092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HYPERLINK("http://141.218.60.56/~jnz1568/getInfo.php?workbook=18_08.xlsx&amp;sheet=U0&amp;row=3600&amp;col=6&amp;number=4.6&amp;sourceID=14","4.6")</f>
        <v>4.6</v>
      </c>
      <c r="G3600" s="4" t="str">
        <f>HYPERLINK("http://141.218.60.56/~jnz1568/getInfo.php?workbook=18_08.xlsx&amp;sheet=U0&amp;row=3600&amp;col=7&amp;number=0.000919&amp;sourceID=14","0.000919")</f>
        <v>0.000919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HYPERLINK("http://141.218.60.56/~jnz1568/getInfo.php?workbook=18_08.xlsx&amp;sheet=U0&amp;row=3601&amp;col=6&amp;number=4.7&amp;sourceID=14","4.7")</f>
        <v>4.7</v>
      </c>
      <c r="G3601" s="4" t="str">
        <f>HYPERLINK("http://141.218.60.56/~jnz1568/getInfo.php?workbook=18_08.xlsx&amp;sheet=U0&amp;row=3601&amp;col=7&amp;number=0.000917&amp;sourceID=14","0.000917")</f>
        <v>0.000917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HYPERLINK("http://141.218.60.56/~jnz1568/getInfo.php?workbook=18_08.xlsx&amp;sheet=U0&amp;row=3602&amp;col=6&amp;number=4.8&amp;sourceID=14","4.8")</f>
        <v>4.8</v>
      </c>
      <c r="G3602" s="4" t="str">
        <f>HYPERLINK("http://141.218.60.56/~jnz1568/getInfo.php?workbook=18_08.xlsx&amp;sheet=U0&amp;row=3602&amp;col=7&amp;number=0.000915&amp;sourceID=14","0.000915")</f>
        <v>0.000915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HYPERLINK("http://141.218.60.56/~jnz1568/getInfo.php?workbook=18_08.xlsx&amp;sheet=U0&amp;row=3603&amp;col=6&amp;number=4.9&amp;sourceID=14","4.9")</f>
        <v>4.9</v>
      </c>
      <c r="G3603" s="4" t="str">
        <f>HYPERLINK("http://141.218.60.56/~jnz1568/getInfo.php?workbook=18_08.xlsx&amp;sheet=U0&amp;row=3603&amp;col=7&amp;number=0.000912&amp;sourceID=14","0.000912")</f>
        <v>0.000912</v>
      </c>
    </row>
    <row r="3604" spans="1:7">
      <c r="A3604" s="3">
        <v>18</v>
      </c>
      <c r="B3604" s="3">
        <v>8</v>
      </c>
      <c r="C3604" s="3" t="s">
        <v>62</v>
      </c>
      <c r="D3604" s="3">
        <v>5</v>
      </c>
      <c r="E3604" s="3">
        <v>1</v>
      </c>
      <c r="F3604" s="4" t="str">
        <f>HYPERLINK("http://141.218.60.56/~jnz1568/getInfo.php?workbook=18_08.xlsx&amp;sheet=U0&amp;row=3604&amp;col=6&amp;number=3&amp;sourceID=14","3")</f>
        <v>3</v>
      </c>
      <c r="G3604" s="4" t="str">
        <f>HYPERLINK("http://141.218.60.56/~jnz1568/getInfo.php?workbook=18_08.xlsx&amp;sheet=U0&amp;row=3604&amp;col=7&amp;number=5.08e-06&amp;sourceID=14","5.08e-06")</f>
        <v>5.08e-06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HYPERLINK("http://141.218.60.56/~jnz1568/getInfo.php?workbook=18_08.xlsx&amp;sheet=U0&amp;row=3605&amp;col=6&amp;number=3.1&amp;sourceID=14","3.1")</f>
        <v>3.1</v>
      </c>
      <c r="G3605" s="4" t="str">
        <f>HYPERLINK("http://141.218.60.56/~jnz1568/getInfo.php?workbook=18_08.xlsx&amp;sheet=U0&amp;row=3605&amp;col=7&amp;number=5.08e-06&amp;sourceID=14","5.08e-06")</f>
        <v>5.08e-06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HYPERLINK("http://141.218.60.56/~jnz1568/getInfo.php?workbook=18_08.xlsx&amp;sheet=U0&amp;row=3606&amp;col=6&amp;number=3.2&amp;sourceID=14","3.2")</f>
        <v>3.2</v>
      </c>
      <c r="G3606" s="4" t="str">
        <f>HYPERLINK("http://141.218.60.56/~jnz1568/getInfo.php?workbook=18_08.xlsx&amp;sheet=U0&amp;row=3606&amp;col=7&amp;number=5.08e-06&amp;sourceID=14","5.08e-06")</f>
        <v>5.08e-06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HYPERLINK("http://141.218.60.56/~jnz1568/getInfo.php?workbook=18_08.xlsx&amp;sheet=U0&amp;row=3607&amp;col=6&amp;number=3.3&amp;sourceID=14","3.3")</f>
        <v>3.3</v>
      </c>
      <c r="G3607" s="4" t="str">
        <f>HYPERLINK("http://141.218.60.56/~jnz1568/getInfo.php?workbook=18_08.xlsx&amp;sheet=U0&amp;row=3607&amp;col=7&amp;number=5.08e-06&amp;sourceID=14","5.08e-06")</f>
        <v>5.08e-06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HYPERLINK("http://141.218.60.56/~jnz1568/getInfo.php?workbook=18_08.xlsx&amp;sheet=U0&amp;row=3608&amp;col=6&amp;number=3.4&amp;sourceID=14","3.4")</f>
        <v>3.4</v>
      </c>
      <c r="G3608" s="4" t="str">
        <f>HYPERLINK("http://141.218.60.56/~jnz1568/getInfo.php?workbook=18_08.xlsx&amp;sheet=U0&amp;row=3608&amp;col=7&amp;number=5.08e-06&amp;sourceID=14","5.08e-06")</f>
        <v>5.08e-06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HYPERLINK("http://141.218.60.56/~jnz1568/getInfo.php?workbook=18_08.xlsx&amp;sheet=U0&amp;row=3609&amp;col=6&amp;number=3.5&amp;sourceID=14","3.5")</f>
        <v>3.5</v>
      </c>
      <c r="G3609" s="4" t="str">
        <f>HYPERLINK("http://141.218.60.56/~jnz1568/getInfo.php?workbook=18_08.xlsx&amp;sheet=U0&amp;row=3609&amp;col=7&amp;number=5.08e-06&amp;sourceID=14","5.08e-06")</f>
        <v>5.08e-06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HYPERLINK("http://141.218.60.56/~jnz1568/getInfo.php?workbook=18_08.xlsx&amp;sheet=U0&amp;row=3610&amp;col=6&amp;number=3.6&amp;sourceID=14","3.6")</f>
        <v>3.6</v>
      </c>
      <c r="G3610" s="4" t="str">
        <f>HYPERLINK("http://141.218.60.56/~jnz1568/getInfo.php?workbook=18_08.xlsx&amp;sheet=U0&amp;row=3610&amp;col=7&amp;number=5.08e-06&amp;sourceID=14","5.08e-06")</f>
        <v>5.08e-06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HYPERLINK("http://141.218.60.56/~jnz1568/getInfo.php?workbook=18_08.xlsx&amp;sheet=U0&amp;row=3611&amp;col=6&amp;number=3.7&amp;sourceID=14","3.7")</f>
        <v>3.7</v>
      </c>
      <c r="G3611" s="4" t="str">
        <f>HYPERLINK("http://141.218.60.56/~jnz1568/getInfo.php?workbook=18_08.xlsx&amp;sheet=U0&amp;row=3611&amp;col=7&amp;number=5.08e-06&amp;sourceID=14","5.08e-06")</f>
        <v>5.08e-06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HYPERLINK("http://141.218.60.56/~jnz1568/getInfo.php?workbook=18_08.xlsx&amp;sheet=U0&amp;row=3612&amp;col=6&amp;number=3.8&amp;sourceID=14","3.8")</f>
        <v>3.8</v>
      </c>
      <c r="G3612" s="4" t="str">
        <f>HYPERLINK("http://141.218.60.56/~jnz1568/getInfo.php?workbook=18_08.xlsx&amp;sheet=U0&amp;row=3612&amp;col=7&amp;number=5.08e-06&amp;sourceID=14","5.08e-06")</f>
        <v>5.08e-06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HYPERLINK("http://141.218.60.56/~jnz1568/getInfo.php?workbook=18_08.xlsx&amp;sheet=U0&amp;row=3613&amp;col=6&amp;number=3.9&amp;sourceID=14","3.9")</f>
        <v>3.9</v>
      </c>
      <c r="G3613" s="4" t="str">
        <f>HYPERLINK("http://141.218.60.56/~jnz1568/getInfo.php?workbook=18_08.xlsx&amp;sheet=U0&amp;row=3613&amp;col=7&amp;number=5.08e-06&amp;sourceID=14","5.08e-06")</f>
        <v>5.08e-06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HYPERLINK("http://141.218.60.56/~jnz1568/getInfo.php?workbook=18_08.xlsx&amp;sheet=U0&amp;row=3614&amp;col=6&amp;number=4&amp;sourceID=14","4")</f>
        <v>4</v>
      </c>
      <c r="G3614" s="4" t="str">
        <f>HYPERLINK("http://141.218.60.56/~jnz1568/getInfo.php?workbook=18_08.xlsx&amp;sheet=U0&amp;row=3614&amp;col=7&amp;number=5.07e-06&amp;sourceID=14","5.07e-06")</f>
        <v>5.07e-06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HYPERLINK("http://141.218.60.56/~jnz1568/getInfo.php?workbook=18_08.xlsx&amp;sheet=U0&amp;row=3615&amp;col=6&amp;number=4.1&amp;sourceID=14","4.1")</f>
        <v>4.1</v>
      </c>
      <c r="G3615" s="4" t="str">
        <f>HYPERLINK("http://141.218.60.56/~jnz1568/getInfo.php?workbook=18_08.xlsx&amp;sheet=U0&amp;row=3615&amp;col=7&amp;number=5.07e-06&amp;sourceID=14","5.07e-06")</f>
        <v>5.07e-06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HYPERLINK("http://141.218.60.56/~jnz1568/getInfo.php?workbook=18_08.xlsx&amp;sheet=U0&amp;row=3616&amp;col=6&amp;number=4.2&amp;sourceID=14","4.2")</f>
        <v>4.2</v>
      </c>
      <c r="G3616" s="4" t="str">
        <f>HYPERLINK("http://141.218.60.56/~jnz1568/getInfo.php?workbook=18_08.xlsx&amp;sheet=U0&amp;row=3616&amp;col=7&amp;number=5.07e-06&amp;sourceID=14","5.07e-06")</f>
        <v>5.07e-06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HYPERLINK("http://141.218.60.56/~jnz1568/getInfo.php?workbook=18_08.xlsx&amp;sheet=U0&amp;row=3617&amp;col=6&amp;number=4.3&amp;sourceID=14","4.3")</f>
        <v>4.3</v>
      </c>
      <c r="G3617" s="4" t="str">
        <f>HYPERLINK("http://141.218.60.56/~jnz1568/getInfo.php?workbook=18_08.xlsx&amp;sheet=U0&amp;row=3617&amp;col=7&amp;number=5.06e-06&amp;sourceID=14","5.06e-06")</f>
        <v>5.06e-06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HYPERLINK("http://141.218.60.56/~jnz1568/getInfo.php?workbook=18_08.xlsx&amp;sheet=U0&amp;row=3618&amp;col=6&amp;number=4.4&amp;sourceID=14","4.4")</f>
        <v>4.4</v>
      </c>
      <c r="G3618" s="4" t="str">
        <f>HYPERLINK("http://141.218.60.56/~jnz1568/getInfo.php?workbook=18_08.xlsx&amp;sheet=U0&amp;row=3618&amp;col=7&amp;number=5.06e-06&amp;sourceID=14","5.06e-06")</f>
        <v>5.06e-06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HYPERLINK("http://141.218.60.56/~jnz1568/getInfo.php?workbook=18_08.xlsx&amp;sheet=U0&amp;row=3619&amp;col=6&amp;number=4.5&amp;sourceID=14","4.5")</f>
        <v>4.5</v>
      </c>
      <c r="G3619" s="4" t="str">
        <f>HYPERLINK("http://141.218.60.56/~jnz1568/getInfo.php?workbook=18_08.xlsx&amp;sheet=U0&amp;row=3619&amp;col=7&amp;number=5.05e-06&amp;sourceID=14","5.05e-06")</f>
        <v>5.05e-06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HYPERLINK("http://141.218.60.56/~jnz1568/getInfo.php?workbook=18_08.xlsx&amp;sheet=U0&amp;row=3620&amp;col=6&amp;number=4.6&amp;sourceID=14","4.6")</f>
        <v>4.6</v>
      </c>
      <c r="G3620" s="4" t="str">
        <f>HYPERLINK("http://141.218.60.56/~jnz1568/getInfo.php?workbook=18_08.xlsx&amp;sheet=U0&amp;row=3620&amp;col=7&amp;number=5.04e-06&amp;sourceID=14","5.04e-06")</f>
        <v>5.04e-06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HYPERLINK("http://141.218.60.56/~jnz1568/getInfo.php?workbook=18_08.xlsx&amp;sheet=U0&amp;row=3621&amp;col=6&amp;number=4.7&amp;sourceID=14","4.7")</f>
        <v>4.7</v>
      </c>
      <c r="G3621" s="4" t="str">
        <f>HYPERLINK("http://141.218.60.56/~jnz1568/getInfo.php?workbook=18_08.xlsx&amp;sheet=U0&amp;row=3621&amp;col=7&amp;number=5.03e-06&amp;sourceID=14","5.03e-06")</f>
        <v>5.03e-06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HYPERLINK("http://141.218.60.56/~jnz1568/getInfo.php?workbook=18_08.xlsx&amp;sheet=U0&amp;row=3622&amp;col=6&amp;number=4.8&amp;sourceID=14","4.8")</f>
        <v>4.8</v>
      </c>
      <c r="G3622" s="4" t="str">
        <f>HYPERLINK("http://141.218.60.56/~jnz1568/getInfo.php?workbook=18_08.xlsx&amp;sheet=U0&amp;row=3622&amp;col=7&amp;number=5.02e-06&amp;sourceID=14","5.02e-06")</f>
        <v>5.02e-06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HYPERLINK("http://141.218.60.56/~jnz1568/getInfo.php?workbook=18_08.xlsx&amp;sheet=U0&amp;row=3623&amp;col=6&amp;number=4.9&amp;sourceID=14","4.9")</f>
        <v>4.9</v>
      </c>
      <c r="G3623" s="4" t="str">
        <f>HYPERLINK("http://141.218.60.56/~jnz1568/getInfo.php?workbook=18_08.xlsx&amp;sheet=U0&amp;row=3623&amp;col=7&amp;number=5.01e-06&amp;sourceID=14","5.01e-06")</f>
        <v>5.01e-06</v>
      </c>
    </row>
    <row r="3624" spans="1:7">
      <c r="A3624" s="3">
        <v>18</v>
      </c>
      <c r="B3624" s="3">
        <v>8</v>
      </c>
      <c r="C3624" s="3" t="s">
        <v>62</v>
      </c>
      <c r="D3624" s="3">
        <v>6</v>
      </c>
      <c r="E3624" s="3">
        <v>1</v>
      </c>
      <c r="F3624" s="4" t="str">
        <f>HYPERLINK("http://141.218.60.56/~jnz1568/getInfo.php?workbook=18_08.xlsx&amp;sheet=U0&amp;row=3624&amp;col=6&amp;number=3&amp;sourceID=14","3")</f>
        <v>3</v>
      </c>
      <c r="G3624" s="4" t="str">
        <f>HYPERLINK("http://141.218.60.56/~jnz1568/getInfo.php?workbook=18_08.xlsx&amp;sheet=U0&amp;row=3624&amp;col=7&amp;number=0.000435&amp;sourceID=14","0.000435")</f>
        <v>0.000435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HYPERLINK("http://141.218.60.56/~jnz1568/getInfo.php?workbook=18_08.xlsx&amp;sheet=U0&amp;row=3625&amp;col=6&amp;number=3.1&amp;sourceID=14","3.1")</f>
        <v>3.1</v>
      </c>
      <c r="G3625" s="4" t="str">
        <f>HYPERLINK("http://141.218.60.56/~jnz1568/getInfo.php?workbook=18_08.xlsx&amp;sheet=U0&amp;row=3625&amp;col=7&amp;number=0.000435&amp;sourceID=14","0.000435")</f>
        <v>0.000435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HYPERLINK("http://141.218.60.56/~jnz1568/getInfo.php?workbook=18_08.xlsx&amp;sheet=U0&amp;row=3626&amp;col=6&amp;number=3.2&amp;sourceID=14","3.2")</f>
        <v>3.2</v>
      </c>
      <c r="G3626" s="4" t="str">
        <f>HYPERLINK("http://141.218.60.56/~jnz1568/getInfo.php?workbook=18_08.xlsx&amp;sheet=U0&amp;row=3626&amp;col=7&amp;number=0.000435&amp;sourceID=14","0.000435")</f>
        <v>0.000435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HYPERLINK("http://141.218.60.56/~jnz1568/getInfo.php?workbook=18_08.xlsx&amp;sheet=U0&amp;row=3627&amp;col=6&amp;number=3.3&amp;sourceID=14","3.3")</f>
        <v>3.3</v>
      </c>
      <c r="G3627" s="4" t="str">
        <f>HYPERLINK("http://141.218.60.56/~jnz1568/getInfo.php?workbook=18_08.xlsx&amp;sheet=U0&amp;row=3627&amp;col=7&amp;number=0.000435&amp;sourceID=14","0.000435")</f>
        <v>0.000435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HYPERLINK("http://141.218.60.56/~jnz1568/getInfo.php?workbook=18_08.xlsx&amp;sheet=U0&amp;row=3628&amp;col=6&amp;number=3.4&amp;sourceID=14","3.4")</f>
        <v>3.4</v>
      </c>
      <c r="G3628" s="4" t="str">
        <f>HYPERLINK("http://141.218.60.56/~jnz1568/getInfo.php?workbook=18_08.xlsx&amp;sheet=U0&amp;row=3628&amp;col=7&amp;number=0.000435&amp;sourceID=14","0.000435")</f>
        <v>0.000435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HYPERLINK("http://141.218.60.56/~jnz1568/getInfo.php?workbook=18_08.xlsx&amp;sheet=U0&amp;row=3629&amp;col=6&amp;number=3.5&amp;sourceID=14","3.5")</f>
        <v>3.5</v>
      </c>
      <c r="G3629" s="4" t="str">
        <f>HYPERLINK("http://141.218.60.56/~jnz1568/getInfo.php?workbook=18_08.xlsx&amp;sheet=U0&amp;row=3629&amp;col=7&amp;number=0.000435&amp;sourceID=14","0.000435")</f>
        <v>0.000435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HYPERLINK("http://141.218.60.56/~jnz1568/getInfo.php?workbook=18_08.xlsx&amp;sheet=U0&amp;row=3630&amp;col=6&amp;number=3.6&amp;sourceID=14","3.6")</f>
        <v>3.6</v>
      </c>
      <c r="G3630" s="4" t="str">
        <f>HYPERLINK("http://141.218.60.56/~jnz1568/getInfo.php?workbook=18_08.xlsx&amp;sheet=U0&amp;row=3630&amp;col=7&amp;number=0.000434&amp;sourceID=14","0.000434")</f>
        <v>0.000434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HYPERLINK("http://141.218.60.56/~jnz1568/getInfo.php?workbook=18_08.xlsx&amp;sheet=U0&amp;row=3631&amp;col=6&amp;number=3.7&amp;sourceID=14","3.7")</f>
        <v>3.7</v>
      </c>
      <c r="G3631" s="4" t="str">
        <f>HYPERLINK("http://141.218.60.56/~jnz1568/getInfo.php?workbook=18_08.xlsx&amp;sheet=U0&amp;row=3631&amp;col=7&amp;number=0.000434&amp;sourceID=14","0.000434")</f>
        <v>0.000434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HYPERLINK("http://141.218.60.56/~jnz1568/getInfo.php?workbook=18_08.xlsx&amp;sheet=U0&amp;row=3632&amp;col=6&amp;number=3.8&amp;sourceID=14","3.8")</f>
        <v>3.8</v>
      </c>
      <c r="G3632" s="4" t="str">
        <f>HYPERLINK("http://141.218.60.56/~jnz1568/getInfo.php?workbook=18_08.xlsx&amp;sheet=U0&amp;row=3632&amp;col=7&amp;number=0.000434&amp;sourceID=14","0.000434")</f>
        <v>0.000434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HYPERLINK("http://141.218.60.56/~jnz1568/getInfo.php?workbook=18_08.xlsx&amp;sheet=U0&amp;row=3633&amp;col=6&amp;number=3.9&amp;sourceID=14","3.9")</f>
        <v>3.9</v>
      </c>
      <c r="G3633" s="4" t="str">
        <f>HYPERLINK("http://141.218.60.56/~jnz1568/getInfo.php?workbook=18_08.xlsx&amp;sheet=U0&amp;row=3633&amp;col=7&amp;number=0.000434&amp;sourceID=14","0.000434")</f>
        <v>0.000434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HYPERLINK("http://141.218.60.56/~jnz1568/getInfo.php?workbook=18_08.xlsx&amp;sheet=U0&amp;row=3634&amp;col=6&amp;number=4&amp;sourceID=14","4")</f>
        <v>4</v>
      </c>
      <c r="G3634" s="4" t="str">
        <f>HYPERLINK("http://141.218.60.56/~jnz1568/getInfo.php?workbook=18_08.xlsx&amp;sheet=U0&amp;row=3634&amp;col=7&amp;number=0.000434&amp;sourceID=14","0.000434")</f>
        <v>0.000434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HYPERLINK("http://141.218.60.56/~jnz1568/getInfo.php?workbook=18_08.xlsx&amp;sheet=U0&amp;row=3635&amp;col=6&amp;number=4.1&amp;sourceID=14","4.1")</f>
        <v>4.1</v>
      </c>
      <c r="G3635" s="4" t="str">
        <f>HYPERLINK("http://141.218.60.56/~jnz1568/getInfo.php?workbook=18_08.xlsx&amp;sheet=U0&amp;row=3635&amp;col=7&amp;number=0.000434&amp;sourceID=14","0.000434")</f>
        <v>0.000434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HYPERLINK("http://141.218.60.56/~jnz1568/getInfo.php?workbook=18_08.xlsx&amp;sheet=U0&amp;row=3636&amp;col=6&amp;number=4.2&amp;sourceID=14","4.2")</f>
        <v>4.2</v>
      </c>
      <c r="G3636" s="4" t="str">
        <f>HYPERLINK("http://141.218.60.56/~jnz1568/getInfo.php?workbook=18_08.xlsx&amp;sheet=U0&amp;row=3636&amp;col=7&amp;number=0.000433&amp;sourceID=14","0.000433")</f>
        <v>0.000433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HYPERLINK("http://141.218.60.56/~jnz1568/getInfo.php?workbook=18_08.xlsx&amp;sheet=U0&amp;row=3637&amp;col=6&amp;number=4.3&amp;sourceID=14","4.3")</f>
        <v>4.3</v>
      </c>
      <c r="G3637" s="4" t="str">
        <f>HYPERLINK("http://141.218.60.56/~jnz1568/getInfo.php?workbook=18_08.xlsx&amp;sheet=U0&amp;row=3637&amp;col=7&amp;number=0.000433&amp;sourceID=14","0.000433")</f>
        <v>0.000433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HYPERLINK("http://141.218.60.56/~jnz1568/getInfo.php?workbook=18_08.xlsx&amp;sheet=U0&amp;row=3638&amp;col=6&amp;number=4.4&amp;sourceID=14","4.4")</f>
        <v>4.4</v>
      </c>
      <c r="G3638" s="4" t="str">
        <f>HYPERLINK("http://141.218.60.56/~jnz1568/getInfo.php?workbook=18_08.xlsx&amp;sheet=U0&amp;row=3638&amp;col=7&amp;number=0.000432&amp;sourceID=14","0.000432")</f>
        <v>0.000432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HYPERLINK("http://141.218.60.56/~jnz1568/getInfo.php?workbook=18_08.xlsx&amp;sheet=U0&amp;row=3639&amp;col=6&amp;number=4.5&amp;sourceID=14","4.5")</f>
        <v>4.5</v>
      </c>
      <c r="G3639" s="4" t="str">
        <f>HYPERLINK("http://141.218.60.56/~jnz1568/getInfo.php?workbook=18_08.xlsx&amp;sheet=U0&amp;row=3639&amp;col=7&amp;number=0.000432&amp;sourceID=14","0.000432")</f>
        <v>0.000432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HYPERLINK("http://141.218.60.56/~jnz1568/getInfo.php?workbook=18_08.xlsx&amp;sheet=U0&amp;row=3640&amp;col=6&amp;number=4.6&amp;sourceID=14","4.6")</f>
        <v>4.6</v>
      </c>
      <c r="G3640" s="4" t="str">
        <f>HYPERLINK("http://141.218.60.56/~jnz1568/getInfo.php?workbook=18_08.xlsx&amp;sheet=U0&amp;row=3640&amp;col=7&amp;number=0.000431&amp;sourceID=14","0.000431")</f>
        <v>0.000431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HYPERLINK("http://141.218.60.56/~jnz1568/getInfo.php?workbook=18_08.xlsx&amp;sheet=U0&amp;row=3641&amp;col=6&amp;number=4.7&amp;sourceID=14","4.7")</f>
        <v>4.7</v>
      </c>
      <c r="G3641" s="4" t="str">
        <f>HYPERLINK("http://141.218.60.56/~jnz1568/getInfo.php?workbook=18_08.xlsx&amp;sheet=U0&amp;row=3641&amp;col=7&amp;number=0.00043&amp;sourceID=14","0.00043")</f>
        <v>0.00043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HYPERLINK("http://141.218.60.56/~jnz1568/getInfo.php?workbook=18_08.xlsx&amp;sheet=U0&amp;row=3642&amp;col=6&amp;number=4.8&amp;sourceID=14","4.8")</f>
        <v>4.8</v>
      </c>
      <c r="G3642" s="4" t="str">
        <f>HYPERLINK("http://141.218.60.56/~jnz1568/getInfo.php?workbook=18_08.xlsx&amp;sheet=U0&amp;row=3642&amp;col=7&amp;number=0.000429&amp;sourceID=14","0.000429")</f>
        <v>0.000429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HYPERLINK("http://141.218.60.56/~jnz1568/getInfo.php?workbook=18_08.xlsx&amp;sheet=U0&amp;row=3643&amp;col=6&amp;number=4.9&amp;sourceID=14","4.9")</f>
        <v>4.9</v>
      </c>
      <c r="G3643" s="4" t="str">
        <f>HYPERLINK("http://141.218.60.56/~jnz1568/getInfo.php?workbook=18_08.xlsx&amp;sheet=U0&amp;row=3643&amp;col=7&amp;number=0.000428&amp;sourceID=14","0.000428")</f>
        <v>0.000428</v>
      </c>
    </row>
    <row r="3644" spans="1:7">
      <c r="A3644" s="3">
        <v>18</v>
      </c>
      <c r="B3644" s="3">
        <v>8</v>
      </c>
      <c r="C3644" s="3" t="s">
        <v>62</v>
      </c>
      <c r="D3644" s="3">
        <v>7</v>
      </c>
      <c r="E3644" s="3">
        <v>1</v>
      </c>
      <c r="F3644" s="4" t="str">
        <f>HYPERLINK("http://141.218.60.56/~jnz1568/getInfo.php?workbook=18_08.xlsx&amp;sheet=U0&amp;row=3644&amp;col=6&amp;number=3&amp;sourceID=14","3")</f>
        <v>3</v>
      </c>
      <c r="G3644" s="4" t="str">
        <f>HYPERLINK("http://141.218.60.56/~jnz1568/getInfo.php?workbook=18_08.xlsx&amp;sheet=U0&amp;row=3644&amp;col=7&amp;number=0.00253&amp;sourceID=14","0.00253")</f>
        <v>0.00253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HYPERLINK("http://141.218.60.56/~jnz1568/getInfo.php?workbook=18_08.xlsx&amp;sheet=U0&amp;row=3645&amp;col=6&amp;number=3.1&amp;sourceID=14","3.1")</f>
        <v>3.1</v>
      </c>
      <c r="G3645" s="4" t="str">
        <f>HYPERLINK("http://141.218.60.56/~jnz1568/getInfo.php?workbook=18_08.xlsx&amp;sheet=U0&amp;row=3645&amp;col=7&amp;number=0.00253&amp;sourceID=14","0.00253")</f>
        <v>0.00253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HYPERLINK("http://141.218.60.56/~jnz1568/getInfo.php?workbook=18_08.xlsx&amp;sheet=U0&amp;row=3646&amp;col=6&amp;number=3.2&amp;sourceID=14","3.2")</f>
        <v>3.2</v>
      </c>
      <c r="G3646" s="4" t="str">
        <f>HYPERLINK("http://141.218.60.56/~jnz1568/getInfo.php?workbook=18_08.xlsx&amp;sheet=U0&amp;row=3646&amp;col=7&amp;number=0.00253&amp;sourceID=14","0.00253")</f>
        <v>0.00253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HYPERLINK("http://141.218.60.56/~jnz1568/getInfo.php?workbook=18_08.xlsx&amp;sheet=U0&amp;row=3647&amp;col=6&amp;number=3.3&amp;sourceID=14","3.3")</f>
        <v>3.3</v>
      </c>
      <c r="G3647" s="4" t="str">
        <f>HYPERLINK("http://141.218.60.56/~jnz1568/getInfo.php?workbook=18_08.xlsx&amp;sheet=U0&amp;row=3647&amp;col=7&amp;number=0.00253&amp;sourceID=14","0.00253")</f>
        <v>0.00253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HYPERLINK("http://141.218.60.56/~jnz1568/getInfo.php?workbook=18_08.xlsx&amp;sheet=U0&amp;row=3648&amp;col=6&amp;number=3.4&amp;sourceID=14","3.4")</f>
        <v>3.4</v>
      </c>
      <c r="G3648" s="4" t="str">
        <f>HYPERLINK("http://141.218.60.56/~jnz1568/getInfo.php?workbook=18_08.xlsx&amp;sheet=U0&amp;row=3648&amp;col=7&amp;number=0.00253&amp;sourceID=14","0.00253")</f>
        <v>0.00253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HYPERLINK("http://141.218.60.56/~jnz1568/getInfo.php?workbook=18_08.xlsx&amp;sheet=U0&amp;row=3649&amp;col=6&amp;number=3.5&amp;sourceID=14","3.5")</f>
        <v>3.5</v>
      </c>
      <c r="G3649" s="4" t="str">
        <f>HYPERLINK("http://141.218.60.56/~jnz1568/getInfo.php?workbook=18_08.xlsx&amp;sheet=U0&amp;row=3649&amp;col=7&amp;number=0.00253&amp;sourceID=14","0.00253")</f>
        <v>0.00253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HYPERLINK("http://141.218.60.56/~jnz1568/getInfo.php?workbook=18_08.xlsx&amp;sheet=U0&amp;row=3650&amp;col=6&amp;number=3.6&amp;sourceID=14","3.6")</f>
        <v>3.6</v>
      </c>
      <c r="G3650" s="4" t="str">
        <f>HYPERLINK("http://141.218.60.56/~jnz1568/getInfo.php?workbook=18_08.xlsx&amp;sheet=U0&amp;row=3650&amp;col=7&amp;number=0.00253&amp;sourceID=14","0.00253")</f>
        <v>0.00253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HYPERLINK("http://141.218.60.56/~jnz1568/getInfo.php?workbook=18_08.xlsx&amp;sheet=U0&amp;row=3651&amp;col=6&amp;number=3.7&amp;sourceID=14","3.7")</f>
        <v>3.7</v>
      </c>
      <c r="G3651" s="4" t="str">
        <f>HYPERLINK("http://141.218.60.56/~jnz1568/getInfo.php?workbook=18_08.xlsx&amp;sheet=U0&amp;row=3651&amp;col=7&amp;number=0.00253&amp;sourceID=14","0.00253")</f>
        <v>0.00253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HYPERLINK("http://141.218.60.56/~jnz1568/getInfo.php?workbook=18_08.xlsx&amp;sheet=U0&amp;row=3652&amp;col=6&amp;number=3.8&amp;sourceID=14","3.8")</f>
        <v>3.8</v>
      </c>
      <c r="G3652" s="4" t="str">
        <f>HYPERLINK("http://141.218.60.56/~jnz1568/getInfo.php?workbook=18_08.xlsx&amp;sheet=U0&amp;row=3652&amp;col=7&amp;number=0.00253&amp;sourceID=14","0.00253")</f>
        <v>0.00253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HYPERLINK("http://141.218.60.56/~jnz1568/getInfo.php?workbook=18_08.xlsx&amp;sheet=U0&amp;row=3653&amp;col=6&amp;number=3.9&amp;sourceID=14","3.9")</f>
        <v>3.9</v>
      </c>
      <c r="G3653" s="4" t="str">
        <f>HYPERLINK("http://141.218.60.56/~jnz1568/getInfo.php?workbook=18_08.xlsx&amp;sheet=U0&amp;row=3653&amp;col=7&amp;number=0.00253&amp;sourceID=14","0.00253")</f>
        <v>0.00253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HYPERLINK("http://141.218.60.56/~jnz1568/getInfo.php?workbook=18_08.xlsx&amp;sheet=U0&amp;row=3654&amp;col=6&amp;number=4&amp;sourceID=14","4")</f>
        <v>4</v>
      </c>
      <c r="G3654" s="4" t="str">
        <f>HYPERLINK("http://141.218.60.56/~jnz1568/getInfo.php?workbook=18_08.xlsx&amp;sheet=U0&amp;row=3654&amp;col=7&amp;number=0.00252&amp;sourceID=14","0.00252")</f>
        <v>0.00252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HYPERLINK("http://141.218.60.56/~jnz1568/getInfo.php?workbook=18_08.xlsx&amp;sheet=U0&amp;row=3655&amp;col=6&amp;number=4.1&amp;sourceID=14","4.1")</f>
        <v>4.1</v>
      </c>
      <c r="G3655" s="4" t="str">
        <f>HYPERLINK("http://141.218.60.56/~jnz1568/getInfo.php?workbook=18_08.xlsx&amp;sheet=U0&amp;row=3655&amp;col=7&amp;number=0.00252&amp;sourceID=14","0.00252")</f>
        <v>0.00252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HYPERLINK("http://141.218.60.56/~jnz1568/getInfo.php?workbook=18_08.xlsx&amp;sheet=U0&amp;row=3656&amp;col=6&amp;number=4.2&amp;sourceID=14","4.2")</f>
        <v>4.2</v>
      </c>
      <c r="G3656" s="4" t="str">
        <f>HYPERLINK("http://141.218.60.56/~jnz1568/getInfo.php?workbook=18_08.xlsx&amp;sheet=U0&amp;row=3656&amp;col=7&amp;number=0.00252&amp;sourceID=14","0.00252")</f>
        <v>0.00252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HYPERLINK("http://141.218.60.56/~jnz1568/getInfo.php?workbook=18_08.xlsx&amp;sheet=U0&amp;row=3657&amp;col=6&amp;number=4.3&amp;sourceID=14","4.3")</f>
        <v>4.3</v>
      </c>
      <c r="G3657" s="4" t="str">
        <f>HYPERLINK("http://141.218.60.56/~jnz1568/getInfo.php?workbook=18_08.xlsx&amp;sheet=U0&amp;row=3657&amp;col=7&amp;number=0.00252&amp;sourceID=14","0.00252")</f>
        <v>0.00252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HYPERLINK("http://141.218.60.56/~jnz1568/getInfo.php?workbook=18_08.xlsx&amp;sheet=U0&amp;row=3658&amp;col=6&amp;number=4.4&amp;sourceID=14","4.4")</f>
        <v>4.4</v>
      </c>
      <c r="G3658" s="4" t="str">
        <f>HYPERLINK("http://141.218.60.56/~jnz1568/getInfo.php?workbook=18_08.xlsx&amp;sheet=U0&amp;row=3658&amp;col=7&amp;number=0.00252&amp;sourceID=14","0.00252")</f>
        <v>0.00252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HYPERLINK("http://141.218.60.56/~jnz1568/getInfo.php?workbook=18_08.xlsx&amp;sheet=U0&amp;row=3659&amp;col=6&amp;number=4.5&amp;sourceID=14","4.5")</f>
        <v>4.5</v>
      </c>
      <c r="G3659" s="4" t="str">
        <f>HYPERLINK("http://141.218.60.56/~jnz1568/getInfo.php?workbook=18_08.xlsx&amp;sheet=U0&amp;row=3659&amp;col=7&amp;number=0.00251&amp;sourceID=14","0.00251")</f>
        <v>0.00251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HYPERLINK("http://141.218.60.56/~jnz1568/getInfo.php?workbook=18_08.xlsx&amp;sheet=U0&amp;row=3660&amp;col=6&amp;number=4.6&amp;sourceID=14","4.6")</f>
        <v>4.6</v>
      </c>
      <c r="G3660" s="4" t="str">
        <f>HYPERLINK("http://141.218.60.56/~jnz1568/getInfo.php?workbook=18_08.xlsx&amp;sheet=U0&amp;row=3660&amp;col=7&amp;number=0.00251&amp;sourceID=14","0.00251")</f>
        <v>0.00251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HYPERLINK("http://141.218.60.56/~jnz1568/getInfo.php?workbook=18_08.xlsx&amp;sheet=U0&amp;row=3661&amp;col=6&amp;number=4.7&amp;sourceID=14","4.7")</f>
        <v>4.7</v>
      </c>
      <c r="G3661" s="4" t="str">
        <f>HYPERLINK("http://141.218.60.56/~jnz1568/getInfo.php?workbook=18_08.xlsx&amp;sheet=U0&amp;row=3661&amp;col=7&amp;number=0.0025&amp;sourceID=14","0.0025")</f>
        <v>0.0025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HYPERLINK("http://141.218.60.56/~jnz1568/getInfo.php?workbook=18_08.xlsx&amp;sheet=U0&amp;row=3662&amp;col=6&amp;number=4.8&amp;sourceID=14","4.8")</f>
        <v>4.8</v>
      </c>
      <c r="G3662" s="4" t="str">
        <f>HYPERLINK("http://141.218.60.56/~jnz1568/getInfo.php?workbook=18_08.xlsx&amp;sheet=U0&amp;row=3662&amp;col=7&amp;number=0.0025&amp;sourceID=14","0.0025")</f>
        <v>0.0025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HYPERLINK("http://141.218.60.56/~jnz1568/getInfo.php?workbook=18_08.xlsx&amp;sheet=U0&amp;row=3663&amp;col=6&amp;number=4.9&amp;sourceID=14","4.9")</f>
        <v>4.9</v>
      </c>
      <c r="G3663" s="4" t="str">
        <f>HYPERLINK("http://141.218.60.56/~jnz1568/getInfo.php?workbook=18_08.xlsx&amp;sheet=U0&amp;row=3663&amp;col=7&amp;number=0.00249&amp;sourceID=14","0.00249")</f>
        <v>0.00249</v>
      </c>
    </row>
    <row r="3664" spans="1:7">
      <c r="A3664" s="3">
        <v>18</v>
      </c>
      <c r="B3664" s="3">
        <v>8</v>
      </c>
      <c r="C3664" s="3" t="s">
        <v>62</v>
      </c>
      <c r="D3664" s="3">
        <v>8</v>
      </c>
      <c r="E3664" s="3">
        <v>1</v>
      </c>
      <c r="F3664" s="4" t="str">
        <f>HYPERLINK("http://141.218.60.56/~jnz1568/getInfo.php?workbook=18_08.xlsx&amp;sheet=U0&amp;row=3664&amp;col=6&amp;number=3&amp;sourceID=14","3")</f>
        <v>3</v>
      </c>
      <c r="G3664" s="4" t="str">
        <f>HYPERLINK("http://141.218.60.56/~jnz1568/getInfo.php?workbook=18_08.xlsx&amp;sheet=U0&amp;row=3664&amp;col=7&amp;number=0.00243&amp;sourceID=14","0.00243")</f>
        <v>0.00243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HYPERLINK("http://141.218.60.56/~jnz1568/getInfo.php?workbook=18_08.xlsx&amp;sheet=U0&amp;row=3665&amp;col=6&amp;number=3.1&amp;sourceID=14","3.1")</f>
        <v>3.1</v>
      </c>
      <c r="G3665" s="4" t="str">
        <f>HYPERLINK("http://141.218.60.56/~jnz1568/getInfo.php?workbook=18_08.xlsx&amp;sheet=U0&amp;row=3665&amp;col=7&amp;number=0.00243&amp;sourceID=14","0.00243")</f>
        <v>0.00243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HYPERLINK("http://141.218.60.56/~jnz1568/getInfo.php?workbook=18_08.xlsx&amp;sheet=U0&amp;row=3666&amp;col=6&amp;number=3.2&amp;sourceID=14","3.2")</f>
        <v>3.2</v>
      </c>
      <c r="G3666" s="4" t="str">
        <f>HYPERLINK("http://141.218.60.56/~jnz1568/getInfo.php?workbook=18_08.xlsx&amp;sheet=U0&amp;row=3666&amp;col=7&amp;number=0.00243&amp;sourceID=14","0.00243")</f>
        <v>0.00243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HYPERLINK("http://141.218.60.56/~jnz1568/getInfo.php?workbook=18_08.xlsx&amp;sheet=U0&amp;row=3667&amp;col=6&amp;number=3.3&amp;sourceID=14","3.3")</f>
        <v>3.3</v>
      </c>
      <c r="G3667" s="4" t="str">
        <f>HYPERLINK("http://141.218.60.56/~jnz1568/getInfo.php?workbook=18_08.xlsx&amp;sheet=U0&amp;row=3667&amp;col=7&amp;number=0.00243&amp;sourceID=14","0.00243")</f>
        <v>0.00243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HYPERLINK("http://141.218.60.56/~jnz1568/getInfo.php?workbook=18_08.xlsx&amp;sheet=U0&amp;row=3668&amp;col=6&amp;number=3.4&amp;sourceID=14","3.4")</f>
        <v>3.4</v>
      </c>
      <c r="G3668" s="4" t="str">
        <f>HYPERLINK("http://141.218.60.56/~jnz1568/getInfo.php?workbook=18_08.xlsx&amp;sheet=U0&amp;row=3668&amp;col=7&amp;number=0.00243&amp;sourceID=14","0.00243")</f>
        <v>0.00243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HYPERLINK("http://141.218.60.56/~jnz1568/getInfo.php?workbook=18_08.xlsx&amp;sheet=U0&amp;row=3669&amp;col=6&amp;number=3.5&amp;sourceID=14","3.5")</f>
        <v>3.5</v>
      </c>
      <c r="G3669" s="4" t="str">
        <f>HYPERLINK("http://141.218.60.56/~jnz1568/getInfo.php?workbook=18_08.xlsx&amp;sheet=U0&amp;row=3669&amp;col=7&amp;number=0.00243&amp;sourceID=14","0.00243")</f>
        <v>0.00243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HYPERLINK("http://141.218.60.56/~jnz1568/getInfo.php?workbook=18_08.xlsx&amp;sheet=U0&amp;row=3670&amp;col=6&amp;number=3.6&amp;sourceID=14","3.6")</f>
        <v>3.6</v>
      </c>
      <c r="G3670" s="4" t="str">
        <f>HYPERLINK("http://141.218.60.56/~jnz1568/getInfo.php?workbook=18_08.xlsx&amp;sheet=U0&amp;row=3670&amp;col=7&amp;number=0.00243&amp;sourceID=14","0.00243")</f>
        <v>0.00243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HYPERLINK("http://141.218.60.56/~jnz1568/getInfo.php?workbook=18_08.xlsx&amp;sheet=U0&amp;row=3671&amp;col=6&amp;number=3.7&amp;sourceID=14","3.7")</f>
        <v>3.7</v>
      </c>
      <c r="G3671" s="4" t="str">
        <f>HYPERLINK("http://141.218.60.56/~jnz1568/getInfo.php?workbook=18_08.xlsx&amp;sheet=U0&amp;row=3671&amp;col=7&amp;number=0.00243&amp;sourceID=14","0.00243")</f>
        <v>0.00243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HYPERLINK("http://141.218.60.56/~jnz1568/getInfo.php?workbook=18_08.xlsx&amp;sheet=U0&amp;row=3672&amp;col=6&amp;number=3.8&amp;sourceID=14","3.8")</f>
        <v>3.8</v>
      </c>
      <c r="G3672" s="4" t="str">
        <f>HYPERLINK("http://141.218.60.56/~jnz1568/getInfo.php?workbook=18_08.xlsx&amp;sheet=U0&amp;row=3672&amp;col=7&amp;number=0.00243&amp;sourceID=14","0.00243")</f>
        <v>0.00243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HYPERLINK("http://141.218.60.56/~jnz1568/getInfo.php?workbook=18_08.xlsx&amp;sheet=U0&amp;row=3673&amp;col=6&amp;number=3.9&amp;sourceID=14","3.9")</f>
        <v>3.9</v>
      </c>
      <c r="G3673" s="4" t="str">
        <f>HYPERLINK("http://141.218.60.56/~jnz1568/getInfo.php?workbook=18_08.xlsx&amp;sheet=U0&amp;row=3673&amp;col=7&amp;number=0.00242&amp;sourceID=14","0.00242")</f>
        <v>0.00242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HYPERLINK("http://141.218.60.56/~jnz1568/getInfo.php?workbook=18_08.xlsx&amp;sheet=U0&amp;row=3674&amp;col=6&amp;number=4&amp;sourceID=14","4")</f>
        <v>4</v>
      </c>
      <c r="G3674" s="4" t="str">
        <f>HYPERLINK("http://141.218.60.56/~jnz1568/getInfo.php?workbook=18_08.xlsx&amp;sheet=U0&amp;row=3674&amp;col=7&amp;number=0.00242&amp;sourceID=14","0.00242")</f>
        <v>0.00242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HYPERLINK("http://141.218.60.56/~jnz1568/getInfo.php?workbook=18_08.xlsx&amp;sheet=U0&amp;row=3675&amp;col=6&amp;number=4.1&amp;sourceID=14","4.1")</f>
        <v>4.1</v>
      </c>
      <c r="G3675" s="4" t="str">
        <f>HYPERLINK("http://141.218.60.56/~jnz1568/getInfo.php?workbook=18_08.xlsx&amp;sheet=U0&amp;row=3675&amp;col=7&amp;number=0.00242&amp;sourceID=14","0.00242")</f>
        <v>0.00242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HYPERLINK("http://141.218.60.56/~jnz1568/getInfo.php?workbook=18_08.xlsx&amp;sheet=U0&amp;row=3676&amp;col=6&amp;number=4.2&amp;sourceID=14","4.2")</f>
        <v>4.2</v>
      </c>
      <c r="G3676" s="4" t="str">
        <f>HYPERLINK("http://141.218.60.56/~jnz1568/getInfo.php?workbook=18_08.xlsx&amp;sheet=U0&amp;row=3676&amp;col=7&amp;number=0.00242&amp;sourceID=14","0.00242")</f>
        <v>0.00242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HYPERLINK("http://141.218.60.56/~jnz1568/getInfo.php?workbook=18_08.xlsx&amp;sheet=U0&amp;row=3677&amp;col=6&amp;number=4.3&amp;sourceID=14","4.3")</f>
        <v>4.3</v>
      </c>
      <c r="G3677" s="4" t="str">
        <f>HYPERLINK("http://141.218.60.56/~jnz1568/getInfo.php?workbook=18_08.xlsx&amp;sheet=U0&amp;row=3677&amp;col=7&amp;number=0.00242&amp;sourceID=14","0.00242")</f>
        <v>0.00242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HYPERLINK("http://141.218.60.56/~jnz1568/getInfo.php?workbook=18_08.xlsx&amp;sheet=U0&amp;row=3678&amp;col=6&amp;number=4.4&amp;sourceID=14","4.4")</f>
        <v>4.4</v>
      </c>
      <c r="G3678" s="4" t="str">
        <f>HYPERLINK("http://141.218.60.56/~jnz1568/getInfo.php?workbook=18_08.xlsx&amp;sheet=U0&amp;row=3678&amp;col=7&amp;number=0.00241&amp;sourceID=14","0.00241")</f>
        <v>0.00241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HYPERLINK("http://141.218.60.56/~jnz1568/getInfo.php?workbook=18_08.xlsx&amp;sheet=U0&amp;row=3679&amp;col=6&amp;number=4.5&amp;sourceID=14","4.5")</f>
        <v>4.5</v>
      </c>
      <c r="G3679" s="4" t="str">
        <f>HYPERLINK("http://141.218.60.56/~jnz1568/getInfo.php?workbook=18_08.xlsx&amp;sheet=U0&amp;row=3679&amp;col=7&amp;number=0.00241&amp;sourceID=14","0.00241")</f>
        <v>0.00241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HYPERLINK("http://141.218.60.56/~jnz1568/getInfo.php?workbook=18_08.xlsx&amp;sheet=U0&amp;row=3680&amp;col=6&amp;number=4.6&amp;sourceID=14","4.6")</f>
        <v>4.6</v>
      </c>
      <c r="G3680" s="4" t="str">
        <f>HYPERLINK("http://141.218.60.56/~jnz1568/getInfo.php?workbook=18_08.xlsx&amp;sheet=U0&amp;row=3680&amp;col=7&amp;number=0.0024&amp;sourceID=14","0.0024")</f>
        <v>0.0024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HYPERLINK("http://141.218.60.56/~jnz1568/getInfo.php?workbook=18_08.xlsx&amp;sheet=U0&amp;row=3681&amp;col=6&amp;number=4.7&amp;sourceID=14","4.7")</f>
        <v>4.7</v>
      </c>
      <c r="G3681" s="4" t="str">
        <f>HYPERLINK("http://141.218.60.56/~jnz1568/getInfo.php?workbook=18_08.xlsx&amp;sheet=U0&amp;row=3681&amp;col=7&amp;number=0.0024&amp;sourceID=14","0.0024")</f>
        <v>0.0024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HYPERLINK("http://141.218.60.56/~jnz1568/getInfo.php?workbook=18_08.xlsx&amp;sheet=U0&amp;row=3682&amp;col=6&amp;number=4.8&amp;sourceID=14","4.8")</f>
        <v>4.8</v>
      </c>
      <c r="G3682" s="4" t="str">
        <f>HYPERLINK("http://141.218.60.56/~jnz1568/getInfo.php?workbook=18_08.xlsx&amp;sheet=U0&amp;row=3682&amp;col=7&amp;number=0.00239&amp;sourceID=14","0.00239")</f>
        <v>0.00239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HYPERLINK("http://141.218.60.56/~jnz1568/getInfo.php?workbook=18_08.xlsx&amp;sheet=U0&amp;row=3683&amp;col=6&amp;number=4.9&amp;sourceID=14","4.9")</f>
        <v>4.9</v>
      </c>
      <c r="G3683" s="4" t="str">
        <f>HYPERLINK("http://141.218.60.56/~jnz1568/getInfo.php?workbook=18_08.xlsx&amp;sheet=U0&amp;row=3683&amp;col=7&amp;number=0.00238&amp;sourceID=14","0.00238")</f>
        <v>0.00238</v>
      </c>
    </row>
    <row r="3684" spans="1:7">
      <c r="A3684" s="3">
        <v>18</v>
      </c>
      <c r="B3684" s="3">
        <v>8</v>
      </c>
      <c r="C3684" s="3" t="s">
        <v>62</v>
      </c>
      <c r="D3684" s="3">
        <v>9</v>
      </c>
      <c r="E3684" s="3">
        <v>1</v>
      </c>
      <c r="F3684" s="4" t="str">
        <f>HYPERLINK("http://141.218.60.56/~jnz1568/getInfo.php?workbook=18_08.xlsx&amp;sheet=U0&amp;row=3684&amp;col=6&amp;number=3&amp;sourceID=14","3")</f>
        <v>3</v>
      </c>
      <c r="G3684" s="4" t="str">
        <f>HYPERLINK("http://141.218.60.56/~jnz1568/getInfo.php?workbook=18_08.xlsx&amp;sheet=U0&amp;row=3684&amp;col=7&amp;number=0.00434&amp;sourceID=14","0.00434")</f>
        <v>0.00434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HYPERLINK("http://141.218.60.56/~jnz1568/getInfo.php?workbook=18_08.xlsx&amp;sheet=U0&amp;row=3685&amp;col=6&amp;number=3.1&amp;sourceID=14","3.1")</f>
        <v>3.1</v>
      </c>
      <c r="G3685" s="4" t="str">
        <f>HYPERLINK("http://141.218.60.56/~jnz1568/getInfo.php?workbook=18_08.xlsx&amp;sheet=U0&amp;row=3685&amp;col=7&amp;number=0.00434&amp;sourceID=14","0.00434")</f>
        <v>0.00434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HYPERLINK("http://141.218.60.56/~jnz1568/getInfo.php?workbook=18_08.xlsx&amp;sheet=U0&amp;row=3686&amp;col=6&amp;number=3.2&amp;sourceID=14","3.2")</f>
        <v>3.2</v>
      </c>
      <c r="G3686" s="4" t="str">
        <f>HYPERLINK("http://141.218.60.56/~jnz1568/getInfo.php?workbook=18_08.xlsx&amp;sheet=U0&amp;row=3686&amp;col=7&amp;number=0.00434&amp;sourceID=14","0.00434")</f>
        <v>0.00434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HYPERLINK("http://141.218.60.56/~jnz1568/getInfo.php?workbook=18_08.xlsx&amp;sheet=U0&amp;row=3687&amp;col=6&amp;number=3.3&amp;sourceID=14","3.3")</f>
        <v>3.3</v>
      </c>
      <c r="G3687" s="4" t="str">
        <f>HYPERLINK("http://141.218.60.56/~jnz1568/getInfo.php?workbook=18_08.xlsx&amp;sheet=U0&amp;row=3687&amp;col=7&amp;number=0.00434&amp;sourceID=14","0.00434")</f>
        <v>0.00434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HYPERLINK("http://141.218.60.56/~jnz1568/getInfo.php?workbook=18_08.xlsx&amp;sheet=U0&amp;row=3688&amp;col=6&amp;number=3.4&amp;sourceID=14","3.4")</f>
        <v>3.4</v>
      </c>
      <c r="G3688" s="4" t="str">
        <f>HYPERLINK("http://141.218.60.56/~jnz1568/getInfo.php?workbook=18_08.xlsx&amp;sheet=U0&amp;row=3688&amp;col=7&amp;number=0.00434&amp;sourceID=14","0.00434")</f>
        <v>0.00434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HYPERLINK("http://141.218.60.56/~jnz1568/getInfo.php?workbook=18_08.xlsx&amp;sheet=U0&amp;row=3689&amp;col=6&amp;number=3.5&amp;sourceID=14","3.5")</f>
        <v>3.5</v>
      </c>
      <c r="G3689" s="4" t="str">
        <f>HYPERLINK("http://141.218.60.56/~jnz1568/getInfo.php?workbook=18_08.xlsx&amp;sheet=U0&amp;row=3689&amp;col=7&amp;number=0.00434&amp;sourceID=14","0.00434")</f>
        <v>0.00434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HYPERLINK("http://141.218.60.56/~jnz1568/getInfo.php?workbook=18_08.xlsx&amp;sheet=U0&amp;row=3690&amp;col=6&amp;number=3.6&amp;sourceID=14","3.6")</f>
        <v>3.6</v>
      </c>
      <c r="G3690" s="4" t="str">
        <f>HYPERLINK("http://141.218.60.56/~jnz1568/getInfo.php?workbook=18_08.xlsx&amp;sheet=U0&amp;row=3690&amp;col=7&amp;number=0.00434&amp;sourceID=14","0.00434")</f>
        <v>0.00434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HYPERLINK("http://141.218.60.56/~jnz1568/getInfo.php?workbook=18_08.xlsx&amp;sheet=U0&amp;row=3691&amp;col=6&amp;number=3.7&amp;sourceID=14","3.7")</f>
        <v>3.7</v>
      </c>
      <c r="G3691" s="4" t="str">
        <f>HYPERLINK("http://141.218.60.56/~jnz1568/getInfo.php?workbook=18_08.xlsx&amp;sheet=U0&amp;row=3691&amp;col=7&amp;number=0.00434&amp;sourceID=14","0.00434")</f>
        <v>0.00434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HYPERLINK("http://141.218.60.56/~jnz1568/getInfo.php?workbook=18_08.xlsx&amp;sheet=U0&amp;row=3692&amp;col=6&amp;number=3.8&amp;sourceID=14","3.8")</f>
        <v>3.8</v>
      </c>
      <c r="G3692" s="4" t="str">
        <f>HYPERLINK("http://141.218.60.56/~jnz1568/getInfo.php?workbook=18_08.xlsx&amp;sheet=U0&amp;row=3692&amp;col=7&amp;number=0.00433&amp;sourceID=14","0.00433")</f>
        <v>0.00433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HYPERLINK("http://141.218.60.56/~jnz1568/getInfo.php?workbook=18_08.xlsx&amp;sheet=U0&amp;row=3693&amp;col=6&amp;number=3.9&amp;sourceID=14","3.9")</f>
        <v>3.9</v>
      </c>
      <c r="G3693" s="4" t="str">
        <f>HYPERLINK("http://141.218.60.56/~jnz1568/getInfo.php?workbook=18_08.xlsx&amp;sheet=U0&amp;row=3693&amp;col=7&amp;number=0.00433&amp;sourceID=14","0.00433")</f>
        <v>0.00433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HYPERLINK("http://141.218.60.56/~jnz1568/getInfo.php?workbook=18_08.xlsx&amp;sheet=U0&amp;row=3694&amp;col=6&amp;number=4&amp;sourceID=14","4")</f>
        <v>4</v>
      </c>
      <c r="G3694" s="4" t="str">
        <f>HYPERLINK("http://141.218.60.56/~jnz1568/getInfo.php?workbook=18_08.xlsx&amp;sheet=U0&amp;row=3694&amp;col=7&amp;number=0.00433&amp;sourceID=14","0.00433")</f>
        <v>0.00433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HYPERLINK("http://141.218.60.56/~jnz1568/getInfo.php?workbook=18_08.xlsx&amp;sheet=U0&amp;row=3695&amp;col=6&amp;number=4.1&amp;sourceID=14","4.1")</f>
        <v>4.1</v>
      </c>
      <c r="G3695" s="4" t="str">
        <f>HYPERLINK("http://141.218.60.56/~jnz1568/getInfo.php?workbook=18_08.xlsx&amp;sheet=U0&amp;row=3695&amp;col=7&amp;number=0.00433&amp;sourceID=14","0.00433")</f>
        <v>0.00433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HYPERLINK("http://141.218.60.56/~jnz1568/getInfo.php?workbook=18_08.xlsx&amp;sheet=U0&amp;row=3696&amp;col=6&amp;number=4.2&amp;sourceID=14","4.2")</f>
        <v>4.2</v>
      </c>
      <c r="G3696" s="4" t="str">
        <f>HYPERLINK("http://141.218.60.56/~jnz1568/getInfo.php?workbook=18_08.xlsx&amp;sheet=U0&amp;row=3696&amp;col=7&amp;number=0.00432&amp;sourceID=14","0.00432")</f>
        <v>0.00432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HYPERLINK("http://141.218.60.56/~jnz1568/getInfo.php?workbook=18_08.xlsx&amp;sheet=U0&amp;row=3697&amp;col=6&amp;number=4.3&amp;sourceID=14","4.3")</f>
        <v>4.3</v>
      </c>
      <c r="G3697" s="4" t="str">
        <f>HYPERLINK("http://141.218.60.56/~jnz1568/getInfo.php?workbook=18_08.xlsx&amp;sheet=U0&amp;row=3697&amp;col=7&amp;number=0.00432&amp;sourceID=14","0.00432")</f>
        <v>0.00432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HYPERLINK("http://141.218.60.56/~jnz1568/getInfo.php?workbook=18_08.xlsx&amp;sheet=U0&amp;row=3698&amp;col=6&amp;number=4.4&amp;sourceID=14","4.4")</f>
        <v>4.4</v>
      </c>
      <c r="G3698" s="4" t="str">
        <f>HYPERLINK("http://141.218.60.56/~jnz1568/getInfo.php?workbook=18_08.xlsx&amp;sheet=U0&amp;row=3698&amp;col=7&amp;number=0.00431&amp;sourceID=14","0.00431")</f>
        <v>0.00431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HYPERLINK("http://141.218.60.56/~jnz1568/getInfo.php?workbook=18_08.xlsx&amp;sheet=U0&amp;row=3699&amp;col=6&amp;number=4.5&amp;sourceID=14","4.5")</f>
        <v>4.5</v>
      </c>
      <c r="G3699" s="4" t="str">
        <f>HYPERLINK("http://141.218.60.56/~jnz1568/getInfo.php?workbook=18_08.xlsx&amp;sheet=U0&amp;row=3699&amp;col=7&amp;number=0.00431&amp;sourceID=14","0.00431")</f>
        <v>0.00431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HYPERLINK("http://141.218.60.56/~jnz1568/getInfo.php?workbook=18_08.xlsx&amp;sheet=U0&amp;row=3700&amp;col=6&amp;number=4.6&amp;sourceID=14","4.6")</f>
        <v>4.6</v>
      </c>
      <c r="G3700" s="4" t="str">
        <f>HYPERLINK("http://141.218.60.56/~jnz1568/getInfo.php?workbook=18_08.xlsx&amp;sheet=U0&amp;row=3700&amp;col=7&amp;number=0.0043&amp;sourceID=14","0.0043")</f>
        <v>0.0043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HYPERLINK("http://141.218.60.56/~jnz1568/getInfo.php?workbook=18_08.xlsx&amp;sheet=U0&amp;row=3701&amp;col=6&amp;number=4.7&amp;sourceID=14","4.7")</f>
        <v>4.7</v>
      </c>
      <c r="G3701" s="4" t="str">
        <f>HYPERLINK("http://141.218.60.56/~jnz1568/getInfo.php?workbook=18_08.xlsx&amp;sheet=U0&amp;row=3701&amp;col=7&amp;number=0.00428&amp;sourceID=14","0.00428")</f>
        <v>0.00428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HYPERLINK("http://141.218.60.56/~jnz1568/getInfo.php?workbook=18_08.xlsx&amp;sheet=U0&amp;row=3702&amp;col=6&amp;number=4.8&amp;sourceID=14","4.8")</f>
        <v>4.8</v>
      </c>
      <c r="G3702" s="4" t="str">
        <f>HYPERLINK("http://141.218.60.56/~jnz1568/getInfo.php?workbook=18_08.xlsx&amp;sheet=U0&amp;row=3702&amp;col=7&amp;number=0.00427&amp;sourceID=14","0.00427")</f>
        <v>0.00427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HYPERLINK("http://141.218.60.56/~jnz1568/getInfo.php?workbook=18_08.xlsx&amp;sheet=U0&amp;row=3703&amp;col=6&amp;number=4.9&amp;sourceID=14","4.9")</f>
        <v>4.9</v>
      </c>
      <c r="G3703" s="4" t="str">
        <f>HYPERLINK("http://141.218.60.56/~jnz1568/getInfo.php?workbook=18_08.xlsx&amp;sheet=U0&amp;row=3703&amp;col=7&amp;number=0.00425&amp;sourceID=14","0.00425")</f>
        <v>0.00425</v>
      </c>
    </row>
    <row r="3704" spans="1:7">
      <c r="A3704" s="3">
        <v>18</v>
      </c>
      <c r="B3704" s="3">
        <v>8</v>
      </c>
      <c r="C3704" s="3" t="s">
        <v>63</v>
      </c>
      <c r="D3704" s="3">
        <v>0</v>
      </c>
      <c r="E3704" s="3">
        <v>1</v>
      </c>
      <c r="F3704" s="4" t="str">
        <f>HYPERLINK("http://141.218.60.56/~jnz1568/getInfo.php?workbook=18_08.xlsx&amp;sheet=U0&amp;row=3704&amp;col=6&amp;number=3&amp;sourceID=14","3")</f>
        <v>3</v>
      </c>
      <c r="G3704" s="4" t="str">
        <f>HYPERLINK("http://141.218.60.56/~jnz1568/getInfo.php?workbook=18_08.xlsx&amp;sheet=U0&amp;row=3704&amp;col=7&amp;number=0.00185&amp;sourceID=14","0.00185")</f>
        <v>0.00185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HYPERLINK("http://141.218.60.56/~jnz1568/getInfo.php?workbook=18_08.xlsx&amp;sheet=U0&amp;row=3705&amp;col=6&amp;number=3.1&amp;sourceID=14","3.1")</f>
        <v>3.1</v>
      </c>
      <c r="G3705" s="4" t="str">
        <f>HYPERLINK("http://141.218.60.56/~jnz1568/getInfo.php?workbook=18_08.xlsx&amp;sheet=U0&amp;row=3705&amp;col=7&amp;number=0.00185&amp;sourceID=14","0.00185")</f>
        <v>0.00185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HYPERLINK("http://141.218.60.56/~jnz1568/getInfo.php?workbook=18_08.xlsx&amp;sheet=U0&amp;row=3706&amp;col=6&amp;number=3.2&amp;sourceID=14","3.2")</f>
        <v>3.2</v>
      </c>
      <c r="G3706" s="4" t="str">
        <f>HYPERLINK("http://141.218.60.56/~jnz1568/getInfo.php?workbook=18_08.xlsx&amp;sheet=U0&amp;row=3706&amp;col=7&amp;number=0.00185&amp;sourceID=14","0.00185")</f>
        <v>0.00185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HYPERLINK("http://141.218.60.56/~jnz1568/getInfo.php?workbook=18_08.xlsx&amp;sheet=U0&amp;row=3707&amp;col=6&amp;number=3.3&amp;sourceID=14","3.3")</f>
        <v>3.3</v>
      </c>
      <c r="G3707" s="4" t="str">
        <f>HYPERLINK("http://141.218.60.56/~jnz1568/getInfo.php?workbook=18_08.xlsx&amp;sheet=U0&amp;row=3707&amp;col=7&amp;number=0.00185&amp;sourceID=14","0.00185")</f>
        <v>0.00185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HYPERLINK("http://141.218.60.56/~jnz1568/getInfo.php?workbook=18_08.xlsx&amp;sheet=U0&amp;row=3708&amp;col=6&amp;number=3.4&amp;sourceID=14","3.4")</f>
        <v>3.4</v>
      </c>
      <c r="G3708" s="4" t="str">
        <f>HYPERLINK("http://141.218.60.56/~jnz1568/getInfo.php?workbook=18_08.xlsx&amp;sheet=U0&amp;row=3708&amp;col=7&amp;number=0.00185&amp;sourceID=14","0.00185")</f>
        <v>0.00185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HYPERLINK("http://141.218.60.56/~jnz1568/getInfo.php?workbook=18_08.xlsx&amp;sheet=U0&amp;row=3709&amp;col=6&amp;number=3.5&amp;sourceID=14","3.5")</f>
        <v>3.5</v>
      </c>
      <c r="G3709" s="4" t="str">
        <f>HYPERLINK("http://141.218.60.56/~jnz1568/getInfo.php?workbook=18_08.xlsx&amp;sheet=U0&amp;row=3709&amp;col=7&amp;number=0.00185&amp;sourceID=14","0.00185")</f>
        <v>0.00185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HYPERLINK("http://141.218.60.56/~jnz1568/getInfo.php?workbook=18_08.xlsx&amp;sheet=U0&amp;row=3710&amp;col=6&amp;number=3.6&amp;sourceID=14","3.6")</f>
        <v>3.6</v>
      </c>
      <c r="G3710" s="4" t="str">
        <f>HYPERLINK("http://141.218.60.56/~jnz1568/getInfo.php?workbook=18_08.xlsx&amp;sheet=U0&amp;row=3710&amp;col=7&amp;number=0.00185&amp;sourceID=14","0.00185")</f>
        <v>0.00185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HYPERLINK("http://141.218.60.56/~jnz1568/getInfo.php?workbook=18_08.xlsx&amp;sheet=U0&amp;row=3711&amp;col=6&amp;number=3.7&amp;sourceID=14","3.7")</f>
        <v>3.7</v>
      </c>
      <c r="G3711" s="4" t="str">
        <f>HYPERLINK("http://141.218.60.56/~jnz1568/getInfo.php?workbook=18_08.xlsx&amp;sheet=U0&amp;row=3711&amp;col=7&amp;number=0.00185&amp;sourceID=14","0.00185")</f>
        <v>0.00185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HYPERLINK("http://141.218.60.56/~jnz1568/getInfo.php?workbook=18_08.xlsx&amp;sheet=U0&amp;row=3712&amp;col=6&amp;number=3.8&amp;sourceID=14","3.8")</f>
        <v>3.8</v>
      </c>
      <c r="G3712" s="4" t="str">
        <f>HYPERLINK("http://141.218.60.56/~jnz1568/getInfo.php?workbook=18_08.xlsx&amp;sheet=U0&amp;row=3712&amp;col=7&amp;number=0.00185&amp;sourceID=14","0.00185")</f>
        <v>0.00185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HYPERLINK("http://141.218.60.56/~jnz1568/getInfo.php?workbook=18_08.xlsx&amp;sheet=U0&amp;row=3713&amp;col=6&amp;number=3.9&amp;sourceID=14","3.9")</f>
        <v>3.9</v>
      </c>
      <c r="G3713" s="4" t="str">
        <f>HYPERLINK("http://141.218.60.56/~jnz1568/getInfo.php?workbook=18_08.xlsx&amp;sheet=U0&amp;row=3713&amp;col=7&amp;number=0.00185&amp;sourceID=14","0.00185")</f>
        <v>0.00185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HYPERLINK("http://141.218.60.56/~jnz1568/getInfo.php?workbook=18_08.xlsx&amp;sheet=U0&amp;row=3714&amp;col=6&amp;number=4&amp;sourceID=14","4")</f>
        <v>4</v>
      </c>
      <c r="G3714" s="4" t="str">
        <f>HYPERLINK("http://141.218.60.56/~jnz1568/getInfo.php?workbook=18_08.xlsx&amp;sheet=U0&amp;row=3714&amp;col=7&amp;number=0.00185&amp;sourceID=14","0.00185")</f>
        <v>0.00185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HYPERLINK("http://141.218.60.56/~jnz1568/getInfo.php?workbook=18_08.xlsx&amp;sheet=U0&amp;row=3715&amp;col=6&amp;number=4.1&amp;sourceID=14","4.1")</f>
        <v>4.1</v>
      </c>
      <c r="G3715" s="4" t="str">
        <f>HYPERLINK("http://141.218.60.56/~jnz1568/getInfo.php?workbook=18_08.xlsx&amp;sheet=U0&amp;row=3715&amp;col=7&amp;number=0.00185&amp;sourceID=14","0.00185")</f>
        <v>0.00185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HYPERLINK("http://141.218.60.56/~jnz1568/getInfo.php?workbook=18_08.xlsx&amp;sheet=U0&amp;row=3716&amp;col=6&amp;number=4.2&amp;sourceID=14","4.2")</f>
        <v>4.2</v>
      </c>
      <c r="G3716" s="4" t="str">
        <f>HYPERLINK("http://141.218.60.56/~jnz1568/getInfo.php?workbook=18_08.xlsx&amp;sheet=U0&amp;row=3716&amp;col=7&amp;number=0.00185&amp;sourceID=14","0.00185")</f>
        <v>0.00185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HYPERLINK("http://141.218.60.56/~jnz1568/getInfo.php?workbook=18_08.xlsx&amp;sheet=U0&amp;row=3717&amp;col=6&amp;number=4.3&amp;sourceID=14","4.3")</f>
        <v>4.3</v>
      </c>
      <c r="G3717" s="4" t="str">
        <f>HYPERLINK("http://141.218.60.56/~jnz1568/getInfo.php?workbook=18_08.xlsx&amp;sheet=U0&amp;row=3717&amp;col=7&amp;number=0.00185&amp;sourceID=14","0.00185")</f>
        <v>0.00185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HYPERLINK("http://141.218.60.56/~jnz1568/getInfo.php?workbook=18_08.xlsx&amp;sheet=U0&amp;row=3718&amp;col=6&amp;number=4.4&amp;sourceID=14","4.4")</f>
        <v>4.4</v>
      </c>
      <c r="G3718" s="4" t="str">
        <f>HYPERLINK("http://141.218.60.56/~jnz1568/getInfo.php?workbook=18_08.xlsx&amp;sheet=U0&amp;row=3718&amp;col=7&amp;number=0.00185&amp;sourceID=14","0.00185")</f>
        <v>0.00185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HYPERLINK("http://141.218.60.56/~jnz1568/getInfo.php?workbook=18_08.xlsx&amp;sheet=U0&amp;row=3719&amp;col=6&amp;number=4.5&amp;sourceID=14","4.5")</f>
        <v>4.5</v>
      </c>
      <c r="G3719" s="4" t="str">
        <f>HYPERLINK("http://141.218.60.56/~jnz1568/getInfo.php?workbook=18_08.xlsx&amp;sheet=U0&amp;row=3719&amp;col=7&amp;number=0.00185&amp;sourceID=14","0.00185")</f>
        <v>0.00185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HYPERLINK("http://141.218.60.56/~jnz1568/getInfo.php?workbook=18_08.xlsx&amp;sheet=U0&amp;row=3720&amp;col=6&amp;number=4.6&amp;sourceID=14","4.6")</f>
        <v>4.6</v>
      </c>
      <c r="G3720" s="4" t="str">
        <f>HYPERLINK("http://141.218.60.56/~jnz1568/getInfo.php?workbook=18_08.xlsx&amp;sheet=U0&amp;row=3720&amp;col=7&amp;number=0.00184&amp;sourceID=14","0.00184")</f>
        <v>0.00184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HYPERLINK("http://141.218.60.56/~jnz1568/getInfo.php?workbook=18_08.xlsx&amp;sheet=U0&amp;row=3721&amp;col=6&amp;number=4.7&amp;sourceID=14","4.7")</f>
        <v>4.7</v>
      </c>
      <c r="G3721" s="4" t="str">
        <f>HYPERLINK("http://141.218.60.56/~jnz1568/getInfo.php?workbook=18_08.xlsx&amp;sheet=U0&amp;row=3721&amp;col=7&amp;number=0.00184&amp;sourceID=14","0.00184")</f>
        <v>0.00184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HYPERLINK("http://141.218.60.56/~jnz1568/getInfo.php?workbook=18_08.xlsx&amp;sheet=U0&amp;row=3722&amp;col=6&amp;number=4.8&amp;sourceID=14","4.8")</f>
        <v>4.8</v>
      </c>
      <c r="G3722" s="4" t="str">
        <f>HYPERLINK("http://141.218.60.56/~jnz1568/getInfo.php?workbook=18_08.xlsx&amp;sheet=U0&amp;row=3722&amp;col=7&amp;number=0.00184&amp;sourceID=14","0.00184")</f>
        <v>0.00184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HYPERLINK("http://141.218.60.56/~jnz1568/getInfo.php?workbook=18_08.xlsx&amp;sheet=U0&amp;row=3723&amp;col=6&amp;number=4.9&amp;sourceID=14","4.9")</f>
        <v>4.9</v>
      </c>
      <c r="G3723" s="4" t="str">
        <f>HYPERLINK("http://141.218.60.56/~jnz1568/getInfo.php?workbook=18_08.xlsx&amp;sheet=U0&amp;row=3723&amp;col=7&amp;number=0.00183&amp;sourceID=14","0.00183")</f>
        <v>0.00183</v>
      </c>
    </row>
    <row r="3724" spans="1:7">
      <c r="A3724" s="3">
        <v>18</v>
      </c>
      <c r="B3724" s="3">
        <v>8</v>
      </c>
      <c r="C3724" s="3" t="s">
        <v>63</v>
      </c>
      <c r="D3724" s="3">
        <v>1</v>
      </c>
      <c r="E3724" s="3">
        <v>1</v>
      </c>
      <c r="F3724" s="4" t="str">
        <f>HYPERLINK("http://141.218.60.56/~jnz1568/getInfo.php?workbook=18_08.xlsx&amp;sheet=U0&amp;row=3724&amp;col=6&amp;number=3&amp;sourceID=14","3")</f>
        <v>3</v>
      </c>
      <c r="G3724" s="4" t="str">
        <f>HYPERLINK("http://141.218.60.56/~jnz1568/getInfo.php?workbook=18_08.xlsx&amp;sheet=U0&amp;row=3724&amp;col=7&amp;number=0.00199&amp;sourceID=14","0.00199")</f>
        <v>0.00199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HYPERLINK("http://141.218.60.56/~jnz1568/getInfo.php?workbook=18_08.xlsx&amp;sheet=U0&amp;row=3725&amp;col=6&amp;number=3.1&amp;sourceID=14","3.1")</f>
        <v>3.1</v>
      </c>
      <c r="G3725" s="4" t="str">
        <f>HYPERLINK("http://141.218.60.56/~jnz1568/getInfo.php?workbook=18_08.xlsx&amp;sheet=U0&amp;row=3725&amp;col=7&amp;number=0.00199&amp;sourceID=14","0.00199")</f>
        <v>0.00199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HYPERLINK("http://141.218.60.56/~jnz1568/getInfo.php?workbook=18_08.xlsx&amp;sheet=U0&amp;row=3726&amp;col=6&amp;number=3.2&amp;sourceID=14","3.2")</f>
        <v>3.2</v>
      </c>
      <c r="G3726" s="4" t="str">
        <f>HYPERLINK("http://141.218.60.56/~jnz1568/getInfo.php?workbook=18_08.xlsx&amp;sheet=U0&amp;row=3726&amp;col=7&amp;number=0.00199&amp;sourceID=14","0.00199")</f>
        <v>0.00199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HYPERLINK("http://141.218.60.56/~jnz1568/getInfo.php?workbook=18_08.xlsx&amp;sheet=U0&amp;row=3727&amp;col=6&amp;number=3.3&amp;sourceID=14","3.3")</f>
        <v>3.3</v>
      </c>
      <c r="G3727" s="4" t="str">
        <f>HYPERLINK("http://141.218.60.56/~jnz1568/getInfo.php?workbook=18_08.xlsx&amp;sheet=U0&amp;row=3727&amp;col=7&amp;number=0.00199&amp;sourceID=14","0.00199")</f>
        <v>0.00199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HYPERLINK("http://141.218.60.56/~jnz1568/getInfo.php?workbook=18_08.xlsx&amp;sheet=U0&amp;row=3728&amp;col=6&amp;number=3.4&amp;sourceID=14","3.4")</f>
        <v>3.4</v>
      </c>
      <c r="G3728" s="4" t="str">
        <f>HYPERLINK("http://141.218.60.56/~jnz1568/getInfo.php?workbook=18_08.xlsx&amp;sheet=U0&amp;row=3728&amp;col=7&amp;number=0.00199&amp;sourceID=14","0.00199")</f>
        <v>0.00199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HYPERLINK("http://141.218.60.56/~jnz1568/getInfo.php?workbook=18_08.xlsx&amp;sheet=U0&amp;row=3729&amp;col=6&amp;number=3.5&amp;sourceID=14","3.5")</f>
        <v>3.5</v>
      </c>
      <c r="G3729" s="4" t="str">
        <f>HYPERLINK("http://141.218.60.56/~jnz1568/getInfo.php?workbook=18_08.xlsx&amp;sheet=U0&amp;row=3729&amp;col=7&amp;number=0.00199&amp;sourceID=14","0.00199")</f>
        <v>0.00199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HYPERLINK("http://141.218.60.56/~jnz1568/getInfo.php?workbook=18_08.xlsx&amp;sheet=U0&amp;row=3730&amp;col=6&amp;number=3.6&amp;sourceID=14","3.6")</f>
        <v>3.6</v>
      </c>
      <c r="G3730" s="4" t="str">
        <f>HYPERLINK("http://141.218.60.56/~jnz1568/getInfo.php?workbook=18_08.xlsx&amp;sheet=U0&amp;row=3730&amp;col=7&amp;number=0.00199&amp;sourceID=14","0.00199")</f>
        <v>0.00199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HYPERLINK("http://141.218.60.56/~jnz1568/getInfo.php?workbook=18_08.xlsx&amp;sheet=U0&amp;row=3731&amp;col=6&amp;number=3.7&amp;sourceID=14","3.7")</f>
        <v>3.7</v>
      </c>
      <c r="G3731" s="4" t="str">
        <f>HYPERLINK("http://141.218.60.56/~jnz1568/getInfo.php?workbook=18_08.xlsx&amp;sheet=U0&amp;row=3731&amp;col=7&amp;number=0.00199&amp;sourceID=14","0.00199")</f>
        <v>0.00199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HYPERLINK("http://141.218.60.56/~jnz1568/getInfo.php?workbook=18_08.xlsx&amp;sheet=U0&amp;row=3732&amp;col=6&amp;number=3.8&amp;sourceID=14","3.8")</f>
        <v>3.8</v>
      </c>
      <c r="G3732" s="4" t="str">
        <f>HYPERLINK("http://141.218.60.56/~jnz1568/getInfo.php?workbook=18_08.xlsx&amp;sheet=U0&amp;row=3732&amp;col=7&amp;number=0.002&amp;sourceID=14","0.002")</f>
        <v>0.002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HYPERLINK("http://141.218.60.56/~jnz1568/getInfo.php?workbook=18_08.xlsx&amp;sheet=U0&amp;row=3733&amp;col=6&amp;number=3.9&amp;sourceID=14","3.9")</f>
        <v>3.9</v>
      </c>
      <c r="G3733" s="4" t="str">
        <f>HYPERLINK("http://141.218.60.56/~jnz1568/getInfo.php?workbook=18_08.xlsx&amp;sheet=U0&amp;row=3733&amp;col=7&amp;number=0.002&amp;sourceID=14","0.002")</f>
        <v>0.002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HYPERLINK("http://141.218.60.56/~jnz1568/getInfo.php?workbook=18_08.xlsx&amp;sheet=U0&amp;row=3734&amp;col=6&amp;number=4&amp;sourceID=14","4")</f>
        <v>4</v>
      </c>
      <c r="G3734" s="4" t="str">
        <f>HYPERLINK("http://141.218.60.56/~jnz1568/getInfo.php?workbook=18_08.xlsx&amp;sheet=U0&amp;row=3734&amp;col=7&amp;number=0.002&amp;sourceID=14","0.002")</f>
        <v>0.002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HYPERLINK("http://141.218.60.56/~jnz1568/getInfo.php?workbook=18_08.xlsx&amp;sheet=U0&amp;row=3735&amp;col=6&amp;number=4.1&amp;sourceID=14","4.1")</f>
        <v>4.1</v>
      </c>
      <c r="G3735" s="4" t="str">
        <f>HYPERLINK("http://141.218.60.56/~jnz1568/getInfo.php?workbook=18_08.xlsx&amp;sheet=U0&amp;row=3735&amp;col=7&amp;number=0.002&amp;sourceID=14","0.002")</f>
        <v>0.002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HYPERLINK("http://141.218.60.56/~jnz1568/getInfo.php?workbook=18_08.xlsx&amp;sheet=U0&amp;row=3736&amp;col=6&amp;number=4.2&amp;sourceID=14","4.2")</f>
        <v>4.2</v>
      </c>
      <c r="G3736" s="4" t="str">
        <f>HYPERLINK("http://141.218.60.56/~jnz1568/getInfo.php?workbook=18_08.xlsx&amp;sheet=U0&amp;row=3736&amp;col=7&amp;number=0.002&amp;sourceID=14","0.002")</f>
        <v>0.002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HYPERLINK("http://141.218.60.56/~jnz1568/getInfo.php?workbook=18_08.xlsx&amp;sheet=U0&amp;row=3737&amp;col=6&amp;number=4.3&amp;sourceID=14","4.3")</f>
        <v>4.3</v>
      </c>
      <c r="G3737" s="4" t="str">
        <f>HYPERLINK("http://141.218.60.56/~jnz1568/getInfo.php?workbook=18_08.xlsx&amp;sheet=U0&amp;row=3737&amp;col=7&amp;number=0.002&amp;sourceID=14","0.002")</f>
        <v>0.002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HYPERLINK("http://141.218.60.56/~jnz1568/getInfo.php?workbook=18_08.xlsx&amp;sheet=U0&amp;row=3738&amp;col=6&amp;number=4.4&amp;sourceID=14","4.4")</f>
        <v>4.4</v>
      </c>
      <c r="G3738" s="4" t="str">
        <f>HYPERLINK("http://141.218.60.56/~jnz1568/getInfo.php?workbook=18_08.xlsx&amp;sheet=U0&amp;row=3738&amp;col=7&amp;number=0.002&amp;sourceID=14","0.002")</f>
        <v>0.002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HYPERLINK("http://141.218.60.56/~jnz1568/getInfo.php?workbook=18_08.xlsx&amp;sheet=U0&amp;row=3739&amp;col=6&amp;number=4.5&amp;sourceID=14","4.5")</f>
        <v>4.5</v>
      </c>
      <c r="G3739" s="4" t="str">
        <f>HYPERLINK("http://141.218.60.56/~jnz1568/getInfo.php?workbook=18_08.xlsx&amp;sheet=U0&amp;row=3739&amp;col=7&amp;number=0.002&amp;sourceID=14","0.002")</f>
        <v>0.002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HYPERLINK("http://141.218.60.56/~jnz1568/getInfo.php?workbook=18_08.xlsx&amp;sheet=U0&amp;row=3740&amp;col=6&amp;number=4.6&amp;sourceID=14","4.6")</f>
        <v>4.6</v>
      </c>
      <c r="G3740" s="4" t="str">
        <f>HYPERLINK("http://141.218.60.56/~jnz1568/getInfo.php?workbook=18_08.xlsx&amp;sheet=U0&amp;row=3740&amp;col=7&amp;number=0.00201&amp;sourceID=14","0.00201")</f>
        <v>0.00201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HYPERLINK("http://141.218.60.56/~jnz1568/getInfo.php?workbook=18_08.xlsx&amp;sheet=U0&amp;row=3741&amp;col=6&amp;number=4.7&amp;sourceID=14","4.7")</f>
        <v>4.7</v>
      </c>
      <c r="G3741" s="4" t="str">
        <f>HYPERLINK("http://141.218.60.56/~jnz1568/getInfo.php?workbook=18_08.xlsx&amp;sheet=U0&amp;row=3741&amp;col=7&amp;number=0.00201&amp;sourceID=14","0.00201")</f>
        <v>0.00201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HYPERLINK("http://141.218.60.56/~jnz1568/getInfo.php?workbook=18_08.xlsx&amp;sheet=U0&amp;row=3742&amp;col=6&amp;number=4.8&amp;sourceID=14","4.8")</f>
        <v>4.8</v>
      </c>
      <c r="G3742" s="4" t="str">
        <f>HYPERLINK("http://141.218.60.56/~jnz1568/getInfo.php?workbook=18_08.xlsx&amp;sheet=U0&amp;row=3742&amp;col=7&amp;number=0.00201&amp;sourceID=14","0.00201")</f>
        <v>0.00201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HYPERLINK("http://141.218.60.56/~jnz1568/getInfo.php?workbook=18_08.xlsx&amp;sheet=U0&amp;row=3743&amp;col=6&amp;number=4.9&amp;sourceID=14","4.9")</f>
        <v>4.9</v>
      </c>
      <c r="G3743" s="4" t="str">
        <f>HYPERLINK("http://141.218.60.56/~jnz1568/getInfo.php?workbook=18_08.xlsx&amp;sheet=U0&amp;row=3743&amp;col=7&amp;number=0.00202&amp;sourceID=14","0.00202")</f>
        <v>0.00202</v>
      </c>
    </row>
    <row r="3744" spans="1:7">
      <c r="A3744" s="3">
        <v>18</v>
      </c>
      <c r="B3744" s="3">
        <v>8</v>
      </c>
      <c r="C3744" s="3" t="s">
        <v>63</v>
      </c>
      <c r="D3744" s="3">
        <v>2</v>
      </c>
      <c r="E3744" s="3">
        <v>1</v>
      </c>
      <c r="F3744" s="4" t="str">
        <f>HYPERLINK("http://141.218.60.56/~jnz1568/getInfo.php?workbook=18_08.xlsx&amp;sheet=U0&amp;row=3744&amp;col=6&amp;number=3&amp;sourceID=14","3")</f>
        <v>3</v>
      </c>
      <c r="G3744" s="4" t="str">
        <f>HYPERLINK("http://141.218.60.56/~jnz1568/getInfo.php?workbook=18_08.xlsx&amp;sheet=U0&amp;row=3744&amp;col=7&amp;number=0.00559&amp;sourceID=14","0.00559")</f>
        <v>0.00559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HYPERLINK("http://141.218.60.56/~jnz1568/getInfo.php?workbook=18_08.xlsx&amp;sheet=U0&amp;row=3745&amp;col=6&amp;number=3.1&amp;sourceID=14","3.1")</f>
        <v>3.1</v>
      </c>
      <c r="G3745" s="4" t="str">
        <f>HYPERLINK("http://141.218.60.56/~jnz1568/getInfo.php?workbook=18_08.xlsx&amp;sheet=U0&amp;row=3745&amp;col=7&amp;number=0.00559&amp;sourceID=14","0.00559")</f>
        <v>0.00559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HYPERLINK("http://141.218.60.56/~jnz1568/getInfo.php?workbook=18_08.xlsx&amp;sheet=U0&amp;row=3746&amp;col=6&amp;number=3.2&amp;sourceID=14","3.2")</f>
        <v>3.2</v>
      </c>
      <c r="G3746" s="4" t="str">
        <f>HYPERLINK("http://141.218.60.56/~jnz1568/getInfo.php?workbook=18_08.xlsx&amp;sheet=U0&amp;row=3746&amp;col=7&amp;number=0.00559&amp;sourceID=14","0.00559")</f>
        <v>0.00559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HYPERLINK("http://141.218.60.56/~jnz1568/getInfo.php?workbook=18_08.xlsx&amp;sheet=U0&amp;row=3747&amp;col=6&amp;number=3.3&amp;sourceID=14","3.3")</f>
        <v>3.3</v>
      </c>
      <c r="G3747" s="4" t="str">
        <f>HYPERLINK("http://141.218.60.56/~jnz1568/getInfo.php?workbook=18_08.xlsx&amp;sheet=U0&amp;row=3747&amp;col=7&amp;number=0.00559&amp;sourceID=14","0.00559")</f>
        <v>0.00559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HYPERLINK("http://141.218.60.56/~jnz1568/getInfo.php?workbook=18_08.xlsx&amp;sheet=U0&amp;row=3748&amp;col=6&amp;number=3.4&amp;sourceID=14","3.4")</f>
        <v>3.4</v>
      </c>
      <c r="G3748" s="4" t="str">
        <f>HYPERLINK("http://141.218.60.56/~jnz1568/getInfo.php?workbook=18_08.xlsx&amp;sheet=U0&amp;row=3748&amp;col=7&amp;number=0.00559&amp;sourceID=14","0.00559")</f>
        <v>0.00559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HYPERLINK("http://141.218.60.56/~jnz1568/getInfo.php?workbook=18_08.xlsx&amp;sheet=U0&amp;row=3749&amp;col=6&amp;number=3.5&amp;sourceID=14","3.5")</f>
        <v>3.5</v>
      </c>
      <c r="G3749" s="4" t="str">
        <f>HYPERLINK("http://141.218.60.56/~jnz1568/getInfo.php?workbook=18_08.xlsx&amp;sheet=U0&amp;row=3749&amp;col=7&amp;number=0.00559&amp;sourceID=14","0.00559")</f>
        <v>0.00559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HYPERLINK("http://141.218.60.56/~jnz1568/getInfo.php?workbook=18_08.xlsx&amp;sheet=U0&amp;row=3750&amp;col=6&amp;number=3.6&amp;sourceID=14","3.6")</f>
        <v>3.6</v>
      </c>
      <c r="G3750" s="4" t="str">
        <f>HYPERLINK("http://141.218.60.56/~jnz1568/getInfo.php?workbook=18_08.xlsx&amp;sheet=U0&amp;row=3750&amp;col=7&amp;number=0.00559&amp;sourceID=14","0.00559")</f>
        <v>0.00559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HYPERLINK("http://141.218.60.56/~jnz1568/getInfo.php?workbook=18_08.xlsx&amp;sheet=U0&amp;row=3751&amp;col=6&amp;number=3.7&amp;sourceID=14","3.7")</f>
        <v>3.7</v>
      </c>
      <c r="G3751" s="4" t="str">
        <f>HYPERLINK("http://141.218.60.56/~jnz1568/getInfo.php?workbook=18_08.xlsx&amp;sheet=U0&amp;row=3751&amp;col=7&amp;number=0.00559&amp;sourceID=14","0.00559")</f>
        <v>0.00559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HYPERLINK("http://141.218.60.56/~jnz1568/getInfo.php?workbook=18_08.xlsx&amp;sheet=U0&amp;row=3752&amp;col=6&amp;number=3.8&amp;sourceID=14","3.8")</f>
        <v>3.8</v>
      </c>
      <c r="G3752" s="4" t="str">
        <f>HYPERLINK("http://141.218.60.56/~jnz1568/getInfo.php?workbook=18_08.xlsx&amp;sheet=U0&amp;row=3752&amp;col=7&amp;number=0.00559&amp;sourceID=14","0.00559")</f>
        <v>0.00559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HYPERLINK("http://141.218.60.56/~jnz1568/getInfo.php?workbook=18_08.xlsx&amp;sheet=U0&amp;row=3753&amp;col=6&amp;number=3.9&amp;sourceID=14","3.9")</f>
        <v>3.9</v>
      </c>
      <c r="G3753" s="4" t="str">
        <f>HYPERLINK("http://141.218.60.56/~jnz1568/getInfo.php?workbook=18_08.xlsx&amp;sheet=U0&amp;row=3753&amp;col=7&amp;number=0.00559&amp;sourceID=14","0.00559")</f>
        <v>0.00559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HYPERLINK("http://141.218.60.56/~jnz1568/getInfo.php?workbook=18_08.xlsx&amp;sheet=U0&amp;row=3754&amp;col=6&amp;number=4&amp;sourceID=14","4")</f>
        <v>4</v>
      </c>
      <c r="G3754" s="4" t="str">
        <f>HYPERLINK("http://141.218.60.56/~jnz1568/getInfo.php?workbook=18_08.xlsx&amp;sheet=U0&amp;row=3754&amp;col=7&amp;number=0.00559&amp;sourceID=14","0.00559")</f>
        <v>0.00559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HYPERLINK("http://141.218.60.56/~jnz1568/getInfo.php?workbook=18_08.xlsx&amp;sheet=U0&amp;row=3755&amp;col=6&amp;number=4.1&amp;sourceID=14","4.1")</f>
        <v>4.1</v>
      </c>
      <c r="G3755" s="4" t="str">
        <f>HYPERLINK("http://141.218.60.56/~jnz1568/getInfo.php?workbook=18_08.xlsx&amp;sheet=U0&amp;row=3755&amp;col=7&amp;number=0.00559&amp;sourceID=14","0.00559")</f>
        <v>0.00559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HYPERLINK("http://141.218.60.56/~jnz1568/getInfo.php?workbook=18_08.xlsx&amp;sheet=U0&amp;row=3756&amp;col=6&amp;number=4.2&amp;sourceID=14","4.2")</f>
        <v>4.2</v>
      </c>
      <c r="G3756" s="4" t="str">
        <f>HYPERLINK("http://141.218.60.56/~jnz1568/getInfo.php?workbook=18_08.xlsx&amp;sheet=U0&amp;row=3756&amp;col=7&amp;number=0.00559&amp;sourceID=14","0.00559")</f>
        <v>0.00559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HYPERLINK("http://141.218.60.56/~jnz1568/getInfo.php?workbook=18_08.xlsx&amp;sheet=U0&amp;row=3757&amp;col=6&amp;number=4.3&amp;sourceID=14","4.3")</f>
        <v>4.3</v>
      </c>
      <c r="G3757" s="4" t="str">
        <f>HYPERLINK("http://141.218.60.56/~jnz1568/getInfo.php?workbook=18_08.xlsx&amp;sheet=U0&amp;row=3757&amp;col=7&amp;number=0.00559&amp;sourceID=14","0.00559")</f>
        <v>0.00559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HYPERLINK("http://141.218.60.56/~jnz1568/getInfo.php?workbook=18_08.xlsx&amp;sheet=U0&amp;row=3758&amp;col=6&amp;number=4.4&amp;sourceID=14","4.4")</f>
        <v>4.4</v>
      </c>
      <c r="G3758" s="4" t="str">
        <f>HYPERLINK("http://141.218.60.56/~jnz1568/getInfo.php?workbook=18_08.xlsx&amp;sheet=U0&amp;row=3758&amp;col=7&amp;number=0.00559&amp;sourceID=14","0.00559")</f>
        <v>0.00559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HYPERLINK("http://141.218.60.56/~jnz1568/getInfo.php?workbook=18_08.xlsx&amp;sheet=U0&amp;row=3759&amp;col=6&amp;number=4.5&amp;sourceID=14","4.5")</f>
        <v>4.5</v>
      </c>
      <c r="G3759" s="4" t="str">
        <f>HYPERLINK("http://141.218.60.56/~jnz1568/getInfo.php?workbook=18_08.xlsx&amp;sheet=U0&amp;row=3759&amp;col=7&amp;number=0.0056&amp;sourceID=14","0.0056")</f>
        <v>0.0056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HYPERLINK("http://141.218.60.56/~jnz1568/getInfo.php?workbook=18_08.xlsx&amp;sheet=U0&amp;row=3760&amp;col=6&amp;number=4.6&amp;sourceID=14","4.6")</f>
        <v>4.6</v>
      </c>
      <c r="G3760" s="4" t="str">
        <f>HYPERLINK("http://141.218.60.56/~jnz1568/getInfo.php?workbook=18_08.xlsx&amp;sheet=U0&amp;row=3760&amp;col=7&amp;number=0.0056&amp;sourceID=14","0.0056")</f>
        <v>0.0056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HYPERLINK("http://141.218.60.56/~jnz1568/getInfo.php?workbook=18_08.xlsx&amp;sheet=U0&amp;row=3761&amp;col=6&amp;number=4.7&amp;sourceID=14","4.7")</f>
        <v>4.7</v>
      </c>
      <c r="G3761" s="4" t="str">
        <f>HYPERLINK("http://141.218.60.56/~jnz1568/getInfo.php?workbook=18_08.xlsx&amp;sheet=U0&amp;row=3761&amp;col=7&amp;number=0.0056&amp;sourceID=14","0.0056")</f>
        <v>0.0056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HYPERLINK("http://141.218.60.56/~jnz1568/getInfo.php?workbook=18_08.xlsx&amp;sheet=U0&amp;row=3762&amp;col=6&amp;number=4.8&amp;sourceID=14","4.8")</f>
        <v>4.8</v>
      </c>
      <c r="G3762" s="4" t="str">
        <f>HYPERLINK("http://141.218.60.56/~jnz1568/getInfo.php?workbook=18_08.xlsx&amp;sheet=U0&amp;row=3762&amp;col=7&amp;number=0.0056&amp;sourceID=14","0.0056")</f>
        <v>0.0056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HYPERLINK("http://141.218.60.56/~jnz1568/getInfo.php?workbook=18_08.xlsx&amp;sheet=U0&amp;row=3763&amp;col=6&amp;number=4.9&amp;sourceID=14","4.9")</f>
        <v>4.9</v>
      </c>
      <c r="G3763" s="4" t="str">
        <f>HYPERLINK("http://141.218.60.56/~jnz1568/getInfo.php?workbook=18_08.xlsx&amp;sheet=U0&amp;row=3763&amp;col=7&amp;number=0.00561&amp;sourceID=14","0.00561")</f>
        <v>0.00561</v>
      </c>
    </row>
    <row r="3764" spans="1:7">
      <c r="A3764" s="3">
        <v>18</v>
      </c>
      <c r="B3764" s="3">
        <v>8</v>
      </c>
      <c r="C3764" s="3" t="s">
        <v>63</v>
      </c>
      <c r="D3764" s="3">
        <v>3</v>
      </c>
      <c r="E3764" s="3">
        <v>1</v>
      </c>
      <c r="F3764" s="4" t="str">
        <f>HYPERLINK("http://141.218.60.56/~jnz1568/getInfo.php?workbook=18_08.xlsx&amp;sheet=U0&amp;row=3764&amp;col=6&amp;number=3&amp;sourceID=14","3")</f>
        <v>3</v>
      </c>
      <c r="G3764" s="4" t="str">
        <f>HYPERLINK("http://141.218.60.56/~jnz1568/getInfo.php?workbook=18_08.xlsx&amp;sheet=U0&amp;row=3764&amp;col=7&amp;number=0.000401&amp;sourceID=14","0.000401")</f>
        <v>0.000401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HYPERLINK("http://141.218.60.56/~jnz1568/getInfo.php?workbook=18_08.xlsx&amp;sheet=U0&amp;row=3765&amp;col=6&amp;number=3.1&amp;sourceID=14","3.1")</f>
        <v>3.1</v>
      </c>
      <c r="G3765" s="4" t="str">
        <f>HYPERLINK("http://141.218.60.56/~jnz1568/getInfo.php?workbook=18_08.xlsx&amp;sheet=U0&amp;row=3765&amp;col=7&amp;number=0.000401&amp;sourceID=14","0.000401")</f>
        <v>0.000401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HYPERLINK("http://141.218.60.56/~jnz1568/getInfo.php?workbook=18_08.xlsx&amp;sheet=U0&amp;row=3766&amp;col=6&amp;number=3.2&amp;sourceID=14","3.2")</f>
        <v>3.2</v>
      </c>
      <c r="G3766" s="4" t="str">
        <f>HYPERLINK("http://141.218.60.56/~jnz1568/getInfo.php?workbook=18_08.xlsx&amp;sheet=U0&amp;row=3766&amp;col=7&amp;number=0.000401&amp;sourceID=14","0.000401")</f>
        <v>0.000401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HYPERLINK("http://141.218.60.56/~jnz1568/getInfo.php?workbook=18_08.xlsx&amp;sheet=U0&amp;row=3767&amp;col=6&amp;number=3.3&amp;sourceID=14","3.3")</f>
        <v>3.3</v>
      </c>
      <c r="G3767" s="4" t="str">
        <f>HYPERLINK("http://141.218.60.56/~jnz1568/getInfo.php?workbook=18_08.xlsx&amp;sheet=U0&amp;row=3767&amp;col=7&amp;number=0.000401&amp;sourceID=14","0.000401")</f>
        <v>0.000401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HYPERLINK("http://141.218.60.56/~jnz1568/getInfo.php?workbook=18_08.xlsx&amp;sheet=U0&amp;row=3768&amp;col=6&amp;number=3.4&amp;sourceID=14","3.4")</f>
        <v>3.4</v>
      </c>
      <c r="G3768" s="4" t="str">
        <f>HYPERLINK("http://141.218.60.56/~jnz1568/getInfo.php?workbook=18_08.xlsx&amp;sheet=U0&amp;row=3768&amp;col=7&amp;number=0.000401&amp;sourceID=14","0.000401")</f>
        <v>0.000401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HYPERLINK("http://141.218.60.56/~jnz1568/getInfo.php?workbook=18_08.xlsx&amp;sheet=U0&amp;row=3769&amp;col=6&amp;number=3.5&amp;sourceID=14","3.5")</f>
        <v>3.5</v>
      </c>
      <c r="G3769" s="4" t="str">
        <f>HYPERLINK("http://141.218.60.56/~jnz1568/getInfo.php?workbook=18_08.xlsx&amp;sheet=U0&amp;row=3769&amp;col=7&amp;number=0.000401&amp;sourceID=14","0.000401")</f>
        <v>0.000401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HYPERLINK("http://141.218.60.56/~jnz1568/getInfo.php?workbook=18_08.xlsx&amp;sheet=U0&amp;row=3770&amp;col=6&amp;number=3.6&amp;sourceID=14","3.6")</f>
        <v>3.6</v>
      </c>
      <c r="G3770" s="4" t="str">
        <f>HYPERLINK("http://141.218.60.56/~jnz1568/getInfo.php?workbook=18_08.xlsx&amp;sheet=U0&amp;row=3770&amp;col=7&amp;number=0.000401&amp;sourceID=14","0.000401")</f>
        <v>0.000401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HYPERLINK("http://141.218.60.56/~jnz1568/getInfo.php?workbook=18_08.xlsx&amp;sheet=U0&amp;row=3771&amp;col=6&amp;number=3.7&amp;sourceID=14","3.7")</f>
        <v>3.7</v>
      </c>
      <c r="G3771" s="4" t="str">
        <f>HYPERLINK("http://141.218.60.56/~jnz1568/getInfo.php?workbook=18_08.xlsx&amp;sheet=U0&amp;row=3771&amp;col=7&amp;number=0.000401&amp;sourceID=14","0.000401")</f>
        <v>0.000401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HYPERLINK("http://141.218.60.56/~jnz1568/getInfo.php?workbook=18_08.xlsx&amp;sheet=U0&amp;row=3772&amp;col=6&amp;number=3.8&amp;sourceID=14","3.8")</f>
        <v>3.8</v>
      </c>
      <c r="G3772" s="4" t="str">
        <f>HYPERLINK("http://141.218.60.56/~jnz1568/getInfo.php?workbook=18_08.xlsx&amp;sheet=U0&amp;row=3772&amp;col=7&amp;number=0.000401&amp;sourceID=14","0.000401")</f>
        <v>0.000401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HYPERLINK("http://141.218.60.56/~jnz1568/getInfo.php?workbook=18_08.xlsx&amp;sheet=U0&amp;row=3773&amp;col=6&amp;number=3.9&amp;sourceID=14","3.9")</f>
        <v>3.9</v>
      </c>
      <c r="G3773" s="4" t="str">
        <f>HYPERLINK("http://141.218.60.56/~jnz1568/getInfo.php?workbook=18_08.xlsx&amp;sheet=U0&amp;row=3773&amp;col=7&amp;number=0.000401&amp;sourceID=14","0.000401")</f>
        <v>0.000401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HYPERLINK("http://141.218.60.56/~jnz1568/getInfo.php?workbook=18_08.xlsx&amp;sheet=U0&amp;row=3774&amp;col=6&amp;number=4&amp;sourceID=14","4")</f>
        <v>4</v>
      </c>
      <c r="G3774" s="4" t="str">
        <f>HYPERLINK("http://141.218.60.56/~jnz1568/getInfo.php?workbook=18_08.xlsx&amp;sheet=U0&amp;row=3774&amp;col=7&amp;number=0.000401&amp;sourceID=14","0.000401")</f>
        <v>0.000401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HYPERLINK("http://141.218.60.56/~jnz1568/getInfo.php?workbook=18_08.xlsx&amp;sheet=U0&amp;row=3775&amp;col=6&amp;number=4.1&amp;sourceID=14","4.1")</f>
        <v>4.1</v>
      </c>
      <c r="G3775" s="4" t="str">
        <f>HYPERLINK("http://141.218.60.56/~jnz1568/getInfo.php?workbook=18_08.xlsx&amp;sheet=U0&amp;row=3775&amp;col=7&amp;number=0.0004&amp;sourceID=14","0.0004")</f>
        <v>0.0004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HYPERLINK("http://141.218.60.56/~jnz1568/getInfo.php?workbook=18_08.xlsx&amp;sheet=U0&amp;row=3776&amp;col=6&amp;number=4.2&amp;sourceID=14","4.2")</f>
        <v>4.2</v>
      </c>
      <c r="G3776" s="4" t="str">
        <f>HYPERLINK("http://141.218.60.56/~jnz1568/getInfo.php?workbook=18_08.xlsx&amp;sheet=U0&amp;row=3776&amp;col=7&amp;number=0.0004&amp;sourceID=14","0.0004")</f>
        <v>0.0004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HYPERLINK("http://141.218.60.56/~jnz1568/getInfo.php?workbook=18_08.xlsx&amp;sheet=U0&amp;row=3777&amp;col=6&amp;number=4.3&amp;sourceID=14","4.3")</f>
        <v>4.3</v>
      </c>
      <c r="G3777" s="4" t="str">
        <f>HYPERLINK("http://141.218.60.56/~jnz1568/getInfo.php?workbook=18_08.xlsx&amp;sheet=U0&amp;row=3777&amp;col=7&amp;number=0.0004&amp;sourceID=14","0.0004")</f>
        <v>0.0004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HYPERLINK("http://141.218.60.56/~jnz1568/getInfo.php?workbook=18_08.xlsx&amp;sheet=U0&amp;row=3778&amp;col=6&amp;number=4.4&amp;sourceID=14","4.4")</f>
        <v>4.4</v>
      </c>
      <c r="G3778" s="4" t="str">
        <f>HYPERLINK("http://141.218.60.56/~jnz1568/getInfo.php?workbook=18_08.xlsx&amp;sheet=U0&amp;row=3778&amp;col=7&amp;number=0.000399&amp;sourceID=14","0.000399")</f>
        <v>0.000399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HYPERLINK("http://141.218.60.56/~jnz1568/getInfo.php?workbook=18_08.xlsx&amp;sheet=U0&amp;row=3779&amp;col=6&amp;number=4.5&amp;sourceID=14","4.5")</f>
        <v>4.5</v>
      </c>
      <c r="G3779" s="4" t="str">
        <f>HYPERLINK("http://141.218.60.56/~jnz1568/getInfo.php?workbook=18_08.xlsx&amp;sheet=U0&amp;row=3779&amp;col=7&amp;number=0.000399&amp;sourceID=14","0.000399")</f>
        <v>0.000399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HYPERLINK("http://141.218.60.56/~jnz1568/getInfo.php?workbook=18_08.xlsx&amp;sheet=U0&amp;row=3780&amp;col=6&amp;number=4.6&amp;sourceID=14","4.6")</f>
        <v>4.6</v>
      </c>
      <c r="G3780" s="4" t="str">
        <f>HYPERLINK("http://141.218.60.56/~jnz1568/getInfo.php?workbook=18_08.xlsx&amp;sheet=U0&amp;row=3780&amp;col=7&amp;number=0.000398&amp;sourceID=14","0.000398")</f>
        <v>0.000398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HYPERLINK("http://141.218.60.56/~jnz1568/getInfo.php?workbook=18_08.xlsx&amp;sheet=U0&amp;row=3781&amp;col=6&amp;number=4.7&amp;sourceID=14","4.7")</f>
        <v>4.7</v>
      </c>
      <c r="G3781" s="4" t="str">
        <f>HYPERLINK("http://141.218.60.56/~jnz1568/getInfo.php?workbook=18_08.xlsx&amp;sheet=U0&amp;row=3781&amp;col=7&amp;number=0.000398&amp;sourceID=14","0.000398")</f>
        <v>0.000398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HYPERLINK("http://141.218.60.56/~jnz1568/getInfo.php?workbook=18_08.xlsx&amp;sheet=U0&amp;row=3782&amp;col=6&amp;number=4.8&amp;sourceID=14","4.8")</f>
        <v>4.8</v>
      </c>
      <c r="G3782" s="4" t="str">
        <f>HYPERLINK("http://141.218.60.56/~jnz1568/getInfo.php?workbook=18_08.xlsx&amp;sheet=U0&amp;row=3782&amp;col=7&amp;number=0.000397&amp;sourceID=14","0.000397")</f>
        <v>0.000397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HYPERLINK("http://141.218.60.56/~jnz1568/getInfo.php?workbook=18_08.xlsx&amp;sheet=U0&amp;row=3783&amp;col=6&amp;number=4.9&amp;sourceID=14","4.9")</f>
        <v>4.9</v>
      </c>
      <c r="G3783" s="4" t="str">
        <f>HYPERLINK("http://141.218.60.56/~jnz1568/getInfo.php?workbook=18_08.xlsx&amp;sheet=U0&amp;row=3783&amp;col=7&amp;number=0.000396&amp;sourceID=14","0.000396")</f>
        <v>0.000396</v>
      </c>
    </row>
    <row r="3784" spans="1:7">
      <c r="A3784" s="3">
        <v>18</v>
      </c>
      <c r="B3784" s="3">
        <v>8</v>
      </c>
      <c r="C3784" s="3" t="s">
        <v>63</v>
      </c>
      <c r="D3784" s="3">
        <v>4</v>
      </c>
      <c r="E3784" s="3">
        <v>1</v>
      </c>
      <c r="F3784" s="4" t="str">
        <f>HYPERLINK("http://141.218.60.56/~jnz1568/getInfo.php?workbook=18_08.xlsx&amp;sheet=U0&amp;row=3784&amp;col=6&amp;number=3&amp;sourceID=14","3")</f>
        <v>3</v>
      </c>
      <c r="G3784" s="4" t="str">
        <f>HYPERLINK("http://141.218.60.56/~jnz1568/getInfo.php?workbook=18_08.xlsx&amp;sheet=U0&amp;row=3784&amp;col=7&amp;number=0.00136&amp;sourceID=14","0.00136")</f>
        <v>0.00136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HYPERLINK("http://141.218.60.56/~jnz1568/getInfo.php?workbook=18_08.xlsx&amp;sheet=U0&amp;row=3785&amp;col=6&amp;number=3.1&amp;sourceID=14","3.1")</f>
        <v>3.1</v>
      </c>
      <c r="G3785" s="4" t="str">
        <f>HYPERLINK("http://141.218.60.56/~jnz1568/getInfo.php?workbook=18_08.xlsx&amp;sheet=U0&amp;row=3785&amp;col=7&amp;number=0.00136&amp;sourceID=14","0.00136")</f>
        <v>0.00136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HYPERLINK("http://141.218.60.56/~jnz1568/getInfo.php?workbook=18_08.xlsx&amp;sheet=U0&amp;row=3786&amp;col=6&amp;number=3.2&amp;sourceID=14","3.2")</f>
        <v>3.2</v>
      </c>
      <c r="G3786" s="4" t="str">
        <f>HYPERLINK("http://141.218.60.56/~jnz1568/getInfo.php?workbook=18_08.xlsx&amp;sheet=U0&amp;row=3786&amp;col=7&amp;number=0.00136&amp;sourceID=14","0.00136")</f>
        <v>0.00136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HYPERLINK("http://141.218.60.56/~jnz1568/getInfo.php?workbook=18_08.xlsx&amp;sheet=U0&amp;row=3787&amp;col=6&amp;number=3.3&amp;sourceID=14","3.3")</f>
        <v>3.3</v>
      </c>
      <c r="G3787" s="4" t="str">
        <f>HYPERLINK("http://141.218.60.56/~jnz1568/getInfo.php?workbook=18_08.xlsx&amp;sheet=U0&amp;row=3787&amp;col=7&amp;number=0.00136&amp;sourceID=14","0.00136")</f>
        <v>0.00136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HYPERLINK("http://141.218.60.56/~jnz1568/getInfo.php?workbook=18_08.xlsx&amp;sheet=U0&amp;row=3788&amp;col=6&amp;number=3.4&amp;sourceID=14","3.4")</f>
        <v>3.4</v>
      </c>
      <c r="G3788" s="4" t="str">
        <f>HYPERLINK("http://141.218.60.56/~jnz1568/getInfo.php?workbook=18_08.xlsx&amp;sheet=U0&amp;row=3788&amp;col=7&amp;number=0.00136&amp;sourceID=14","0.00136")</f>
        <v>0.00136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HYPERLINK("http://141.218.60.56/~jnz1568/getInfo.php?workbook=18_08.xlsx&amp;sheet=U0&amp;row=3789&amp;col=6&amp;number=3.5&amp;sourceID=14","3.5")</f>
        <v>3.5</v>
      </c>
      <c r="G3789" s="4" t="str">
        <f>HYPERLINK("http://141.218.60.56/~jnz1568/getInfo.php?workbook=18_08.xlsx&amp;sheet=U0&amp;row=3789&amp;col=7&amp;number=0.00136&amp;sourceID=14","0.00136")</f>
        <v>0.00136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HYPERLINK("http://141.218.60.56/~jnz1568/getInfo.php?workbook=18_08.xlsx&amp;sheet=U0&amp;row=3790&amp;col=6&amp;number=3.6&amp;sourceID=14","3.6")</f>
        <v>3.6</v>
      </c>
      <c r="G3790" s="4" t="str">
        <f>HYPERLINK("http://141.218.60.56/~jnz1568/getInfo.php?workbook=18_08.xlsx&amp;sheet=U0&amp;row=3790&amp;col=7&amp;number=0.00136&amp;sourceID=14","0.00136")</f>
        <v>0.00136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HYPERLINK("http://141.218.60.56/~jnz1568/getInfo.php?workbook=18_08.xlsx&amp;sheet=U0&amp;row=3791&amp;col=6&amp;number=3.7&amp;sourceID=14","3.7")</f>
        <v>3.7</v>
      </c>
      <c r="G3791" s="4" t="str">
        <f>HYPERLINK("http://141.218.60.56/~jnz1568/getInfo.php?workbook=18_08.xlsx&amp;sheet=U0&amp;row=3791&amp;col=7&amp;number=0.00136&amp;sourceID=14","0.00136")</f>
        <v>0.00136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HYPERLINK("http://141.218.60.56/~jnz1568/getInfo.php?workbook=18_08.xlsx&amp;sheet=U0&amp;row=3792&amp;col=6&amp;number=3.8&amp;sourceID=14","3.8")</f>
        <v>3.8</v>
      </c>
      <c r="G3792" s="4" t="str">
        <f>HYPERLINK("http://141.218.60.56/~jnz1568/getInfo.php?workbook=18_08.xlsx&amp;sheet=U0&amp;row=3792&amp;col=7&amp;number=0.00136&amp;sourceID=14","0.00136")</f>
        <v>0.00136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HYPERLINK("http://141.218.60.56/~jnz1568/getInfo.php?workbook=18_08.xlsx&amp;sheet=U0&amp;row=3793&amp;col=6&amp;number=3.9&amp;sourceID=14","3.9")</f>
        <v>3.9</v>
      </c>
      <c r="G3793" s="4" t="str">
        <f>HYPERLINK("http://141.218.60.56/~jnz1568/getInfo.php?workbook=18_08.xlsx&amp;sheet=U0&amp;row=3793&amp;col=7&amp;number=0.00137&amp;sourceID=14","0.00137")</f>
        <v>0.00137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HYPERLINK("http://141.218.60.56/~jnz1568/getInfo.php?workbook=18_08.xlsx&amp;sheet=U0&amp;row=3794&amp;col=6&amp;number=4&amp;sourceID=14","4")</f>
        <v>4</v>
      </c>
      <c r="G3794" s="4" t="str">
        <f>HYPERLINK("http://141.218.60.56/~jnz1568/getInfo.php?workbook=18_08.xlsx&amp;sheet=U0&amp;row=3794&amp;col=7&amp;number=0.00137&amp;sourceID=14","0.00137")</f>
        <v>0.00137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HYPERLINK("http://141.218.60.56/~jnz1568/getInfo.php?workbook=18_08.xlsx&amp;sheet=U0&amp;row=3795&amp;col=6&amp;number=4.1&amp;sourceID=14","4.1")</f>
        <v>4.1</v>
      </c>
      <c r="G3795" s="4" t="str">
        <f>HYPERLINK("http://141.218.60.56/~jnz1568/getInfo.php?workbook=18_08.xlsx&amp;sheet=U0&amp;row=3795&amp;col=7&amp;number=0.00137&amp;sourceID=14","0.00137")</f>
        <v>0.00137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HYPERLINK("http://141.218.60.56/~jnz1568/getInfo.php?workbook=18_08.xlsx&amp;sheet=U0&amp;row=3796&amp;col=6&amp;number=4.2&amp;sourceID=14","4.2")</f>
        <v>4.2</v>
      </c>
      <c r="G3796" s="4" t="str">
        <f>HYPERLINK("http://141.218.60.56/~jnz1568/getInfo.php?workbook=18_08.xlsx&amp;sheet=U0&amp;row=3796&amp;col=7&amp;number=0.00137&amp;sourceID=14","0.00137")</f>
        <v>0.00137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HYPERLINK("http://141.218.60.56/~jnz1568/getInfo.php?workbook=18_08.xlsx&amp;sheet=U0&amp;row=3797&amp;col=6&amp;number=4.3&amp;sourceID=14","4.3")</f>
        <v>4.3</v>
      </c>
      <c r="G3797" s="4" t="str">
        <f>HYPERLINK("http://141.218.60.56/~jnz1568/getInfo.php?workbook=18_08.xlsx&amp;sheet=U0&amp;row=3797&amp;col=7&amp;number=0.00138&amp;sourceID=14","0.00138")</f>
        <v>0.00138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HYPERLINK("http://141.218.60.56/~jnz1568/getInfo.php?workbook=18_08.xlsx&amp;sheet=U0&amp;row=3798&amp;col=6&amp;number=4.4&amp;sourceID=14","4.4")</f>
        <v>4.4</v>
      </c>
      <c r="G3798" s="4" t="str">
        <f>HYPERLINK("http://141.218.60.56/~jnz1568/getInfo.php?workbook=18_08.xlsx&amp;sheet=U0&amp;row=3798&amp;col=7&amp;number=0.00138&amp;sourceID=14","0.00138")</f>
        <v>0.00138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HYPERLINK("http://141.218.60.56/~jnz1568/getInfo.php?workbook=18_08.xlsx&amp;sheet=U0&amp;row=3799&amp;col=6&amp;number=4.5&amp;sourceID=14","4.5")</f>
        <v>4.5</v>
      </c>
      <c r="G3799" s="4" t="str">
        <f>HYPERLINK("http://141.218.60.56/~jnz1568/getInfo.php?workbook=18_08.xlsx&amp;sheet=U0&amp;row=3799&amp;col=7&amp;number=0.00138&amp;sourceID=14","0.00138")</f>
        <v>0.00138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HYPERLINK("http://141.218.60.56/~jnz1568/getInfo.php?workbook=18_08.xlsx&amp;sheet=U0&amp;row=3800&amp;col=6&amp;number=4.6&amp;sourceID=14","4.6")</f>
        <v>4.6</v>
      </c>
      <c r="G3800" s="4" t="str">
        <f>HYPERLINK("http://141.218.60.56/~jnz1568/getInfo.php?workbook=18_08.xlsx&amp;sheet=U0&amp;row=3800&amp;col=7&amp;number=0.00139&amp;sourceID=14","0.00139")</f>
        <v>0.00139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HYPERLINK("http://141.218.60.56/~jnz1568/getInfo.php?workbook=18_08.xlsx&amp;sheet=U0&amp;row=3801&amp;col=6&amp;number=4.7&amp;sourceID=14","4.7")</f>
        <v>4.7</v>
      </c>
      <c r="G3801" s="4" t="str">
        <f>HYPERLINK("http://141.218.60.56/~jnz1568/getInfo.php?workbook=18_08.xlsx&amp;sheet=U0&amp;row=3801&amp;col=7&amp;number=0.0014&amp;sourceID=14","0.0014")</f>
        <v>0.0014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HYPERLINK("http://141.218.60.56/~jnz1568/getInfo.php?workbook=18_08.xlsx&amp;sheet=U0&amp;row=3802&amp;col=6&amp;number=4.8&amp;sourceID=14","4.8")</f>
        <v>4.8</v>
      </c>
      <c r="G3802" s="4" t="str">
        <f>HYPERLINK("http://141.218.60.56/~jnz1568/getInfo.php?workbook=18_08.xlsx&amp;sheet=U0&amp;row=3802&amp;col=7&amp;number=0.00141&amp;sourceID=14","0.00141")</f>
        <v>0.00141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HYPERLINK("http://141.218.60.56/~jnz1568/getInfo.php?workbook=18_08.xlsx&amp;sheet=U0&amp;row=3803&amp;col=6&amp;number=4.9&amp;sourceID=14","4.9")</f>
        <v>4.9</v>
      </c>
      <c r="G3803" s="4" t="str">
        <f>HYPERLINK("http://141.218.60.56/~jnz1568/getInfo.php?workbook=18_08.xlsx&amp;sheet=U0&amp;row=3803&amp;col=7&amp;number=0.00142&amp;sourceID=14","0.00142")</f>
        <v>0.00142</v>
      </c>
    </row>
    <row r="3804" spans="1:7">
      <c r="A3804" s="3">
        <v>18</v>
      </c>
      <c r="B3804" s="3">
        <v>8</v>
      </c>
      <c r="C3804" s="3" t="s">
        <v>63</v>
      </c>
      <c r="D3804" s="3">
        <v>5</v>
      </c>
      <c r="E3804" s="3">
        <v>1</v>
      </c>
      <c r="F3804" s="4" t="str">
        <f>HYPERLINK("http://141.218.60.56/~jnz1568/getInfo.php?workbook=18_08.xlsx&amp;sheet=U0&amp;row=3804&amp;col=6&amp;number=3&amp;sourceID=14","3")</f>
        <v>3</v>
      </c>
      <c r="G3804" s="4" t="str">
        <f>HYPERLINK("http://141.218.60.56/~jnz1568/getInfo.php?workbook=18_08.xlsx&amp;sheet=U0&amp;row=3804&amp;col=7&amp;number=0.000509&amp;sourceID=14","0.000509")</f>
        <v>0.000509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HYPERLINK("http://141.218.60.56/~jnz1568/getInfo.php?workbook=18_08.xlsx&amp;sheet=U0&amp;row=3805&amp;col=6&amp;number=3.1&amp;sourceID=14","3.1")</f>
        <v>3.1</v>
      </c>
      <c r="G3805" s="4" t="str">
        <f>HYPERLINK("http://141.218.60.56/~jnz1568/getInfo.php?workbook=18_08.xlsx&amp;sheet=U0&amp;row=3805&amp;col=7&amp;number=0.000509&amp;sourceID=14","0.000509")</f>
        <v>0.000509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HYPERLINK("http://141.218.60.56/~jnz1568/getInfo.php?workbook=18_08.xlsx&amp;sheet=U0&amp;row=3806&amp;col=6&amp;number=3.2&amp;sourceID=14","3.2")</f>
        <v>3.2</v>
      </c>
      <c r="G3806" s="4" t="str">
        <f>HYPERLINK("http://141.218.60.56/~jnz1568/getInfo.php?workbook=18_08.xlsx&amp;sheet=U0&amp;row=3806&amp;col=7&amp;number=0.000509&amp;sourceID=14","0.000509")</f>
        <v>0.000509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HYPERLINK("http://141.218.60.56/~jnz1568/getInfo.php?workbook=18_08.xlsx&amp;sheet=U0&amp;row=3807&amp;col=6&amp;number=3.3&amp;sourceID=14","3.3")</f>
        <v>3.3</v>
      </c>
      <c r="G3807" s="4" t="str">
        <f>HYPERLINK("http://141.218.60.56/~jnz1568/getInfo.php?workbook=18_08.xlsx&amp;sheet=U0&amp;row=3807&amp;col=7&amp;number=0.000509&amp;sourceID=14","0.000509")</f>
        <v>0.000509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HYPERLINK("http://141.218.60.56/~jnz1568/getInfo.php?workbook=18_08.xlsx&amp;sheet=U0&amp;row=3808&amp;col=6&amp;number=3.4&amp;sourceID=14","3.4")</f>
        <v>3.4</v>
      </c>
      <c r="G3808" s="4" t="str">
        <f>HYPERLINK("http://141.218.60.56/~jnz1568/getInfo.php?workbook=18_08.xlsx&amp;sheet=U0&amp;row=3808&amp;col=7&amp;number=0.000508&amp;sourceID=14","0.000508")</f>
        <v>0.000508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HYPERLINK("http://141.218.60.56/~jnz1568/getInfo.php?workbook=18_08.xlsx&amp;sheet=U0&amp;row=3809&amp;col=6&amp;number=3.5&amp;sourceID=14","3.5")</f>
        <v>3.5</v>
      </c>
      <c r="G3809" s="4" t="str">
        <f>HYPERLINK("http://141.218.60.56/~jnz1568/getInfo.php?workbook=18_08.xlsx&amp;sheet=U0&amp;row=3809&amp;col=7&amp;number=0.000508&amp;sourceID=14","0.000508")</f>
        <v>0.000508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HYPERLINK("http://141.218.60.56/~jnz1568/getInfo.php?workbook=18_08.xlsx&amp;sheet=U0&amp;row=3810&amp;col=6&amp;number=3.6&amp;sourceID=14","3.6")</f>
        <v>3.6</v>
      </c>
      <c r="G3810" s="4" t="str">
        <f>HYPERLINK("http://141.218.60.56/~jnz1568/getInfo.php?workbook=18_08.xlsx&amp;sheet=U0&amp;row=3810&amp;col=7&amp;number=0.000508&amp;sourceID=14","0.000508")</f>
        <v>0.000508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HYPERLINK("http://141.218.60.56/~jnz1568/getInfo.php?workbook=18_08.xlsx&amp;sheet=U0&amp;row=3811&amp;col=6&amp;number=3.7&amp;sourceID=14","3.7")</f>
        <v>3.7</v>
      </c>
      <c r="G3811" s="4" t="str">
        <f>HYPERLINK("http://141.218.60.56/~jnz1568/getInfo.php?workbook=18_08.xlsx&amp;sheet=U0&amp;row=3811&amp;col=7&amp;number=0.000508&amp;sourceID=14","0.000508")</f>
        <v>0.000508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HYPERLINK("http://141.218.60.56/~jnz1568/getInfo.php?workbook=18_08.xlsx&amp;sheet=U0&amp;row=3812&amp;col=6&amp;number=3.8&amp;sourceID=14","3.8")</f>
        <v>3.8</v>
      </c>
      <c r="G3812" s="4" t="str">
        <f>HYPERLINK("http://141.218.60.56/~jnz1568/getInfo.php?workbook=18_08.xlsx&amp;sheet=U0&amp;row=3812&amp;col=7&amp;number=0.000508&amp;sourceID=14","0.000508")</f>
        <v>0.000508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HYPERLINK("http://141.218.60.56/~jnz1568/getInfo.php?workbook=18_08.xlsx&amp;sheet=U0&amp;row=3813&amp;col=6&amp;number=3.9&amp;sourceID=14","3.9")</f>
        <v>3.9</v>
      </c>
      <c r="G3813" s="4" t="str">
        <f>HYPERLINK("http://141.218.60.56/~jnz1568/getInfo.php?workbook=18_08.xlsx&amp;sheet=U0&amp;row=3813&amp;col=7&amp;number=0.000508&amp;sourceID=14","0.000508")</f>
        <v>0.000508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HYPERLINK("http://141.218.60.56/~jnz1568/getInfo.php?workbook=18_08.xlsx&amp;sheet=U0&amp;row=3814&amp;col=6&amp;number=4&amp;sourceID=14","4")</f>
        <v>4</v>
      </c>
      <c r="G3814" s="4" t="str">
        <f>HYPERLINK("http://141.218.60.56/~jnz1568/getInfo.php?workbook=18_08.xlsx&amp;sheet=U0&amp;row=3814&amp;col=7&amp;number=0.000508&amp;sourceID=14","0.000508")</f>
        <v>0.000508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HYPERLINK("http://141.218.60.56/~jnz1568/getInfo.php?workbook=18_08.xlsx&amp;sheet=U0&amp;row=3815&amp;col=6&amp;number=4.1&amp;sourceID=14","4.1")</f>
        <v>4.1</v>
      </c>
      <c r="G3815" s="4" t="str">
        <f>HYPERLINK("http://141.218.60.56/~jnz1568/getInfo.php?workbook=18_08.xlsx&amp;sheet=U0&amp;row=3815&amp;col=7&amp;number=0.000508&amp;sourceID=14","0.000508")</f>
        <v>0.000508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HYPERLINK("http://141.218.60.56/~jnz1568/getInfo.php?workbook=18_08.xlsx&amp;sheet=U0&amp;row=3816&amp;col=6&amp;number=4.2&amp;sourceID=14","4.2")</f>
        <v>4.2</v>
      </c>
      <c r="G3816" s="4" t="str">
        <f>HYPERLINK("http://141.218.60.56/~jnz1568/getInfo.php?workbook=18_08.xlsx&amp;sheet=U0&amp;row=3816&amp;col=7&amp;number=0.000507&amp;sourceID=14","0.000507")</f>
        <v>0.000507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HYPERLINK("http://141.218.60.56/~jnz1568/getInfo.php?workbook=18_08.xlsx&amp;sheet=U0&amp;row=3817&amp;col=6&amp;number=4.3&amp;sourceID=14","4.3")</f>
        <v>4.3</v>
      </c>
      <c r="G3817" s="4" t="str">
        <f>HYPERLINK("http://141.218.60.56/~jnz1568/getInfo.php?workbook=18_08.xlsx&amp;sheet=U0&amp;row=3817&amp;col=7&amp;number=0.000507&amp;sourceID=14","0.000507")</f>
        <v>0.000507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HYPERLINK("http://141.218.60.56/~jnz1568/getInfo.php?workbook=18_08.xlsx&amp;sheet=U0&amp;row=3818&amp;col=6&amp;number=4.4&amp;sourceID=14","4.4")</f>
        <v>4.4</v>
      </c>
      <c r="G3818" s="4" t="str">
        <f>HYPERLINK("http://141.218.60.56/~jnz1568/getInfo.php?workbook=18_08.xlsx&amp;sheet=U0&amp;row=3818&amp;col=7&amp;number=0.000507&amp;sourceID=14","0.000507")</f>
        <v>0.000507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HYPERLINK("http://141.218.60.56/~jnz1568/getInfo.php?workbook=18_08.xlsx&amp;sheet=U0&amp;row=3819&amp;col=6&amp;number=4.5&amp;sourceID=14","4.5")</f>
        <v>4.5</v>
      </c>
      <c r="G3819" s="4" t="str">
        <f>HYPERLINK("http://141.218.60.56/~jnz1568/getInfo.php?workbook=18_08.xlsx&amp;sheet=U0&amp;row=3819&amp;col=7&amp;number=0.000506&amp;sourceID=14","0.000506")</f>
        <v>0.000506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HYPERLINK("http://141.218.60.56/~jnz1568/getInfo.php?workbook=18_08.xlsx&amp;sheet=U0&amp;row=3820&amp;col=6&amp;number=4.6&amp;sourceID=14","4.6")</f>
        <v>4.6</v>
      </c>
      <c r="G3820" s="4" t="str">
        <f>HYPERLINK("http://141.218.60.56/~jnz1568/getInfo.php?workbook=18_08.xlsx&amp;sheet=U0&amp;row=3820&amp;col=7&amp;number=0.000505&amp;sourceID=14","0.000505")</f>
        <v>0.000505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HYPERLINK("http://141.218.60.56/~jnz1568/getInfo.php?workbook=18_08.xlsx&amp;sheet=U0&amp;row=3821&amp;col=6&amp;number=4.7&amp;sourceID=14","4.7")</f>
        <v>4.7</v>
      </c>
      <c r="G3821" s="4" t="str">
        <f>HYPERLINK("http://141.218.60.56/~jnz1568/getInfo.php?workbook=18_08.xlsx&amp;sheet=U0&amp;row=3821&amp;col=7&amp;number=0.000504&amp;sourceID=14","0.000504")</f>
        <v>0.000504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HYPERLINK("http://141.218.60.56/~jnz1568/getInfo.php?workbook=18_08.xlsx&amp;sheet=U0&amp;row=3822&amp;col=6&amp;number=4.8&amp;sourceID=14","4.8")</f>
        <v>4.8</v>
      </c>
      <c r="G3822" s="4" t="str">
        <f>HYPERLINK("http://141.218.60.56/~jnz1568/getInfo.php?workbook=18_08.xlsx&amp;sheet=U0&amp;row=3822&amp;col=7&amp;number=0.000503&amp;sourceID=14","0.000503")</f>
        <v>0.000503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HYPERLINK("http://141.218.60.56/~jnz1568/getInfo.php?workbook=18_08.xlsx&amp;sheet=U0&amp;row=3823&amp;col=6&amp;number=4.9&amp;sourceID=14","4.9")</f>
        <v>4.9</v>
      </c>
      <c r="G3823" s="4" t="str">
        <f>HYPERLINK("http://141.218.60.56/~jnz1568/getInfo.php?workbook=18_08.xlsx&amp;sheet=U0&amp;row=3823&amp;col=7&amp;number=0.000502&amp;sourceID=14","0.000502")</f>
        <v>0.000502</v>
      </c>
    </row>
    <row r="3824" spans="1:7">
      <c r="A3824" s="3">
        <v>18</v>
      </c>
      <c r="B3824" s="3">
        <v>8</v>
      </c>
      <c r="C3824" s="3" t="s">
        <v>63</v>
      </c>
      <c r="D3824" s="3">
        <v>6</v>
      </c>
      <c r="E3824" s="3">
        <v>1</v>
      </c>
      <c r="F3824" s="4" t="str">
        <f>HYPERLINK("http://141.218.60.56/~jnz1568/getInfo.php?workbook=18_08.xlsx&amp;sheet=U0&amp;row=3824&amp;col=6&amp;number=3&amp;sourceID=14","3")</f>
        <v>3</v>
      </c>
      <c r="G3824" s="4" t="str">
        <f>HYPERLINK("http://141.218.60.56/~jnz1568/getInfo.php?workbook=18_08.xlsx&amp;sheet=U0&amp;row=3824&amp;col=7&amp;number=0.000496&amp;sourceID=14","0.000496")</f>
        <v>0.000496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HYPERLINK("http://141.218.60.56/~jnz1568/getInfo.php?workbook=18_08.xlsx&amp;sheet=U0&amp;row=3825&amp;col=6&amp;number=3.1&amp;sourceID=14","3.1")</f>
        <v>3.1</v>
      </c>
      <c r="G3825" s="4" t="str">
        <f>HYPERLINK("http://141.218.60.56/~jnz1568/getInfo.php?workbook=18_08.xlsx&amp;sheet=U0&amp;row=3825&amp;col=7&amp;number=0.000496&amp;sourceID=14","0.000496")</f>
        <v>0.000496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HYPERLINK("http://141.218.60.56/~jnz1568/getInfo.php?workbook=18_08.xlsx&amp;sheet=U0&amp;row=3826&amp;col=6&amp;number=3.2&amp;sourceID=14","3.2")</f>
        <v>3.2</v>
      </c>
      <c r="G3826" s="4" t="str">
        <f>HYPERLINK("http://141.218.60.56/~jnz1568/getInfo.php?workbook=18_08.xlsx&amp;sheet=U0&amp;row=3826&amp;col=7&amp;number=0.000496&amp;sourceID=14","0.000496")</f>
        <v>0.000496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HYPERLINK("http://141.218.60.56/~jnz1568/getInfo.php?workbook=18_08.xlsx&amp;sheet=U0&amp;row=3827&amp;col=6&amp;number=3.3&amp;sourceID=14","3.3")</f>
        <v>3.3</v>
      </c>
      <c r="G3827" s="4" t="str">
        <f>HYPERLINK("http://141.218.60.56/~jnz1568/getInfo.php?workbook=18_08.xlsx&amp;sheet=U0&amp;row=3827&amp;col=7&amp;number=0.000496&amp;sourceID=14","0.000496")</f>
        <v>0.000496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HYPERLINK("http://141.218.60.56/~jnz1568/getInfo.php?workbook=18_08.xlsx&amp;sheet=U0&amp;row=3828&amp;col=6&amp;number=3.4&amp;sourceID=14","3.4")</f>
        <v>3.4</v>
      </c>
      <c r="G3828" s="4" t="str">
        <f>HYPERLINK("http://141.218.60.56/~jnz1568/getInfo.php?workbook=18_08.xlsx&amp;sheet=U0&amp;row=3828&amp;col=7&amp;number=0.000496&amp;sourceID=14","0.000496")</f>
        <v>0.000496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HYPERLINK("http://141.218.60.56/~jnz1568/getInfo.php?workbook=18_08.xlsx&amp;sheet=U0&amp;row=3829&amp;col=6&amp;number=3.5&amp;sourceID=14","3.5")</f>
        <v>3.5</v>
      </c>
      <c r="G3829" s="4" t="str">
        <f>HYPERLINK("http://141.218.60.56/~jnz1568/getInfo.php?workbook=18_08.xlsx&amp;sheet=U0&amp;row=3829&amp;col=7&amp;number=0.000496&amp;sourceID=14","0.000496")</f>
        <v>0.000496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HYPERLINK("http://141.218.60.56/~jnz1568/getInfo.php?workbook=18_08.xlsx&amp;sheet=U0&amp;row=3830&amp;col=6&amp;number=3.6&amp;sourceID=14","3.6")</f>
        <v>3.6</v>
      </c>
      <c r="G3830" s="4" t="str">
        <f>HYPERLINK("http://141.218.60.56/~jnz1568/getInfo.php?workbook=18_08.xlsx&amp;sheet=U0&amp;row=3830&amp;col=7&amp;number=0.000496&amp;sourceID=14","0.000496")</f>
        <v>0.000496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HYPERLINK("http://141.218.60.56/~jnz1568/getInfo.php?workbook=18_08.xlsx&amp;sheet=U0&amp;row=3831&amp;col=6&amp;number=3.7&amp;sourceID=14","3.7")</f>
        <v>3.7</v>
      </c>
      <c r="G3831" s="4" t="str">
        <f>HYPERLINK("http://141.218.60.56/~jnz1568/getInfo.php?workbook=18_08.xlsx&amp;sheet=U0&amp;row=3831&amp;col=7&amp;number=0.000496&amp;sourceID=14","0.000496")</f>
        <v>0.000496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HYPERLINK("http://141.218.60.56/~jnz1568/getInfo.php?workbook=18_08.xlsx&amp;sheet=U0&amp;row=3832&amp;col=6&amp;number=3.8&amp;sourceID=14","3.8")</f>
        <v>3.8</v>
      </c>
      <c r="G3832" s="4" t="str">
        <f>HYPERLINK("http://141.218.60.56/~jnz1568/getInfo.php?workbook=18_08.xlsx&amp;sheet=U0&amp;row=3832&amp;col=7&amp;number=0.000495&amp;sourceID=14","0.000495")</f>
        <v>0.000495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HYPERLINK("http://141.218.60.56/~jnz1568/getInfo.php?workbook=18_08.xlsx&amp;sheet=U0&amp;row=3833&amp;col=6&amp;number=3.9&amp;sourceID=14","3.9")</f>
        <v>3.9</v>
      </c>
      <c r="G3833" s="4" t="str">
        <f>HYPERLINK("http://141.218.60.56/~jnz1568/getInfo.php?workbook=18_08.xlsx&amp;sheet=U0&amp;row=3833&amp;col=7&amp;number=0.000495&amp;sourceID=14","0.000495")</f>
        <v>0.000495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HYPERLINK("http://141.218.60.56/~jnz1568/getInfo.php?workbook=18_08.xlsx&amp;sheet=U0&amp;row=3834&amp;col=6&amp;number=4&amp;sourceID=14","4")</f>
        <v>4</v>
      </c>
      <c r="G3834" s="4" t="str">
        <f>HYPERLINK("http://141.218.60.56/~jnz1568/getInfo.php?workbook=18_08.xlsx&amp;sheet=U0&amp;row=3834&amp;col=7&amp;number=0.000495&amp;sourceID=14","0.000495")</f>
        <v>0.000495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HYPERLINK("http://141.218.60.56/~jnz1568/getInfo.php?workbook=18_08.xlsx&amp;sheet=U0&amp;row=3835&amp;col=6&amp;number=4.1&amp;sourceID=14","4.1")</f>
        <v>4.1</v>
      </c>
      <c r="G3835" s="4" t="str">
        <f>HYPERLINK("http://141.218.60.56/~jnz1568/getInfo.php?workbook=18_08.xlsx&amp;sheet=U0&amp;row=3835&amp;col=7&amp;number=0.000495&amp;sourceID=14","0.000495")</f>
        <v>0.000495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HYPERLINK("http://141.218.60.56/~jnz1568/getInfo.php?workbook=18_08.xlsx&amp;sheet=U0&amp;row=3836&amp;col=6&amp;number=4.2&amp;sourceID=14","4.2")</f>
        <v>4.2</v>
      </c>
      <c r="G3836" s="4" t="str">
        <f>HYPERLINK("http://141.218.60.56/~jnz1568/getInfo.php?workbook=18_08.xlsx&amp;sheet=U0&amp;row=3836&amp;col=7&amp;number=0.000495&amp;sourceID=14","0.000495")</f>
        <v>0.000495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HYPERLINK("http://141.218.60.56/~jnz1568/getInfo.php?workbook=18_08.xlsx&amp;sheet=U0&amp;row=3837&amp;col=6&amp;number=4.3&amp;sourceID=14","4.3")</f>
        <v>4.3</v>
      </c>
      <c r="G3837" s="4" t="str">
        <f>HYPERLINK("http://141.218.60.56/~jnz1568/getInfo.php?workbook=18_08.xlsx&amp;sheet=U0&amp;row=3837&amp;col=7&amp;number=0.000494&amp;sourceID=14","0.000494")</f>
        <v>0.000494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HYPERLINK("http://141.218.60.56/~jnz1568/getInfo.php?workbook=18_08.xlsx&amp;sheet=U0&amp;row=3838&amp;col=6&amp;number=4.4&amp;sourceID=14","4.4")</f>
        <v>4.4</v>
      </c>
      <c r="G3838" s="4" t="str">
        <f>HYPERLINK("http://141.218.60.56/~jnz1568/getInfo.php?workbook=18_08.xlsx&amp;sheet=U0&amp;row=3838&amp;col=7&amp;number=0.000494&amp;sourceID=14","0.000494")</f>
        <v>0.000494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HYPERLINK("http://141.218.60.56/~jnz1568/getInfo.php?workbook=18_08.xlsx&amp;sheet=U0&amp;row=3839&amp;col=6&amp;number=4.5&amp;sourceID=14","4.5")</f>
        <v>4.5</v>
      </c>
      <c r="G3839" s="4" t="str">
        <f>HYPERLINK("http://141.218.60.56/~jnz1568/getInfo.php?workbook=18_08.xlsx&amp;sheet=U0&amp;row=3839&amp;col=7&amp;number=0.000493&amp;sourceID=14","0.000493")</f>
        <v>0.000493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HYPERLINK("http://141.218.60.56/~jnz1568/getInfo.php?workbook=18_08.xlsx&amp;sheet=U0&amp;row=3840&amp;col=6&amp;number=4.6&amp;sourceID=14","4.6")</f>
        <v>4.6</v>
      </c>
      <c r="G3840" s="4" t="str">
        <f>HYPERLINK("http://141.218.60.56/~jnz1568/getInfo.php?workbook=18_08.xlsx&amp;sheet=U0&amp;row=3840&amp;col=7&amp;number=0.000493&amp;sourceID=14","0.000493")</f>
        <v>0.000493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HYPERLINK("http://141.218.60.56/~jnz1568/getInfo.php?workbook=18_08.xlsx&amp;sheet=U0&amp;row=3841&amp;col=6&amp;number=4.7&amp;sourceID=14","4.7")</f>
        <v>4.7</v>
      </c>
      <c r="G3841" s="4" t="str">
        <f>HYPERLINK("http://141.218.60.56/~jnz1568/getInfo.php?workbook=18_08.xlsx&amp;sheet=U0&amp;row=3841&amp;col=7&amp;number=0.000492&amp;sourceID=14","0.000492")</f>
        <v>0.000492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HYPERLINK("http://141.218.60.56/~jnz1568/getInfo.php?workbook=18_08.xlsx&amp;sheet=U0&amp;row=3842&amp;col=6&amp;number=4.8&amp;sourceID=14","4.8")</f>
        <v>4.8</v>
      </c>
      <c r="G3842" s="4" t="str">
        <f>HYPERLINK("http://141.218.60.56/~jnz1568/getInfo.php?workbook=18_08.xlsx&amp;sheet=U0&amp;row=3842&amp;col=7&amp;number=0.000491&amp;sourceID=14","0.000491")</f>
        <v>0.000491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HYPERLINK("http://141.218.60.56/~jnz1568/getInfo.php?workbook=18_08.xlsx&amp;sheet=U0&amp;row=3843&amp;col=6&amp;number=4.9&amp;sourceID=14","4.9")</f>
        <v>4.9</v>
      </c>
      <c r="G3843" s="4" t="str">
        <f>HYPERLINK("http://141.218.60.56/~jnz1568/getInfo.php?workbook=18_08.xlsx&amp;sheet=U0&amp;row=3843&amp;col=7&amp;number=0.00049&amp;sourceID=14","0.00049")</f>
        <v>0.00049</v>
      </c>
    </row>
    <row r="3844" spans="1:7">
      <c r="A3844" s="3">
        <v>18</v>
      </c>
      <c r="B3844" s="3">
        <v>8</v>
      </c>
      <c r="C3844" s="3" t="s">
        <v>63</v>
      </c>
      <c r="D3844" s="3">
        <v>7</v>
      </c>
      <c r="E3844" s="3">
        <v>1</v>
      </c>
      <c r="F3844" s="4" t="str">
        <f>HYPERLINK("http://141.218.60.56/~jnz1568/getInfo.php?workbook=18_08.xlsx&amp;sheet=U0&amp;row=3844&amp;col=6&amp;number=3&amp;sourceID=14","3")</f>
        <v>3</v>
      </c>
      <c r="G3844" s="4" t="str">
        <f>HYPERLINK("http://141.218.60.56/~jnz1568/getInfo.php?workbook=18_08.xlsx&amp;sheet=U0&amp;row=3844&amp;col=7&amp;number=0.00156&amp;sourceID=14","0.00156")</f>
        <v>0.00156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HYPERLINK("http://141.218.60.56/~jnz1568/getInfo.php?workbook=18_08.xlsx&amp;sheet=U0&amp;row=3845&amp;col=6&amp;number=3.1&amp;sourceID=14","3.1")</f>
        <v>3.1</v>
      </c>
      <c r="G3845" s="4" t="str">
        <f>HYPERLINK("http://141.218.60.56/~jnz1568/getInfo.php?workbook=18_08.xlsx&amp;sheet=U0&amp;row=3845&amp;col=7&amp;number=0.00156&amp;sourceID=14","0.00156")</f>
        <v>0.00156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HYPERLINK("http://141.218.60.56/~jnz1568/getInfo.php?workbook=18_08.xlsx&amp;sheet=U0&amp;row=3846&amp;col=6&amp;number=3.2&amp;sourceID=14","3.2")</f>
        <v>3.2</v>
      </c>
      <c r="G3846" s="4" t="str">
        <f>HYPERLINK("http://141.218.60.56/~jnz1568/getInfo.php?workbook=18_08.xlsx&amp;sheet=U0&amp;row=3846&amp;col=7&amp;number=0.00156&amp;sourceID=14","0.00156")</f>
        <v>0.00156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HYPERLINK("http://141.218.60.56/~jnz1568/getInfo.php?workbook=18_08.xlsx&amp;sheet=U0&amp;row=3847&amp;col=6&amp;number=3.3&amp;sourceID=14","3.3")</f>
        <v>3.3</v>
      </c>
      <c r="G3847" s="4" t="str">
        <f>HYPERLINK("http://141.218.60.56/~jnz1568/getInfo.php?workbook=18_08.xlsx&amp;sheet=U0&amp;row=3847&amp;col=7&amp;number=0.00156&amp;sourceID=14","0.00156")</f>
        <v>0.00156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HYPERLINK("http://141.218.60.56/~jnz1568/getInfo.php?workbook=18_08.xlsx&amp;sheet=U0&amp;row=3848&amp;col=6&amp;number=3.4&amp;sourceID=14","3.4")</f>
        <v>3.4</v>
      </c>
      <c r="G3848" s="4" t="str">
        <f>HYPERLINK("http://141.218.60.56/~jnz1568/getInfo.php?workbook=18_08.xlsx&amp;sheet=U0&amp;row=3848&amp;col=7&amp;number=0.00156&amp;sourceID=14","0.00156")</f>
        <v>0.00156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HYPERLINK("http://141.218.60.56/~jnz1568/getInfo.php?workbook=18_08.xlsx&amp;sheet=U0&amp;row=3849&amp;col=6&amp;number=3.5&amp;sourceID=14","3.5")</f>
        <v>3.5</v>
      </c>
      <c r="G3849" s="4" t="str">
        <f>HYPERLINK("http://141.218.60.56/~jnz1568/getInfo.php?workbook=18_08.xlsx&amp;sheet=U0&amp;row=3849&amp;col=7&amp;number=0.00156&amp;sourceID=14","0.00156")</f>
        <v>0.00156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HYPERLINK("http://141.218.60.56/~jnz1568/getInfo.php?workbook=18_08.xlsx&amp;sheet=U0&amp;row=3850&amp;col=6&amp;number=3.6&amp;sourceID=14","3.6")</f>
        <v>3.6</v>
      </c>
      <c r="G3850" s="4" t="str">
        <f>HYPERLINK("http://141.218.60.56/~jnz1568/getInfo.php?workbook=18_08.xlsx&amp;sheet=U0&amp;row=3850&amp;col=7&amp;number=0.00156&amp;sourceID=14","0.00156")</f>
        <v>0.00156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HYPERLINK("http://141.218.60.56/~jnz1568/getInfo.php?workbook=18_08.xlsx&amp;sheet=U0&amp;row=3851&amp;col=6&amp;number=3.7&amp;sourceID=14","3.7")</f>
        <v>3.7</v>
      </c>
      <c r="G3851" s="4" t="str">
        <f>HYPERLINK("http://141.218.60.56/~jnz1568/getInfo.php?workbook=18_08.xlsx&amp;sheet=U0&amp;row=3851&amp;col=7&amp;number=0.00156&amp;sourceID=14","0.00156")</f>
        <v>0.00156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HYPERLINK("http://141.218.60.56/~jnz1568/getInfo.php?workbook=18_08.xlsx&amp;sheet=U0&amp;row=3852&amp;col=6&amp;number=3.8&amp;sourceID=14","3.8")</f>
        <v>3.8</v>
      </c>
      <c r="G3852" s="4" t="str">
        <f>HYPERLINK("http://141.218.60.56/~jnz1568/getInfo.php?workbook=18_08.xlsx&amp;sheet=U0&amp;row=3852&amp;col=7&amp;number=0.00156&amp;sourceID=14","0.00156")</f>
        <v>0.00156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HYPERLINK("http://141.218.60.56/~jnz1568/getInfo.php?workbook=18_08.xlsx&amp;sheet=U0&amp;row=3853&amp;col=6&amp;number=3.9&amp;sourceID=14","3.9")</f>
        <v>3.9</v>
      </c>
      <c r="G3853" s="4" t="str">
        <f>HYPERLINK("http://141.218.60.56/~jnz1568/getInfo.php?workbook=18_08.xlsx&amp;sheet=U0&amp;row=3853&amp;col=7&amp;number=0.00156&amp;sourceID=14","0.00156")</f>
        <v>0.00156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HYPERLINK("http://141.218.60.56/~jnz1568/getInfo.php?workbook=18_08.xlsx&amp;sheet=U0&amp;row=3854&amp;col=6&amp;number=4&amp;sourceID=14","4")</f>
        <v>4</v>
      </c>
      <c r="G3854" s="4" t="str">
        <f>HYPERLINK("http://141.218.60.56/~jnz1568/getInfo.php?workbook=18_08.xlsx&amp;sheet=U0&amp;row=3854&amp;col=7&amp;number=0.00156&amp;sourceID=14","0.00156")</f>
        <v>0.00156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HYPERLINK("http://141.218.60.56/~jnz1568/getInfo.php?workbook=18_08.xlsx&amp;sheet=U0&amp;row=3855&amp;col=6&amp;number=4.1&amp;sourceID=14","4.1")</f>
        <v>4.1</v>
      </c>
      <c r="G3855" s="4" t="str">
        <f>HYPERLINK("http://141.218.60.56/~jnz1568/getInfo.php?workbook=18_08.xlsx&amp;sheet=U0&amp;row=3855&amp;col=7&amp;number=0.00156&amp;sourceID=14","0.00156")</f>
        <v>0.00156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HYPERLINK("http://141.218.60.56/~jnz1568/getInfo.php?workbook=18_08.xlsx&amp;sheet=U0&amp;row=3856&amp;col=6&amp;number=4.2&amp;sourceID=14","4.2")</f>
        <v>4.2</v>
      </c>
      <c r="G3856" s="4" t="str">
        <f>HYPERLINK("http://141.218.60.56/~jnz1568/getInfo.php?workbook=18_08.xlsx&amp;sheet=U0&amp;row=3856&amp;col=7&amp;number=0.00156&amp;sourceID=14","0.00156")</f>
        <v>0.00156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HYPERLINK("http://141.218.60.56/~jnz1568/getInfo.php?workbook=18_08.xlsx&amp;sheet=U0&amp;row=3857&amp;col=6&amp;number=4.3&amp;sourceID=14","4.3")</f>
        <v>4.3</v>
      </c>
      <c r="G3857" s="4" t="str">
        <f>HYPERLINK("http://141.218.60.56/~jnz1568/getInfo.php?workbook=18_08.xlsx&amp;sheet=U0&amp;row=3857&amp;col=7&amp;number=0.00156&amp;sourceID=14","0.00156")</f>
        <v>0.00156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HYPERLINK("http://141.218.60.56/~jnz1568/getInfo.php?workbook=18_08.xlsx&amp;sheet=U0&amp;row=3858&amp;col=6&amp;number=4.4&amp;sourceID=14","4.4")</f>
        <v>4.4</v>
      </c>
      <c r="G3858" s="4" t="str">
        <f>HYPERLINK("http://141.218.60.56/~jnz1568/getInfo.php?workbook=18_08.xlsx&amp;sheet=U0&amp;row=3858&amp;col=7&amp;number=0.00156&amp;sourceID=14","0.00156")</f>
        <v>0.00156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HYPERLINK("http://141.218.60.56/~jnz1568/getInfo.php?workbook=18_08.xlsx&amp;sheet=U0&amp;row=3859&amp;col=6&amp;number=4.5&amp;sourceID=14","4.5")</f>
        <v>4.5</v>
      </c>
      <c r="G3859" s="4" t="str">
        <f>HYPERLINK("http://141.218.60.56/~jnz1568/getInfo.php?workbook=18_08.xlsx&amp;sheet=U0&amp;row=3859&amp;col=7&amp;number=0.00155&amp;sourceID=14","0.00155")</f>
        <v>0.00155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HYPERLINK("http://141.218.60.56/~jnz1568/getInfo.php?workbook=18_08.xlsx&amp;sheet=U0&amp;row=3860&amp;col=6&amp;number=4.6&amp;sourceID=14","4.6")</f>
        <v>4.6</v>
      </c>
      <c r="G3860" s="4" t="str">
        <f>HYPERLINK("http://141.218.60.56/~jnz1568/getInfo.php?workbook=18_08.xlsx&amp;sheet=U0&amp;row=3860&amp;col=7&amp;number=0.00155&amp;sourceID=14","0.00155")</f>
        <v>0.00155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HYPERLINK("http://141.218.60.56/~jnz1568/getInfo.php?workbook=18_08.xlsx&amp;sheet=U0&amp;row=3861&amp;col=6&amp;number=4.7&amp;sourceID=14","4.7")</f>
        <v>4.7</v>
      </c>
      <c r="G3861" s="4" t="str">
        <f>HYPERLINK("http://141.218.60.56/~jnz1568/getInfo.php?workbook=18_08.xlsx&amp;sheet=U0&amp;row=3861&amp;col=7&amp;number=0.00155&amp;sourceID=14","0.00155")</f>
        <v>0.00155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HYPERLINK("http://141.218.60.56/~jnz1568/getInfo.php?workbook=18_08.xlsx&amp;sheet=U0&amp;row=3862&amp;col=6&amp;number=4.8&amp;sourceID=14","4.8")</f>
        <v>4.8</v>
      </c>
      <c r="G3862" s="4" t="str">
        <f>HYPERLINK("http://141.218.60.56/~jnz1568/getInfo.php?workbook=18_08.xlsx&amp;sheet=U0&amp;row=3862&amp;col=7&amp;number=0.00154&amp;sourceID=14","0.00154")</f>
        <v>0.00154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HYPERLINK("http://141.218.60.56/~jnz1568/getInfo.php?workbook=18_08.xlsx&amp;sheet=U0&amp;row=3863&amp;col=6&amp;number=4.9&amp;sourceID=14","4.9")</f>
        <v>4.9</v>
      </c>
      <c r="G3863" s="4" t="str">
        <f>HYPERLINK("http://141.218.60.56/~jnz1568/getInfo.php?workbook=18_08.xlsx&amp;sheet=U0&amp;row=3863&amp;col=7&amp;number=0.00154&amp;sourceID=14","0.00154")</f>
        <v>0.00154</v>
      </c>
    </row>
    <row r="3864" spans="1:7">
      <c r="A3864" s="3">
        <v>18</v>
      </c>
      <c r="B3864" s="3">
        <v>8</v>
      </c>
      <c r="C3864" s="3" t="s">
        <v>63</v>
      </c>
      <c r="D3864" s="3">
        <v>8</v>
      </c>
      <c r="E3864" s="3">
        <v>1</v>
      </c>
      <c r="F3864" s="4" t="str">
        <f>HYPERLINK("http://141.218.60.56/~jnz1568/getInfo.php?workbook=18_08.xlsx&amp;sheet=U0&amp;row=3864&amp;col=6&amp;number=3&amp;sourceID=14","3")</f>
        <v>3</v>
      </c>
      <c r="G3864" s="4" t="str">
        <f>HYPERLINK("http://141.218.60.56/~jnz1568/getInfo.php?workbook=18_08.xlsx&amp;sheet=U0&amp;row=3864&amp;col=7&amp;number=0.00116&amp;sourceID=14","0.00116")</f>
        <v>0.00116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HYPERLINK("http://141.218.60.56/~jnz1568/getInfo.php?workbook=18_08.xlsx&amp;sheet=U0&amp;row=3865&amp;col=6&amp;number=3.1&amp;sourceID=14","3.1")</f>
        <v>3.1</v>
      </c>
      <c r="G3865" s="4" t="str">
        <f>HYPERLINK("http://141.218.60.56/~jnz1568/getInfo.php?workbook=18_08.xlsx&amp;sheet=U0&amp;row=3865&amp;col=7&amp;number=0.00116&amp;sourceID=14","0.00116")</f>
        <v>0.00116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HYPERLINK("http://141.218.60.56/~jnz1568/getInfo.php?workbook=18_08.xlsx&amp;sheet=U0&amp;row=3866&amp;col=6&amp;number=3.2&amp;sourceID=14","3.2")</f>
        <v>3.2</v>
      </c>
      <c r="G3866" s="4" t="str">
        <f>HYPERLINK("http://141.218.60.56/~jnz1568/getInfo.php?workbook=18_08.xlsx&amp;sheet=U0&amp;row=3866&amp;col=7&amp;number=0.00116&amp;sourceID=14","0.00116")</f>
        <v>0.00116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HYPERLINK("http://141.218.60.56/~jnz1568/getInfo.php?workbook=18_08.xlsx&amp;sheet=U0&amp;row=3867&amp;col=6&amp;number=3.3&amp;sourceID=14","3.3")</f>
        <v>3.3</v>
      </c>
      <c r="G3867" s="4" t="str">
        <f>HYPERLINK("http://141.218.60.56/~jnz1568/getInfo.php?workbook=18_08.xlsx&amp;sheet=U0&amp;row=3867&amp;col=7&amp;number=0.00116&amp;sourceID=14","0.00116")</f>
        <v>0.00116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HYPERLINK("http://141.218.60.56/~jnz1568/getInfo.php?workbook=18_08.xlsx&amp;sheet=U0&amp;row=3868&amp;col=6&amp;number=3.4&amp;sourceID=14","3.4")</f>
        <v>3.4</v>
      </c>
      <c r="G3868" s="4" t="str">
        <f>HYPERLINK("http://141.218.60.56/~jnz1568/getInfo.php?workbook=18_08.xlsx&amp;sheet=U0&amp;row=3868&amp;col=7&amp;number=0.00116&amp;sourceID=14","0.00116")</f>
        <v>0.00116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HYPERLINK("http://141.218.60.56/~jnz1568/getInfo.php?workbook=18_08.xlsx&amp;sheet=U0&amp;row=3869&amp;col=6&amp;number=3.5&amp;sourceID=14","3.5")</f>
        <v>3.5</v>
      </c>
      <c r="G3869" s="4" t="str">
        <f>HYPERLINK("http://141.218.60.56/~jnz1568/getInfo.php?workbook=18_08.xlsx&amp;sheet=U0&amp;row=3869&amp;col=7&amp;number=0.00116&amp;sourceID=14","0.00116")</f>
        <v>0.00116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HYPERLINK("http://141.218.60.56/~jnz1568/getInfo.php?workbook=18_08.xlsx&amp;sheet=U0&amp;row=3870&amp;col=6&amp;number=3.6&amp;sourceID=14","3.6")</f>
        <v>3.6</v>
      </c>
      <c r="G3870" s="4" t="str">
        <f>HYPERLINK("http://141.218.60.56/~jnz1568/getInfo.php?workbook=18_08.xlsx&amp;sheet=U0&amp;row=3870&amp;col=7&amp;number=0.00116&amp;sourceID=14","0.00116")</f>
        <v>0.00116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HYPERLINK("http://141.218.60.56/~jnz1568/getInfo.php?workbook=18_08.xlsx&amp;sheet=U0&amp;row=3871&amp;col=6&amp;number=3.7&amp;sourceID=14","3.7")</f>
        <v>3.7</v>
      </c>
      <c r="G3871" s="4" t="str">
        <f>HYPERLINK("http://141.218.60.56/~jnz1568/getInfo.php?workbook=18_08.xlsx&amp;sheet=U0&amp;row=3871&amp;col=7&amp;number=0.00116&amp;sourceID=14","0.00116")</f>
        <v>0.00116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HYPERLINK("http://141.218.60.56/~jnz1568/getInfo.php?workbook=18_08.xlsx&amp;sheet=U0&amp;row=3872&amp;col=6&amp;number=3.8&amp;sourceID=14","3.8")</f>
        <v>3.8</v>
      </c>
      <c r="G3872" s="4" t="str">
        <f>HYPERLINK("http://141.218.60.56/~jnz1568/getInfo.php?workbook=18_08.xlsx&amp;sheet=U0&amp;row=3872&amp;col=7&amp;number=0.00116&amp;sourceID=14","0.00116")</f>
        <v>0.00116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HYPERLINK("http://141.218.60.56/~jnz1568/getInfo.php?workbook=18_08.xlsx&amp;sheet=U0&amp;row=3873&amp;col=6&amp;number=3.9&amp;sourceID=14","3.9")</f>
        <v>3.9</v>
      </c>
      <c r="G3873" s="4" t="str">
        <f>HYPERLINK("http://141.218.60.56/~jnz1568/getInfo.php?workbook=18_08.xlsx&amp;sheet=U0&amp;row=3873&amp;col=7&amp;number=0.00116&amp;sourceID=14","0.00116")</f>
        <v>0.00116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HYPERLINK("http://141.218.60.56/~jnz1568/getInfo.php?workbook=18_08.xlsx&amp;sheet=U0&amp;row=3874&amp;col=6&amp;number=4&amp;sourceID=14","4")</f>
        <v>4</v>
      </c>
      <c r="G3874" s="4" t="str">
        <f>HYPERLINK("http://141.218.60.56/~jnz1568/getInfo.php?workbook=18_08.xlsx&amp;sheet=U0&amp;row=3874&amp;col=7&amp;number=0.00116&amp;sourceID=14","0.00116")</f>
        <v>0.00116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HYPERLINK("http://141.218.60.56/~jnz1568/getInfo.php?workbook=18_08.xlsx&amp;sheet=U0&amp;row=3875&amp;col=6&amp;number=4.1&amp;sourceID=14","4.1")</f>
        <v>4.1</v>
      </c>
      <c r="G3875" s="4" t="str">
        <f>HYPERLINK("http://141.218.60.56/~jnz1568/getInfo.php?workbook=18_08.xlsx&amp;sheet=U0&amp;row=3875&amp;col=7&amp;number=0.00116&amp;sourceID=14","0.00116")</f>
        <v>0.00116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HYPERLINK("http://141.218.60.56/~jnz1568/getInfo.php?workbook=18_08.xlsx&amp;sheet=U0&amp;row=3876&amp;col=6&amp;number=4.2&amp;sourceID=14","4.2")</f>
        <v>4.2</v>
      </c>
      <c r="G3876" s="4" t="str">
        <f>HYPERLINK("http://141.218.60.56/~jnz1568/getInfo.php?workbook=18_08.xlsx&amp;sheet=U0&amp;row=3876&amp;col=7&amp;number=0.00115&amp;sourceID=14","0.00115")</f>
        <v>0.00115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HYPERLINK("http://141.218.60.56/~jnz1568/getInfo.php?workbook=18_08.xlsx&amp;sheet=U0&amp;row=3877&amp;col=6&amp;number=4.3&amp;sourceID=14","4.3")</f>
        <v>4.3</v>
      </c>
      <c r="G3877" s="4" t="str">
        <f>HYPERLINK("http://141.218.60.56/~jnz1568/getInfo.php?workbook=18_08.xlsx&amp;sheet=U0&amp;row=3877&amp;col=7&amp;number=0.00115&amp;sourceID=14","0.00115")</f>
        <v>0.00115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HYPERLINK("http://141.218.60.56/~jnz1568/getInfo.php?workbook=18_08.xlsx&amp;sheet=U0&amp;row=3878&amp;col=6&amp;number=4.4&amp;sourceID=14","4.4")</f>
        <v>4.4</v>
      </c>
      <c r="G3878" s="4" t="str">
        <f>HYPERLINK("http://141.218.60.56/~jnz1568/getInfo.php?workbook=18_08.xlsx&amp;sheet=U0&amp;row=3878&amp;col=7&amp;number=0.00115&amp;sourceID=14","0.00115")</f>
        <v>0.00115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HYPERLINK("http://141.218.60.56/~jnz1568/getInfo.php?workbook=18_08.xlsx&amp;sheet=U0&amp;row=3879&amp;col=6&amp;number=4.5&amp;sourceID=14","4.5")</f>
        <v>4.5</v>
      </c>
      <c r="G3879" s="4" t="str">
        <f>HYPERLINK("http://141.218.60.56/~jnz1568/getInfo.php?workbook=18_08.xlsx&amp;sheet=U0&amp;row=3879&amp;col=7&amp;number=0.00115&amp;sourceID=14","0.00115")</f>
        <v>0.00115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HYPERLINK("http://141.218.60.56/~jnz1568/getInfo.php?workbook=18_08.xlsx&amp;sheet=U0&amp;row=3880&amp;col=6&amp;number=4.6&amp;sourceID=14","4.6")</f>
        <v>4.6</v>
      </c>
      <c r="G3880" s="4" t="str">
        <f>HYPERLINK("http://141.218.60.56/~jnz1568/getInfo.php?workbook=18_08.xlsx&amp;sheet=U0&amp;row=3880&amp;col=7&amp;number=0.00115&amp;sourceID=14","0.00115")</f>
        <v>0.00115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HYPERLINK("http://141.218.60.56/~jnz1568/getInfo.php?workbook=18_08.xlsx&amp;sheet=U0&amp;row=3881&amp;col=6&amp;number=4.7&amp;sourceID=14","4.7")</f>
        <v>4.7</v>
      </c>
      <c r="G3881" s="4" t="str">
        <f>HYPERLINK("http://141.218.60.56/~jnz1568/getInfo.php?workbook=18_08.xlsx&amp;sheet=U0&amp;row=3881&amp;col=7&amp;number=0.00115&amp;sourceID=14","0.00115")</f>
        <v>0.00115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HYPERLINK("http://141.218.60.56/~jnz1568/getInfo.php?workbook=18_08.xlsx&amp;sheet=U0&amp;row=3882&amp;col=6&amp;number=4.8&amp;sourceID=14","4.8")</f>
        <v>4.8</v>
      </c>
      <c r="G3882" s="4" t="str">
        <f>HYPERLINK("http://141.218.60.56/~jnz1568/getInfo.php?workbook=18_08.xlsx&amp;sheet=U0&amp;row=3882&amp;col=7&amp;number=0.00115&amp;sourceID=14","0.00115")</f>
        <v>0.00115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HYPERLINK("http://141.218.60.56/~jnz1568/getInfo.php?workbook=18_08.xlsx&amp;sheet=U0&amp;row=3883&amp;col=6&amp;number=4.9&amp;sourceID=14","4.9")</f>
        <v>4.9</v>
      </c>
      <c r="G3883" s="4" t="str">
        <f>HYPERLINK("http://141.218.60.56/~jnz1568/getInfo.php?workbook=18_08.xlsx&amp;sheet=U0&amp;row=3883&amp;col=7&amp;number=0.00114&amp;sourceID=14","0.00114")</f>
        <v>0.00114</v>
      </c>
    </row>
    <row r="3884" spans="1:7">
      <c r="A3884" s="3">
        <v>18</v>
      </c>
      <c r="B3884" s="3">
        <v>8</v>
      </c>
      <c r="C3884" s="3" t="s">
        <v>63</v>
      </c>
      <c r="D3884" s="3">
        <v>9</v>
      </c>
      <c r="E3884" s="3">
        <v>1</v>
      </c>
      <c r="F3884" s="4" t="str">
        <f>HYPERLINK("http://141.218.60.56/~jnz1568/getInfo.php?workbook=18_08.xlsx&amp;sheet=U0&amp;row=3884&amp;col=6&amp;number=3&amp;sourceID=14","3")</f>
        <v>3</v>
      </c>
      <c r="G3884" s="4" t="str">
        <f>HYPERLINK("http://141.218.60.56/~jnz1568/getInfo.php?workbook=18_08.xlsx&amp;sheet=U0&amp;row=3884&amp;col=7&amp;number=1.3e-05&amp;sourceID=14","1.3e-05")</f>
        <v>1.3e-05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HYPERLINK("http://141.218.60.56/~jnz1568/getInfo.php?workbook=18_08.xlsx&amp;sheet=U0&amp;row=3885&amp;col=6&amp;number=3.1&amp;sourceID=14","3.1")</f>
        <v>3.1</v>
      </c>
      <c r="G3885" s="4" t="str">
        <f>HYPERLINK("http://141.218.60.56/~jnz1568/getInfo.php?workbook=18_08.xlsx&amp;sheet=U0&amp;row=3885&amp;col=7&amp;number=1.3e-05&amp;sourceID=14","1.3e-05")</f>
        <v>1.3e-05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HYPERLINK("http://141.218.60.56/~jnz1568/getInfo.php?workbook=18_08.xlsx&amp;sheet=U0&amp;row=3886&amp;col=6&amp;number=3.2&amp;sourceID=14","3.2")</f>
        <v>3.2</v>
      </c>
      <c r="G3886" s="4" t="str">
        <f>HYPERLINK("http://141.218.60.56/~jnz1568/getInfo.php?workbook=18_08.xlsx&amp;sheet=U0&amp;row=3886&amp;col=7&amp;number=1.3e-05&amp;sourceID=14","1.3e-05")</f>
        <v>1.3e-05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HYPERLINK("http://141.218.60.56/~jnz1568/getInfo.php?workbook=18_08.xlsx&amp;sheet=U0&amp;row=3887&amp;col=6&amp;number=3.3&amp;sourceID=14","3.3")</f>
        <v>3.3</v>
      </c>
      <c r="G3887" s="4" t="str">
        <f>HYPERLINK("http://141.218.60.56/~jnz1568/getInfo.php?workbook=18_08.xlsx&amp;sheet=U0&amp;row=3887&amp;col=7&amp;number=1.3e-05&amp;sourceID=14","1.3e-05")</f>
        <v>1.3e-05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HYPERLINK("http://141.218.60.56/~jnz1568/getInfo.php?workbook=18_08.xlsx&amp;sheet=U0&amp;row=3888&amp;col=6&amp;number=3.4&amp;sourceID=14","3.4")</f>
        <v>3.4</v>
      </c>
      <c r="G3888" s="4" t="str">
        <f>HYPERLINK("http://141.218.60.56/~jnz1568/getInfo.php?workbook=18_08.xlsx&amp;sheet=U0&amp;row=3888&amp;col=7&amp;number=1.3e-05&amp;sourceID=14","1.3e-05")</f>
        <v>1.3e-05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HYPERLINK("http://141.218.60.56/~jnz1568/getInfo.php?workbook=18_08.xlsx&amp;sheet=U0&amp;row=3889&amp;col=6&amp;number=3.5&amp;sourceID=14","3.5")</f>
        <v>3.5</v>
      </c>
      <c r="G3889" s="4" t="str">
        <f>HYPERLINK("http://141.218.60.56/~jnz1568/getInfo.php?workbook=18_08.xlsx&amp;sheet=U0&amp;row=3889&amp;col=7&amp;number=1.3e-05&amp;sourceID=14","1.3e-05")</f>
        <v>1.3e-05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HYPERLINK("http://141.218.60.56/~jnz1568/getInfo.php?workbook=18_08.xlsx&amp;sheet=U0&amp;row=3890&amp;col=6&amp;number=3.6&amp;sourceID=14","3.6")</f>
        <v>3.6</v>
      </c>
      <c r="G3890" s="4" t="str">
        <f>HYPERLINK("http://141.218.60.56/~jnz1568/getInfo.php?workbook=18_08.xlsx&amp;sheet=U0&amp;row=3890&amp;col=7&amp;number=1.29e-05&amp;sourceID=14","1.29e-05")</f>
        <v>1.29e-05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HYPERLINK("http://141.218.60.56/~jnz1568/getInfo.php?workbook=18_08.xlsx&amp;sheet=U0&amp;row=3891&amp;col=6&amp;number=3.7&amp;sourceID=14","3.7")</f>
        <v>3.7</v>
      </c>
      <c r="G3891" s="4" t="str">
        <f>HYPERLINK("http://141.218.60.56/~jnz1568/getInfo.php?workbook=18_08.xlsx&amp;sheet=U0&amp;row=3891&amp;col=7&amp;number=1.29e-05&amp;sourceID=14","1.29e-05")</f>
        <v>1.29e-05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HYPERLINK("http://141.218.60.56/~jnz1568/getInfo.php?workbook=18_08.xlsx&amp;sheet=U0&amp;row=3892&amp;col=6&amp;number=3.8&amp;sourceID=14","3.8")</f>
        <v>3.8</v>
      </c>
      <c r="G3892" s="4" t="str">
        <f>HYPERLINK("http://141.218.60.56/~jnz1568/getInfo.php?workbook=18_08.xlsx&amp;sheet=U0&amp;row=3892&amp;col=7&amp;number=1.29e-05&amp;sourceID=14","1.29e-05")</f>
        <v>1.29e-05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HYPERLINK("http://141.218.60.56/~jnz1568/getInfo.php?workbook=18_08.xlsx&amp;sheet=U0&amp;row=3893&amp;col=6&amp;number=3.9&amp;sourceID=14","3.9")</f>
        <v>3.9</v>
      </c>
      <c r="G3893" s="4" t="str">
        <f>HYPERLINK("http://141.218.60.56/~jnz1568/getInfo.php?workbook=18_08.xlsx&amp;sheet=U0&amp;row=3893&amp;col=7&amp;number=1.29e-05&amp;sourceID=14","1.29e-05")</f>
        <v>1.29e-05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HYPERLINK("http://141.218.60.56/~jnz1568/getInfo.php?workbook=18_08.xlsx&amp;sheet=U0&amp;row=3894&amp;col=6&amp;number=4&amp;sourceID=14","4")</f>
        <v>4</v>
      </c>
      <c r="G3894" s="4" t="str">
        <f>HYPERLINK("http://141.218.60.56/~jnz1568/getInfo.php?workbook=18_08.xlsx&amp;sheet=U0&amp;row=3894&amp;col=7&amp;number=1.29e-05&amp;sourceID=14","1.29e-05")</f>
        <v>1.29e-05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HYPERLINK("http://141.218.60.56/~jnz1568/getInfo.php?workbook=18_08.xlsx&amp;sheet=U0&amp;row=3895&amp;col=6&amp;number=4.1&amp;sourceID=14","4.1")</f>
        <v>4.1</v>
      </c>
      <c r="G3895" s="4" t="str">
        <f>HYPERLINK("http://141.218.60.56/~jnz1568/getInfo.php?workbook=18_08.xlsx&amp;sheet=U0&amp;row=3895&amp;col=7&amp;number=1.29e-05&amp;sourceID=14","1.29e-05")</f>
        <v>1.29e-05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HYPERLINK("http://141.218.60.56/~jnz1568/getInfo.php?workbook=18_08.xlsx&amp;sheet=U0&amp;row=3896&amp;col=6&amp;number=4.2&amp;sourceID=14","4.2")</f>
        <v>4.2</v>
      </c>
      <c r="G3896" s="4" t="str">
        <f>HYPERLINK("http://141.218.60.56/~jnz1568/getInfo.php?workbook=18_08.xlsx&amp;sheet=U0&amp;row=3896&amp;col=7&amp;number=1.29e-05&amp;sourceID=14","1.29e-05")</f>
        <v>1.29e-05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HYPERLINK("http://141.218.60.56/~jnz1568/getInfo.php?workbook=18_08.xlsx&amp;sheet=U0&amp;row=3897&amp;col=6&amp;number=4.3&amp;sourceID=14","4.3")</f>
        <v>4.3</v>
      </c>
      <c r="G3897" s="4" t="str">
        <f>HYPERLINK("http://141.218.60.56/~jnz1568/getInfo.php?workbook=18_08.xlsx&amp;sheet=U0&amp;row=3897&amp;col=7&amp;number=1.29e-05&amp;sourceID=14","1.29e-05")</f>
        <v>1.29e-05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HYPERLINK("http://141.218.60.56/~jnz1568/getInfo.php?workbook=18_08.xlsx&amp;sheet=U0&amp;row=3898&amp;col=6&amp;number=4.4&amp;sourceID=14","4.4")</f>
        <v>4.4</v>
      </c>
      <c r="G3898" s="4" t="str">
        <f>HYPERLINK("http://141.218.60.56/~jnz1568/getInfo.php?workbook=18_08.xlsx&amp;sheet=U0&amp;row=3898&amp;col=7&amp;number=1.29e-05&amp;sourceID=14","1.29e-05")</f>
        <v>1.29e-05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HYPERLINK("http://141.218.60.56/~jnz1568/getInfo.php?workbook=18_08.xlsx&amp;sheet=U0&amp;row=3899&amp;col=6&amp;number=4.5&amp;sourceID=14","4.5")</f>
        <v>4.5</v>
      </c>
      <c r="G3899" s="4" t="str">
        <f>HYPERLINK("http://141.218.60.56/~jnz1568/getInfo.php?workbook=18_08.xlsx&amp;sheet=U0&amp;row=3899&amp;col=7&amp;number=1.29e-05&amp;sourceID=14","1.29e-05")</f>
        <v>1.29e-05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HYPERLINK("http://141.218.60.56/~jnz1568/getInfo.php?workbook=18_08.xlsx&amp;sheet=U0&amp;row=3900&amp;col=6&amp;number=4.6&amp;sourceID=14","4.6")</f>
        <v>4.6</v>
      </c>
      <c r="G3900" s="4" t="str">
        <f>HYPERLINK("http://141.218.60.56/~jnz1568/getInfo.php?workbook=18_08.xlsx&amp;sheet=U0&amp;row=3900&amp;col=7&amp;number=1.28e-05&amp;sourceID=14","1.28e-05")</f>
        <v>1.28e-05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HYPERLINK("http://141.218.60.56/~jnz1568/getInfo.php?workbook=18_08.xlsx&amp;sheet=U0&amp;row=3901&amp;col=6&amp;number=4.7&amp;sourceID=14","4.7")</f>
        <v>4.7</v>
      </c>
      <c r="G3901" s="4" t="str">
        <f>HYPERLINK("http://141.218.60.56/~jnz1568/getInfo.php?workbook=18_08.xlsx&amp;sheet=U0&amp;row=3901&amp;col=7&amp;number=1.28e-05&amp;sourceID=14","1.28e-05")</f>
        <v>1.28e-05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HYPERLINK("http://141.218.60.56/~jnz1568/getInfo.php?workbook=18_08.xlsx&amp;sheet=U0&amp;row=3902&amp;col=6&amp;number=4.8&amp;sourceID=14","4.8")</f>
        <v>4.8</v>
      </c>
      <c r="G3902" s="4" t="str">
        <f>HYPERLINK("http://141.218.60.56/~jnz1568/getInfo.php?workbook=18_08.xlsx&amp;sheet=U0&amp;row=3902&amp;col=7&amp;number=1.28e-05&amp;sourceID=14","1.28e-05")</f>
        <v>1.28e-05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HYPERLINK("http://141.218.60.56/~jnz1568/getInfo.php?workbook=18_08.xlsx&amp;sheet=U0&amp;row=3903&amp;col=6&amp;number=4.9&amp;sourceID=14","4.9")</f>
        <v>4.9</v>
      </c>
      <c r="G3903" s="4" t="str">
        <f>HYPERLINK("http://141.218.60.56/~jnz1568/getInfo.php?workbook=18_08.xlsx&amp;sheet=U0&amp;row=3903&amp;col=7&amp;number=1.27e-05&amp;sourceID=14","1.27e-05")</f>
        <v>1.27e-05</v>
      </c>
    </row>
    <row r="3904" spans="1:7">
      <c r="A3904" s="3">
        <v>18</v>
      </c>
      <c r="B3904" s="3">
        <v>8</v>
      </c>
      <c r="C3904" s="3" t="s">
        <v>64</v>
      </c>
      <c r="D3904" s="3">
        <v>0</v>
      </c>
      <c r="E3904" s="3">
        <v>1</v>
      </c>
      <c r="F3904" s="4" t="str">
        <f>HYPERLINK("http://141.218.60.56/~jnz1568/getInfo.php?workbook=18_08.xlsx&amp;sheet=U0&amp;row=3904&amp;col=6&amp;number=3&amp;sourceID=14","3")</f>
        <v>3</v>
      </c>
      <c r="G3904" s="4" t="str">
        <f>HYPERLINK("http://141.218.60.56/~jnz1568/getInfo.php?workbook=18_08.xlsx&amp;sheet=U0&amp;row=3904&amp;col=7&amp;number=0.00118&amp;sourceID=14","0.00118")</f>
        <v>0.00118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HYPERLINK("http://141.218.60.56/~jnz1568/getInfo.php?workbook=18_08.xlsx&amp;sheet=U0&amp;row=3905&amp;col=6&amp;number=3.1&amp;sourceID=14","3.1")</f>
        <v>3.1</v>
      </c>
      <c r="G3905" s="4" t="str">
        <f>HYPERLINK("http://141.218.60.56/~jnz1568/getInfo.php?workbook=18_08.xlsx&amp;sheet=U0&amp;row=3905&amp;col=7&amp;number=0.00118&amp;sourceID=14","0.00118")</f>
        <v>0.00118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HYPERLINK("http://141.218.60.56/~jnz1568/getInfo.php?workbook=18_08.xlsx&amp;sheet=U0&amp;row=3906&amp;col=6&amp;number=3.2&amp;sourceID=14","3.2")</f>
        <v>3.2</v>
      </c>
      <c r="G3906" s="4" t="str">
        <f>HYPERLINK("http://141.218.60.56/~jnz1568/getInfo.php?workbook=18_08.xlsx&amp;sheet=U0&amp;row=3906&amp;col=7&amp;number=0.00118&amp;sourceID=14","0.00118")</f>
        <v>0.00118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HYPERLINK("http://141.218.60.56/~jnz1568/getInfo.php?workbook=18_08.xlsx&amp;sheet=U0&amp;row=3907&amp;col=6&amp;number=3.3&amp;sourceID=14","3.3")</f>
        <v>3.3</v>
      </c>
      <c r="G3907" s="4" t="str">
        <f>HYPERLINK("http://141.218.60.56/~jnz1568/getInfo.php?workbook=18_08.xlsx&amp;sheet=U0&amp;row=3907&amp;col=7&amp;number=0.00118&amp;sourceID=14","0.00118")</f>
        <v>0.00118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HYPERLINK("http://141.218.60.56/~jnz1568/getInfo.php?workbook=18_08.xlsx&amp;sheet=U0&amp;row=3908&amp;col=6&amp;number=3.4&amp;sourceID=14","3.4")</f>
        <v>3.4</v>
      </c>
      <c r="G3908" s="4" t="str">
        <f>HYPERLINK("http://141.218.60.56/~jnz1568/getInfo.php?workbook=18_08.xlsx&amp;sheet=U0&amp;row=3908&amp;col=7&amp;number=0.00118&amp;sourceID=14","0.00118")</f>
        <v>0.00118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HYPERLINK("http://141.218.60.56/~jnz1568/getInfo.php?workbook=18_08.xlsx&amp;sheet=U0&amp;row=3909&amp;col=6&amp;number=3.5&amp;sourceID=14","3.5")</f>
        <v>3.5</v>
      </c>
      <c r="G3909" s="4" t="str">
        <f>HYPERLINK("http://141.218.60.56/~jnz1568/getInfo.php?workbook=18_08.xlsx&amp;sheet=U0&amp;row=3909&amp;col=7&amp;number=0.00118&amp;sourceID=14","0.00118")</f>
        <v>0.00118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HYPERLINK("http://141.218.60.56/~jnz1568/getInfo.php?workbook=18_08.xlsx&amp;sheet=U0&amp;row=3910&amp;col=6&amp;number=3.6&amp;sourceID=14","3.6")</f>
        <v>3.6</v>
      </c>
      <c r="G3910" s="4" t="str">
        <f>HYPERLINK("http://141.218.60.56/~jnz1568/getInfo.php?workbook=18_08.xlsx&amp;sheet=U0&amp;row=3910&amp;col=7&amp;number=0.00118&amp;sourceID=14","0.00118")</f>
        <v>0.00118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HYPERLINK("http://141.218.60.56/~jnz1568/getInfo.php?workbook=18_08.xlsx&amp;sheet=U0&amp;row=3911&amp;col=6&amp;number=3.7&amp;sourceID=14","3.7")</f>
        <v>3.7</v>
      </c>
      <c r="G3911" s="4" t="str">
        <f>HYPERLINK("http://141.218.60.56/~jnz1568/getInfo.php?workbook=18_08.xlsx&amp;sheet=U0&amp;row=3911&amp;col=7&amp;number=0.00118&amp;sourceID=14","0.00118")</f>
        <v>0.00118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HYPERLINK("http://141.218.60.56/~jnz1568/getInfo.php?workbook=18_08.xlsx&amp;sheet=U0&amp;row=3912&amp;col=6&amp;number=3.8&amp;sourceID=14","3.8")</f>
        <v>3.8</v>
      </c>
      <c r="G3912" s="4" t="str">
        <f>HYPERLINK("http://141.218.60.56/~jnz1568/getInfo.php?workbook=18_08.xlsx&amp;sheet=U0&amp;row=3912&amp;col=7&amp;number=0.00118&amp;sourceID=14","0.00118")</f>
        <v>0.00118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HYPERLINK("http://141.218.60.56/~jnz1568/getInfo.php?workbook=18_08.xlsx&amp;sheet=U0&amp;row=3913&amp;col=6&amp;number=3.9&amp;sourceID=14","3.9")</f>
        <v>3.9</v>
      </c>
      <c r="G3913" s="4" t="str">
        <f>HYPERLINK("http://141.218.60.56/~jnz1568/getInfo.php?workbook=18_08.xlsx&amp;sheet=U0&amp;row=3913&amp;col=7&amp;number=0.00118&amp;sourceID=14","0.00118")</f>
        <v>0.00118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HYPERLINK("http://141.218.60.56/~jnz1568/getInfo.php?workbook=18_08.xlsx&amp;sheet=U0&amp;row=3914&amp;col=6&amp;number=4&amp;sourceID=14","4")</f>
        <v>4</v>
      </c>
      <c r="G3914" s="4" t="str">
        <f>HYPERLINK("http://141.218.60.56/~jnz1568/getInfo.php?workbook=18_08.xlsx&amp;sheet=U0&amp;row=3914&amp;col=7&amp;number=0.00118&amp;sourceID=14","0.00118")</f>
        <v>0.00118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HYPERLINK("http://141.218.60.56/~jnz1568/getInfo.php?workbook=18_08.xlsx&amp;sheet=U0&amp;row=3915&amp;col=6&amp;number=4.1&amp;sourceID=14","4.1")</f>
        <v>4.1</v>
      </c>
      <c r="G3915" s="4" t="str">
        <f>HYPERLINK("http://141.218.60.56/~jnz1568/getInfo.php?workbook=18_08.xlsx&amp;sheet=U0&amp;row=3915&amp;col=7&amp;number=0.00118&amp;sourceID=14","0.00118")</f>
        <v>0.00118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HYPERLINK("http://141.218.60.56/~jnz1568/getInfo.php?workbook=18_08.xlsx&amp;sheet=U0&amp;row=3916&amp;col=6&amp;number=4.2&amp;sourceID=14","4.2")</f>
        <v>4.2</v>
      </c>
      <c r="G3916" s="4" t="str">
        <f>HYPERLINK("http://141.218.60.56/~jnz1568/getInfo.php?workbook=18_08.xlsx&amp;sheet=U0&amp;row=3916&amp;col=7&amp;number=0.00118&amp;sourceID=14","0.00118")</f>
        <v>0.00118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HYPERLINK("http://141.218.60.56/~jnz1568/getInfo.php?workbook=18_08.xlsx&amp;sheet=U0&amp;row=3917&amp;col=6&amp;number=4.3&amp;sourceID=14","4.3")</f>
        <v>4.3</v>
      </c>
      <c r="G3917" s="4" t="str">
        <f>HYPERLINK("http://141.218.60.56/~jnz1568/getInfo.php?workbook=18_08.xlsx&amp;sheet=U0&amp;row=3917&amp;col=7&amp;number=0.00118&amp;sourceID=14","0.00118")</f>
        <v>0.00118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HYPERLINK("http://141.218.60.56/~jnz1568/getInfo.php?workbook=18_08.xlsx&amp;sheet=U0&amp;row=3918&amp;col=6&amp;number=4.4&amp;sourceID=14","4.4")</f>
        <v>4.4</v>
      </c>
      <c r="G3918" s="4" t="str">
        <f>HYPERLINK("http://141.218.60.56/~jnz1568/getInfo.php?workbook=18_08.xlsx&amp;sheet=U0&amp;row=3918&amp;col=7&amp;number=0.00118&amp;sourceID=14","0.00118")</f>
        <v>0.00118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HYPERLINK("http://141.218.60.56/~jnz1568/getInfo.php?workbook=18_08.xlsx&amp;sheet=U0&amp;row=3919&amp;col=6&amp;number=4.5&amp;sourceID=14","4.5")</f>
        <v>4.5</v>
      </c>
      <c r="G3919" s="4" t="str">
        <f>HYPERLINK("http://141.218.60.56/~jnz1568/getInfo.php?workbook=18_08.xlsx&amp;sheet=U0&amp;row=3919&amp;col=7&amp;number=0.00118&amp;sourceID=14","0.00118")</f>
        <v>0.00118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HYPERLINK("http://141.218.60.56/~jnz1568/getInfo.php?workbook=18_08.xlsx&amp;sheet=U0&amp;row=3920&amp;col=6&amp;number=4.6&amp;sourceID=14","4.6")</f>
        <v>4.6</v>
      </c>
      <c r="G3920" s="4" t="str">
        <f>HYPERLINK("http://141.218.60.56/~jnz1568/getInfo.php?workbook=18_08.xlsx&amp;sheet=U0&amp;row=3920&amp;col=7&amp;number=0.00118&amp;sourceID=14","0.00118")</f>
        <v>0.00118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HYPERLINK("http://141.218.60.56/~jnz1568/getInfo.php?workbook=18_08.xlsx&amp;sheet=U0&amp;row=3921&amp;col=6&amp;number=4.7&amp;sourceID=14","4.7")</f>
        <v>4.7</v>
      </c>
      <c r="G3921" s="4" t="str">
        <f>HYPERLINK("http://141.218.60.56/~jnz1568/getInfo.php?workbook=18_08.xlsx&amp;sheet=U0&amp;row=3921&amp;col=7&amp;number=0.00117&amp;sourceID=14","0.00117")</f>
        <v>0.00117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HYPERLINK("http://141.218.60.56/~jnz1568/getInfo.php?workbook=18_08.xlsx&amp;sheet=U0&amp;row=3922&amp;col=6&amp;number=4.8&amp;sourceID=14","4.8")</f>
        <v>4.8</v>
      </c>
      <c r="G3922" s="4" t="str">
        <f>HYPERLINK("http://141.218.60.56/~jnz1568/getInfo.php?workbook=18_08.xlsx&amp;sheet=U0&amp;row=3922&amp;col=7&amp;number=0.00117&amp;sourceID=14","0.00117")</f>
        <v>0.00117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HYPERLINK("http://141.218.60.56/~jnz1568/getInfo.php?workbook=18_08.xlsx&amp;sheet=U0&amp;row=3923&amp;col=6&amp;number=4.9&amp;sourceID=14","4.9")</f>
        <v>4.9</v>
      </c>
      <c r="G3923" s="4" t="str">
        <f>HYPERLINK("http://141.218.60.56/~jnz1568/getInfo.php?workbook=18_08.xlsx&amp;sheet=U0&amp;row=3923&amp;col=7&amp;number=0.00117&amp;sourceID=14","0.00117")</f>
        <v>0.00117</v>
      </c>
    </row>
    <row r="3924" spans="1:7">
      <c r="A3924" s="3">
        <v>18</v>
      </c>
      <c r="B3924" s="3">
        <v>8</v>
      </c>
      <c r="C3924" s="3" t="s">
        <v>64</v>
      </c>
      <c r="D3924" s="3">
        <v>1</v>
      </c>
      <c r="E3924" s="3">
        <v>1</v>
      </c>
      <c r="F3924" s="4" t="str">
        <f>HYPERLINK("http://141.218.60.56/~jnz1568/getInfo.php?workbook=18_08.xlsx&amp;sheet=U0&amp;row=3924&amp;col=6&amp;number=3&amp;sourceID=14","3")</f>
        <v>3</v>
      </c>
      <c r="G3924" s="4" t="str">
        <f>HYPERLINK("http://141.218.60.56/~jnz1568/getInfo.php?workbook=18_08.xlsx&amp;sheet=U0&amp;row=3924&amp;col=7&amp;number=0.00338&amp;sourceID=14","0.00338")</f>
        <v>0.00338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HYPERLINK("http://141.218.60.56/~jnz1568/getInfo.php?workbook=18_08.xlsx&amp;sheet=U0&amp;row=3925&amp;col=6&amp;number=3.1&amp;sourceID=14","3.1")</f>
        <v>3.1</v>
      </c>
      <c r="G3925" s="4" t="str">
        <f>HYPERLINK("http://141.218.60.56/~jnz1568/getInfo.php?workbook=18_08.xlsx&amp;sheet=U0&amp;row=3925&amp;col=7&amp;number=0.00338&amp;sourceID=14","0.00338")</f>
        <v>0.00338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HYPERLINK("http://141.218.60.56/~jnz1568/getInfo.php?workbook=18_08.xlsx&amp;sheet=U0&amp;row=3926&amp;col=6&amp;number=3.2&amp;sourceID=14","3.2")</f>
        <v>3.2</v>
      </c>
      <c r="G3926" s="4" t="str">
        <f>HYPERLINK("http://141.218.60.56/~jnz1568/getInfo.php?workbook=18_08.xlsx&amp;sheet=U0&amp;row=3926&amp;col=7&amp;number=0.00338&amp;sourceID=14","0.00338")</f>
        <v>0.00338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HYPERLINK("http://141.218.60.56/~jnz1568/getInfo.php?workbook=18_08.xlsx&amp;sheet=U0&amp;row=3927&amp;col=6&amp;number=3.3&amp;sourceID=14","3.3")</f>
        <v>3.3</v>
      </c>
      <c r="G3927" s="4" t="str">
        <f>HYPERLINK("http://141.218.60.56/~jnz1568/getInfo.php?workbook=18_08.xlsx&amp;sheet=U0&amp;row=3927&amp;col=7&amp;number=0.00338&amp;sourceID=14","0.00338")</f>
        <v>0.00338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HYPERLINK("http://141.218.60.56/~jnz1568/getInfo.php?workbook=18_08.xlsx&amp;sheet=U0&amp;row=3928&amp;col=6&amp;number=3.4&amp;sourceID=14","3.4")</f>
        <v>3.4</v>
      </c>
      <c r="G3928" s="4" t="str">
        <f>HYPERLINK("http://141.218.60.56/~jnz1568/getInfo.php?workbook=18_08.xlsx&amp;sheet=U0&amp;row=3928&amp;col=7&amp;number=0.00338&amp;sourceID=14","0.00338")</f>
        <v>0.00338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HYPERLINK("http://141.218.60.56/~jnz1568/getInfo.php?workbook=18_08.xlsx&amp;sheet=U0&amp;row=3929&amp;col=6&amp;number=3.5&amp;sourceID=14","3.5")</f>
        <v>3.5</v>
      </c>
      <c r="G3929" s="4" t="str">
        <f>HYPERLINK("http://141.218.60.56/~jnz1568/getInfo.php?workbook=18_08.xlsx&amp;sheet=U0&amp;row=3929&amp;col=7&amp;number=0.00338&amp;sourceID=14","0.00338")</f>
        <v>0.00338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HYPERLINK("http://141.218.60.56/~jnz1568/getInfo.php?workbook=18_08.xlsx&amp;sheet=U0&amp;row=3930&amp;col=6&amp;number=3.6&amp;sourceID=14","3.6")</f>
        <v>3.6</v>
      </c>
      <c r="G3930" s="4" t="str">
        <f>HYPERLINK("http://141.218.60.56/~jnz1568/getInfo.php?workbook=18_08.xlsx&amp;sheet=U0&amp;row=3930&amp;col=7&amp;number=0.00338&amp;sourceID=14","0.00338")</f>
        <v>0.00338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HYPERLINK("http://141.218.60.56/~jnz1568/getInfo.php?workbook=18_08.xlsx&amp;sheet=U0&amp;row=3931&amp;col=6&amp;number=3.7&amp;sourceID=14","3.7")</f>
        <v>3.7</v>
      </c>
      <c r="G3931" s="4" t="str">
        <f>HYPERLINK("http://141.218.60.56/~jnz1568/getInfo.php?workbook=18_08.xlsx&amp;sheet=U0&amp;row=3931&amp;col=7&amp;number=0.00338&amp;sourceID=14","0.00338")</f>
        <v>0.00338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HYPERLINK("http://141.218.60.56/~jnz1568/getInfo.php?workbook=18_08.xlsx&amp;sheet=U0&amp;row=3932&amp;col=6&amp;number=3.8&amp;sourceID=14","3.8")</f>
        <v>3.8</v>
      </c>
      <c r="G3932" s="4" t="str">
        <f>HYPERLINK("http://141.218.60.56/~jnz1568/getInfo.php?workbook=18_08.xlsx&amp;sheet=U0&amp;row=3932&amp;col=7&amp;number=0.00338&amp;sourceID=14","0.00338")</f>
        <v>0.00338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HYPERLINK("http://141.218.60.56/~jnz1568/getInfo.php?workbook=18_08.xlsx&amp;sheet=U0&amp;row=3933&amp;col=6&amp;number=3.9&amp;sourceID=14","3.9")</f>
        <v>3.9</v>
      </c>
      <c r="G3933" s="4" t="str">
        <f>HYPERLINK("http://141.218.60.56/~jnz1568/getInfo.php?workbook=18_08.xlsx&amp;sheet=U0&amp;row=3933&amp;col=7&amp;number=0.00338&amp;sourceID=14","0.00338")</f>
        <v>0.00338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HYPERLINK("http://141.218.60.56/~jnz1568/getInfo.php?workbook=18_08.xlsx&amp;sheet=U0&amp;row=3934&amp;col=6&amp;number=4&amp;sourceID=14","4")</f>
        <v>4</v>
      </c>
      <c r="G3934" s="4" t="str">
        <f>HYPERLINK("http://141.218.60.56/~jnz1568/getInfo.php?workbook=18_08.xlsx&amp;sheet=U0&amp;row=3934&amp;col=7&amp;number=0.00338&amp;sourceID=14","0.00338")</f>
        <v>0.00338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HYPERLINK("http://141.218.60.56/~jnz1568/getInfo.php?workbook=18_08.xlsx&amp;sheet=U0&amp;row=3935&amp;col=6&amp;number=4.1&amp;sourceID=14","4.1")</f>
        <v>4.1</v>
      </c>
      <c r="G3935" s="4" t="str">
        <f>HYPERLINK("http://141.218.60.56/~jnz1568/getInfo.php?workbook=18_08.xlsx&amp;sheet=U0&amp;row=3935&amp;col=7&amp;number=0.00338&amp;sourceID=14","0.00338")</f>
        <v>0.00338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HYPERLINK("http://141.218.60.56/~jnz1568/getInfo.php?workbook=18_08.xlsx&amp;sheet=U0&amp;row=3936&amp;col=6&amp;number=4.2&amp;sourceID=14","4.2")</f>
        <v>4.2</v>
      </c>
      <c r="G3936" s="4" t="str">
        <f>HYPERLINK("http://141.218.60.56/~jnz1568/getInfo.php?workbook=18_08.xlsx&amp;sheet=U0&amp;row=3936&amp;col=7&amp;number=0.00338&amp;sourceID=14","0.00338")</f>
        <v>0.00338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HYPERLINK("http://141.218.60.56/~jnz1568/getInfo.php?workbook=18_08.xlsx&amp;sheet=U0&amp;row=3937&amp;col=6&amp;number=4.3&amp;sourceID=14","4.3")</f>
        <v>4.3</v>
      </c>
      <c r="G3937" s="4" t="str">
        <f>HYPERLINK("http://141.218.60.56/~jnz1568/getInfo.php?workbook=18_08.xlsx&amp;sheet=U0&amp;row=3937&amp;col=7&amp;number=0.00338&amp;sourceID=14","0.00338")</f>
        <v>0.00338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HYPERLINK("http://141.218.60.56/~jnz1568/getInfo.php?workbook=18_08.xlsx&amp;sheet=U0&amp;row=3938&amp;col=6&amp;number=4.4&amp;sourceID=14","4.4")</f>
        <v>4.4</v>
      </c>
      <c r="G3938" s="4" t="str">
        <f>HYPERLINK("http://141.218.60.56/~jnz1568/getInfo.php?workbook=18_08.xlsx&amp;sheet=U0&amp;row=3938&amp;col=7&amp;number=0.00339&amp;sourceID=14","0.00339")</f>
        <v>0.00339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HYPERLINK("http://141.218.60.56/~jnz1568/getInfo.php?workbook=18_08.xlsx&amp;sheet=U0&amp;row=3939&amp;col=6&amp;number=4.5&amp;sourceID=14","4.5")</f>
        <v>4.5</v>
      </c>
      <c r="G3939" s="4" t="str">
        <f>HYPERLINK("http://141.218.60.56/~jnz1568/getInfo.php?workbook=18_08.xlsx&amp;sheet=U0&amp;row=3939&amp;col=7&amp;number=0.00339&amp;sourceID=14","0.00339")</f>
        <v>0.00339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HYPERLINK("http://141.218.60.56/~jnz1568/getInfo.php?workbook=18_08.xlsx&amp;sheet=U0&amp;row=3940&amp;col=6&amp;number=4.6&amp;sourceID=14","4.6")</f>
        <v>4.6</v>
      </c>
      <c r="G3940" s="4" t="str">
        <f>HYPERLINK("http://141.218.60.56/~jnz1568/getInfo.php?workbook=18_08.xlsx&amp;sheet=U0&amp;row=3940&amp;col=7&amp;number=0.00339&amp;sourceID=14","0.00339")</f>
        <v>0.00339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HYPERLINK("http://141.218.60.56/~jnz1568/getInfo.php?workbook=18_08.xlsx&amp;sheet=U0&amp;row=3941&amp;col=6&amp;number=4.7&amp;sourceID=14","4.7")</f>
        <v>4.7</v>
      </c>
      <c r="G3941" s="4" t="str">
        <f>HYPERLINK("http://141.218.60.56/~jnz1568/getInfo.php?workbook=18_08.xlsx&amp;sheet=U0&amp;row=3941&amp;col=7&amp;number=0.00339&amp;sourceID=14","0.00339")</f>
        <v>0.00339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HYPERLINK("http://141.218.60.56/~jnz1568/getInfo.php?workbook=18_08.xlsx&amp;sheet=U0&amp;row=3942&amp;col=6&amp;number=4.8&amp;sourceID=14","4.8")</f>
        <v>4.8</v>
      </c>
      <c r="G3942" s="4" t="str">
        <f>HYPERLINK("http://141.218.60.56/~jnz1568/getInfo.php?workbook=18_08.xlsx&amp;sheet=U0&amp;row=3942&amp;col=7&amp;number=0.00339&amp;sourceID=14","0.00339")</f>
        <v>0.00339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HYPERLINK("http://141.218.60.56/~jnz1568/getInfo.php?workbook=18_08.xlsx&amp;sheet=U0&amp;row=3943&amp;col=6&amp;number=4.9&amp;sourceID=14","4.9")</f>
        <v>4.9</v>
      </c>
      <c r="G3943" s="4" t="str">
        <f>HYPERLINK("http://141.218.60.56/~jnz1568/getInfo.php?workbook=18_08.xlsx&amp;sheet=U0&amp;row=3943&amp;col=7&amp;number=0.0034&amp;sourceID=14","0.0034")</f>
        <v>0.0034</v>
      </c>
    </row>
    <row r="3944" spans="1:7">
      <c r="A3944" s="3">
        <v>18</v>
      </c>
      <c r="B3944" s="3">
        <v>8</v>
      </c>
      <c r="C3944" s="3" t="s">
        <v>64</v>
      </c>
      <c r="D3944" s="3">
        <v>2</v>
      </c>
      <c r="E3944" s="3">
        <v>1</v>
      </c>
      <c r="F3944" s="4" t="str">
        <f>HYPERLINK("http://141.218.60.56/~jnz1568/getInfo.php?workbook=18_08.xlsx&amp;sheet=U0&amp;row=3944&amp;col=6&amp;number=3&amp;sourceID=14","3")</f>
        <v>3</v>
      </c>
      <c r="G3944" s="4" t="str">
        <f>HYPERLINK("http://141.218.60.56/~jnz1568/getInfo.php?workbook=18_08.xlsx&amp;sheet=U0&amp;row=3944&amp;col=7&amp;number=0.00241&amp;sourceID=14","0.00241")</f>
        <v>0.00241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HYPERLINK("http://141.218.60.56/~jnz1568/getInfo.php?workbook=18_08.xlsx&amp;sheet=U0&amp;row=3945&amp;col=6&amp;number=3.1&amp;sourceID=14","3.1")</f>
        <v>3.1</v>
      </c>
      <c r="G3945" s="4" t="str">
        <f>HYPERLINK("http://141.218.60.56/~jnz1568/getInfo.php?workbook=18_08.xlsx&amp;sheet=U0&amp;row=3945&amp;col=7&amp;number=0.00241&amp;sourceID=14","0.00241")</f>
        <v>0.00241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HYPERLINK("http://141.218.60.56/~jnz1568/getInfo.php?workbook=18_08.xlsx&amp;sheet=U0&amp;row=3946&amp;col=6&amp;number=3.2&amp;sourceID=14","3.2")</f>
        <v>3.2</v>
      </c>
      <c r="G3946" s="4" t="str">
        <f>HYPERLINK("http://141.218.60.56/~jnz1568/getInfo.php?workbook=18_08.xlsx&amp;sheet=U0&amp;row=3946&amp;col=7&amp;number=0.00241&amp;sourceID=14","0.00241")</f>
        <v>0.00241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HYPERLINK("http://141.218.60.56/~jnz1568/getInfo.php?workbook=18_08.xlsx&amp;sheet=U0&amp;row=3947&amp;col=6&amp;number=3.3&amp;sourceID=14","3.3")</f>
        <v>3.3</v>
      </c>
      <c r="G3947" s="4" t="str">
        <f>HYPERLINK("http://141.218.60.56/~jnz1568/getInfo.php?workbook=18_08.xlsx&amp;sheet=U0&amp;row=3947&amp;col=7&amp;number=0.00241&amp;sourceID=14","0.00241")</f>
        <v>0.00241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HYPERLINK("http://141.218.60.56/~jnz1568/getInfo.php?workbook=18_08.xlsx&amp;sheet=U0&amp;row=3948&amp;col=6&amp;number=3.4&amp;sourceID=14","3.4")</f>
        <v>3.4</v>
      </c>
      <c r="G3948" s="4" t="str">
        <f>HYPERLINK("http://141.218.60.56/~jnz1568/getInfo.php?workbook=18_08.xlsx&amp;sheet=U0&amp;row=3948&amp;col=7&amp;number=0.00241&amp;sourceID=14","0.00241")</f>
        <v>0.00241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HYPERLINK("http://141.218.60.56/~jnz1568/getInfo.php?workbook=18_08.xlsx&amp;sheet=U0&amp;row=3949&amp;col=6&amp;number=3.5&amp;sourceID=14","3.5")</f>
        <v>3.5</v>
      </c>
      <c r="G3949" s="4" t="str">
        <f>HYPERLINK("http://141.218.60.56/~jnz1568/getInfo.php?workbook=18_08.xlsx&amp;sheet=U0&amp;row=3949&amp;col=7&amp;number=0.00241&amp;sourceID=14","0.00241")</f>
        <v>0.00241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HYPERLINK("http://141.218.60.56/~jnz1568/getInfo.php?workbook=18_08.xlsx&amp;sheet=U0&amp;row=3950&amp;col=6&amp;number=3.6&amp;sourceID=14","3.6")</f>
        <v>3.6</v>
      </c>
      <c r="G3950" s="4" t="str">
        <f>HYPERLINK("http://141.218.60.56/~jnz1568/getInfo.php?workbook=18_08.xlsx&amp;sheet=U0&amp;row=3950&amp;col=7&amp;number=0.00241&amp;sourceID=14","0.00241")</f>
        <v>0.00241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HYPERLINK("http://141.218.60.56/~jnz1568/getInfo.php?workbook=18_08.xlsx&amp;sheet=U0&amp;row=3951&amp;col=6&amp;number=3.7&amp;sourceID=14","3.7")</f>
        <v>3.7</v>
      </c>
      <c r="G3951" s="4" t="str">
        <f>HYPERLINK("http://141.218.60.56/~jnz1568/getInfo.php?workbook=18_08.xlsx&amp;sheet=U0&amp;row=3951&amp;col=7&amp;number=0.0024&amp;sourceID=14","0.0024")</f>
        <v>0.0024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HYPERLINK("http://141.218.60.56/~jnz1568/getInfo.php?workbook=18_08.xlsx&amp;sheet=U0&amp;row=3952&amp;col=6&amp;number=3.8&amp;sourceID=14","3.8")</f>
        <v>3.8</v>
      </c>
      <c r="G3952" s="4" t="str">
        <f>HYPERLINK("http://141.218.60.56/~jnz1568/getInfo.php?workbook=18_08.xlsx&amp;sheet=U0&amp;row=3952&amp;col=7&amp;number=0.0024&amp;sourceID=14","0.0024")</f>
        <v>0.0024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HYPERLINK("http://141.218.60.56/~jnz1568/getInfo.php?workbook=18_08.xlsx&amp;sheet=U0&amp;row=3953&amp;col=6&amp;number=3.9&amp;sourceID=14","3.9")</f>
        <v>3.9</v>
      </c>
      <c r="G3953" s="4" t="str">
        <f>HYPERLINK("http://141.218.60.56/~jnz1568/getInfo.php?workbook=18_08.xlsx&amp;sheet=U0&amp;row=3953&amp;col=7&amp;number=0.0024&amp;sourceID=14","0.0024")</f>
        <v>0.0024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HYPERLINK("http://141.218.60.56/~jnz1568/getInfo.php?workbook=18_08.xlsx&amp;sheet=U0&amp;row=3954&amp;col=6&amp;number=4&amp;sourceID=14","4")</f>
        <v>4</v>
      </c>
      <c r="G3954" s="4" t="str">
        <f>HYPERLINK("http://141.218.60.56/~jnz1568/getInfo.php?workbook=18_08.xlsx&amp;sheet=U0&amp;row=3954&amp;col=7&amp;number=0.0024&amp;sourceID=14","0.0024")</f>
        <v>0.0024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HYPERLINK("http://141.218.60.56/~jnz1568/getInfo.php?workbook=18_08.xlsx&amp;sheet=U0&amp;row=3955&amp;col=6&amp;number=4.1&amp;sourceID=14","4.1")</f>
        <v>4.1</v>
      </c>
      <c r="G3955" s="4" t="str">
        <f>HYPERLINK("http://141.218.60.56/~jnz1568/getInfo.php?workbook=18_08.xlsx&amp;sheet=U0&amp;row=3955&amp;col=7&amp;number=0.0024&amp;sourceID=14","0.0024")</f>
        <v>0.0024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HYPERLINK("http://141.218.60.56/~jnz1568/getInfo.php?workbook=18_08.xlsx&amp;sheet=U0&amp;row=3956&amp;col=6&amp;number=4.2&amp;sourceID=14","4.2")</f>
        <v>4.2</v>
      </c>
      <c r="G3956" s="4" t="str">
        <f>HYPERLINK("http://141.218.60.56/~jnz1568/getInfo.php?workbook=18_08.xlsx&amp;sheet=U0&amp;row=3956&amp;col=7&amp;number=0.0024&amp;sourceID=14","0.0024")</f>
        <v>0.0024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HYPERLINK("http://141.218.60.56/~jnz1568/getInfo.php?workbook=18_08.xlsx&amp;sheet=U0&amp;row=3957&amp;col=6&amp;number=4.3&amp;sourceID=14","4.3")</f>
        <v>4.3</v>
      </c>
      <c r="G3957" s="4" t="str">
        <f>HYPERLINK("http://141.218.60.56/~jnz1568/getInfo.php?workbook=18_08.xlsx&amp;sheet=U0&amp;row=3957&amp;col=7&amp;number=0.0024&amp;sourceID=14","0.0024")</f>
        <v>0.0024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HYPERLINK("http://141.218.60.56/~jnz1568/getInfo.php?workbook=18_08.xlsx&amp;sheet=U0&amp;row=3958&amp;col=6&amp;number=4.4&amp;sourceID=14","4.4")</f>
        <v>4.4</v>
      </c>
      <c r="G3958" s="4" t="str">
        <f>HYPERLINK("http://141.218.60.56/~jnz1568/getInfo.php?workbook=18_08.xlsx&amp;sheet=U0&amp;row=3958&amp;col=7&amp;number=0.0024&amp;sourceID=14","0.0024")</f>
        <v>0.0024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HYPERLINK("http://141.218.60.56/~jnz1568/getInfo.php?workbook=18_08.xlsx&amp;sheet=U0&amp;row=3959&amp;col=6&amp;number=4.5&amp;sourceID=14","4.5")</f>
        <v>4.5</v>
      </c>
      <c r="G3959" s="4" t="str">
        <f>HYPERLINK("http://141.218.60.56/~jnz1568/getInfo.php?workbook=18_08.xlsx&amp;sheet=U0&amp;row=3959&amp;col=7&amp;number=0.00239&amp;sourceID=14","0.00239")</f>
        <v>0.00239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HYPERLINK("http://141.218.60.56/~jnz1568/getInfo.php?workbook=18_08.xlsx&amp;sheet=U0&amp;row=3960&amp;col=6&amp;number=4.6&amp;sourceID=14","4.6")</f>
        <v>4.6</v>
      </c>
      <c r="G3960" s="4" t="str">
        <f>HYPERLINK("http://141.218.60.56/~jnz1568/getInfo.php?workbook=18_08.xlsx&amp;sheet=U0&amp;row=3960&amp;col=7&amp;number=0.00239&amp;sourceID=14","0.00239")</f>
        <v>0.00239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HYPERLINK("http://141.218.60.56/~jnz1568/getInfo.php?workbook=18_08.xlsx&amp;sheet=U0&amp;row=3961&amp;col=6&amp;number=4.7&amp;sourceID=14","4.7")</f>
        <v>4.7</v>
      </c>
      <c r="G3961" s="4" t="str">
        <f>HYPERLINK("http://141.218.60.56/~jnz1568/getInfo.php?workbook=18_08.xlsx&amp;sheet=U0&amp;row=3961&amp;col=7&amp;number=0.00238&amp;sourceID=14","0.00238")</f>
        <v>0.00238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HYPERLINK("http://141.218.60.56/~jnz1568/getInfo.php?workbook=18_08.xlsx&amp;sheet=U0&amp;row=3962&amp;col=6&amp;number=4.8&amp;sourceID=14","4.8")</f>
        <v>4.8</v>
      </c>
      <c r="G3962" s="4" t="str">
        <f>HYPERLINK("http://141.218.60.56/~jnz1568/getInfo.php?workbook=18_08.xlsx&amp;sheet=U0&amp;row=3962&amp;col=7&amp;number=0.00238&amp;sourceID=14","0.00238")</f>
        <v>0.00238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HYPERLINK("http://141.218.60.56/~jnz1568/getInfo.php?workbook=18_08.xlsx&amp;sheet=U0&amp;row=3963&amp;col=6&amp;number=4.9&amp;sourceID=14","4.9")</f>
        <v>4.9</v>
      </c>
      <c r="G3963" s="4" t="str">
        <f>HYPERLINK("http://141.218.60.56/~jnz1568/getInfo.php?workbook=18_08.xlsx&amp;sheet=U0&amp;row=3963&amp;col=7&amp;number=0.00237&amp;sourceID=14","0.00237")</f>
        <v>0.00237</v>
      </c>
    </row>
    <row r="3964" spans="1:7">
      <c r="A3964" s="3">
        <v>18</v>
      </c>
      <c r="B3964" s="3">
        <v>8</v>
      </c>
      <c r="C3964" s="3" t="s">
        <v>64</v>
      </c>
      <c r="D3964" s="3">
        <v>3</v>
      </c>
      <c r="E3964" s="3">
        <v>1</v>
      </c>
      <c r="F3964" s="4" t="str">
        <f>HYPERLINK("http://141.218.60.56/~jnz1568/getInfo.php?workbook=18_08.xlsx&amp;sheet=U0&amp;row=3964&amp;col=6&amp;number=3&amp;sourceID=14","3")</f>
        <v>3</v>
      </c>
      <c r="G3964" s="4" t="str">
        <f>HYPERLINK("http://141.218.60.56/~jnz1568/getInfo.php?workbook=18_08.xlsx&amp;sheet=U0&amp;row=3964&amp;col=7&amp;number=5.49e-06&amp;sourceID=14","5.49e-06")</f>
        <v>5.49e-06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HYPERLINK("http://141.218.60.56/~jnz1568/getInfo.php?workbook=18_08.xlsx&amp;sheet=U0&amp;row=3965&amp;col=6&amp;number=3.1&amp;sourceID=14","3.1")</f>
        <v>3.1</v>
      </c>
      <c r="G3965" s="4" t="str">
        <f>HYPERLINK("http://141.218.60.56/~jnz1568/getInfo.php?workbook=18_08.xlsx&amp;sheet=U0&amp;row=3965&amp;col=7&amp;number=5.49e-06&amp;sourceID=14","5.49e-06")</f>
        <v>5.49e-06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HYPERLINK("http://141.218.60.56/~jnz1568/getInfo.php?workbook=18_08.xlsx&amp;sheet=U0&amp;row=3966&amp;col=6&amp;number=3.2&amp;sourceID=14","3.2")</f>
        <v>3.2</v>
      </c>
      <c r="G3966" s="4" t="str">
        <f>HYPERLINK("http://141.218.60.56/~jnz1568/getInfo.php?workbook=18_08.xlsx&amp;sheet=U0&amp;row=3966&amp;col=7&amp;number=5.49e-06&amp;sourceID=14","5.49e-06")</f>
        <v>5.49e-06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HYPERLINK("http://141.218.60.56/~jnz1568/getInfo.php?workbook=18_08.xlsx&amp;sheet=U0&amp;row=3967&amp;col=6&amp;number=3.3&amp;sourceID=14","3.3")</f>
        <v>3.3</v>
      </c>
      <c r="G3967" s="4" t="str">
        <f>HYPERLINK("http://141.218.60.56/~jnz1568/getInfo.php?workbook=18_08.xlsx&amp;sheet=U0&amp;row=3967&amp;col=7&amp;number=5.49e-06&amp;sourceID=14","5.49e-06")</f>
        <v>5.49e-06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HYPERLINK("http://141.218.60.56/~jnz1568/getInfo.php?workbook=18_08.xlsx&amp;sheet=U0&amp;row=3968&amp;col=6&amp;number=3.4&amp;sourceID=14","3.4")</f>
        <v>3.4</v>
      </c>
      <c r="G3968" s="4" t="str">
        <f>HYPERLINK("http://141.218.60.56/~jnz1568/getInfo.php?workbook=18_08.xlsx&amp;sheet=U0&amp;row=3968&amp;col=7&amp;number=5.49e-06&amp;sourceID=14","5.49e-06")</f>
        <v>5.49e-06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HYPERLINK("http://141.218.60.56/~jnz1568/getInfo.php?workbook=18_08.xlsx&amp;sheet=U0&amp;row=3969&amp;col=6&amp;number=3.5&amp;sourceID=14","3.5")</f>
        <v>3.5</v>
      </c>
      <c r="G3969" s="4" t="str">
        <f>HYPERLINK("http://141.218.60.56/~jnz1568/getInfo.php?workbook=18_08.xlsx&amp;sheet=U0&amp;row=3969&amp;col=7&amp;number=5.49e-06&amp;sourceID=14","5.49e-06")</f>
        <v>5.49e-06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HYPERLINK("http://141.218.60.56/~jnz1568/getInfo.php?workbook=18_08.xlsx&amp;sheet=U0&amp;row=3970&amp;col=6&amp;number=3.6&amp;sourceID=14","3.6")</f>
        <v>3.6</v>
      </c>
      <c r="G3970" s="4" t="str">
        <f>HYPERLINK("http://141.218.60.56/~jnz1568/getInfo.php?workbook=18_08.xlsx&amp;sheet=U0&amp;row=3970&amp;col=7&amp;number=5.49e-06&amp;sourceID=14","5.49e-06")</f>
        <v>5.49e-06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HYPERLINK("http://141.218.60.56/~jnz1568/getInfo.php?workbook=18_08.xlsx&amp;sheet=U0&amp;row=3971&amp;col=6&amp;number=3.7&amp;sourceID=14","3.7")</f>
        <v>3.7</v>
      </c>
      <c r="G3971" s="4" t="str">
        <f>HYPERLINK("http://141.218.60.56/~jnz1568/getInfo.php?workbook=18_08.xlsx&amp;sheet=U0&amp;row=3971&amp;col=7&amp;number=5.49e-06&amp;sourceID=14","5.49e-06")</f>
        <v>5.49e-06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HYPERLINK("http://141.218.60.56/~jnz1568/getInfo.php?workbook=18_08.xlsx&amp;sheet=U0&amp;row=3972&amp;col=6&amp;number=3.8&amp;sourceID=14","3.8")</f>
        <v>3.8</v>
      </c>
      <c r="G3972" s="4" t="str">
        <f>HYPERLINK("http://141.218.60.56/~jnz1568/getInfo.php?workbook=18_08.xlsx&amp;sheet=U0&amp;row=3972&amp;col=7&amp;number=5.49e-06&amp;sourceID=14","5.49e-06")</f>
        <v>5.49e-06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HYPERLINK("http://141.218.60.56/~jnz1568/getInfo.php?workbook=18_08.xlsx&amp;sheet=U0&amp;row=3973&amp;col=6&amp;number=3.9&amp;sourceID=14","3.9")</f>
        <v>3.9</v>
      </c>
      <c r="G3973" s="4" t="str">
        <f>HYPERLINK("http://141.218.60.56/~jnz1568/getInfo.php?workbook=18_08.xlsx&amp;sheet=U0&amp;row=3973&amp;col=7&amp;number=5.48e-06&amp;sourceID=14","5.48e-06")</f>
        <v>5.48e-06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HYPERLINK("http://141.218.60.56/~jnz1568/getInfo.php?workbook=18_08.xlsx&amp;sheet=U0&amp;row=3974&amp;col=6&amp;number=4&amp;sourceID=14","4")</f>
        <v>4</v>
      </c>
      <c r="G3974" s="4" t="str">
        <f>HYPERLINK("http://141.218.60.56/~jnz1568/getInfo.php?workbook=18_08.xlsx&amp;sheet=U0&amp;row=3974&amp;col=7&amp;number=5.48e-06&amp;sourceID=14","5.48e-06")</f>
        <v>5.48e-06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HYPERLINK("http://141.218.60.56/~jnz1568/getInfo.php?workbook=18_08.xlsx&amp;sheet=U0&amp;row=3975&amp;col=6&amp;number=4.1&amp;sourceID=14","4.1")</f>
        <v>4.1</v>
      </c>
      <c r="G3975" s="4" t="str">
        <f>HYPERLINK("http://141.218.60.56/~jnz1568/getInfo.php?workbook=18_08.xlsx&amp;sheet=U0&amp;row=3975&amp;col=7&amp;number=5.48e-06&amp;sourceID=14","5.48e-06")</f>
        <v>5.48e-06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HYPERLINK("http://141.218.60.56/~jnz1568/getInfo.php?workbook=18_08.xlsx&amp;sheet=U0&amp;row=3976&amp;col=6&amp;number=4.2&amp;sourceID=14","4.2")</f>
        <v>4.2</v>
      </c>
      <c r="G3976" s="4" t="str">
        <f>HYPERLINK("http://141.218.60.56/~jnz1568/getInfo.php?workbook=18_08.xlsx&amp;sheet=U0&amp;row=3976&amp;col=7&amp;number=5.47e-06&amp;sourceID=14","5.47e-06")</f>
        <v>5.47e-06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HYPERLINK("http://141.218.60.56/~jnz1568/getInfo.php?workbook=18_08.xlsx&amp;sheet=U0&amp;row=3977&amp;col=6&amp;number=4.3&amp;sourceID=14","4.3")</f>
        <v>4.3</v>
      </c>
      <c r="G3977" s="4" t="str">
        <f>HYPERLINK("http://141.218.60.56/~jnz1568/getInfo.php?workbook=18_08.xlsx&amp;sheet=U0&amp;row=3977&amp;col=7&amp;number=5.47e-06&amp;sourceID=14","5.47e-06")</f>
        <v>5.47e-06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HYPERLINK("http://141.218.60.56/~jnz1568/getInfo.php?workbook=18_08.xlsx&amp;sheet=U0&amp;row=3978&amp;col=6&amp;number=4.4&amp;sourceID=14","4.4")</f>
        <v>4.4</v>
      </c>
      <c r="G3978" s="4" t="str">
        <f>HYPERLINK("http://141.218.60.56/~jnz1568/getInfo.php?workbook=18_08.xlsx&amp;sheet=U0&amp;row=3978&amp;col=7&amp;number=5.46e-06&amp;sourceID=14","5.46e-06")</f>
        <v>5.46e-06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HYPERLINK("http://141.218.60.56/~jnz1568/getInfo.php?workbook=18_08.xlsx&amp;sheet=U0&amp;row=3979&amp;col=6&amp;number=4.5&amp;sourceID=14","4.5")</f>
        <v>4.5</v>
      </c>
      <c r="G3979" s="4" t="str">
        <f>HYPERLINK("http://141.218.60.56/~jnz1568/getInfo.php?workbook=18_08.xlsx&amp;sheet=U0&amp;row=3979&amp;col=7&amp;number=5.45e-06&amp;sourceID=14","5.45e-06")</f>
        <v>5.45e-06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HYPERLINK("http://141.218.60.56/~jnz1568/getInfo.php?workbook=18_08.xlsx&amp;sheet=U0&amp;row=3980&amp;col=6&amp;number=4.6&amp;sourceID=14","4.6")</f>
        <v>4.6</v>
      </c>
      <c r="G3980" s="4" t="str">
        <f>HYPERLINK("http://141.218.60.56/~jnz1568/getInfo.php?workbook=18_08.xlsx&amp;sheet=U0&amp;row=3980&amp;col=7&amp;number=5.44e-06&amp;sourceID=14","5.44e-06")</f>
        <v>5.44e-06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HYPERLINK("http://141.218.60.56/~jnz1568/getInfo.php?workbook=18_08.xlsx&amp;sheet=U0&amp;row=3981&amp;col=6&amp;number=4.7&amp;sourceID=14","4.7")</f>
        <v>4.7</v>
      </c>
      <c r="G3981" s="4" t="str">
        <f>HYPERLINK("http://141.218.60.56/~jnz1568/getInfo.php?workbook=18_08.xlsx&amp;sheet=U0&amp;row=3981&amp;col=7&amp;number=5.43e-06&amp;sourceID=14","5.43e-06")</f>
        <v>5.43e-06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HYPERLINK("http://141.218.60.56/~jnz1568/getInfo.php?workbook=18_08.xlsx&amp;sheet=U0&amp;row=3982&amp;col=6&amp;number=4.8&amp;sourceID=14","4.8")</f>
        <v>4.8</v>
      </c>
      <c r="G3982" s="4" t="str">
        <f>HYPERLINK("http://141.218.60.56/~jnz1568/getInfo.php?workbook=18_08.xlsx&amp;sheet=U0&amp;row=3982&amp;col=7&amp;number=5.41e-06&amp;sourceID=14","5.41e-06")</f>
        <v>5.41e-06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HYPERLINK("http://141.218.60.56/~jnz1568/getInfo.php?workbook=18_08.xlsx&amp;sheet=U0&amp;row=3983&amp;col=6&amp;number=4.9&amp;sourceID=14","4.9")</f>
        <v>4.9</v>
      </c>
      <c r="G3983" s="4" t="str">
        <f>HYPERLINK("http://141.218.60.56/~jnz1568/getInfo.php?workbook=18_08.xlsx&amp;sheet=U0&amp;row=3983&amp;col=7&amp;number=5.39e-06&amp;sourceID=14","5.39e-06")</f>
        <v>5.39e-06</v>
      </c>
    </row>
    <row r="3984" spans="1:7">
      <c r="A3984" s="3">
        <v>18</v>
      </c>
      <c r="B3984" s="3">
        <v>8</v>
      </c>
      <c r="C3984" s="3" t="s">
        <v>64</v>
      </c>
      <c r="D3984" s="3">
        <v>4</v>
      </c>
      <c r="E3984" s="3">
        <v>1</v>
      </c>
      <c r="F3984" s="4" t="str">
        <f>HYPERLINK("http://141.218.60.56/~jnz1568/getInfo.php?workbook=18_08.xlsx&amp;sheet=U0&amp;row=3984&amp;col=6&amp;number=3&amp;sourceID=14","3")</f>
        <v>3</v>
      </c>
      <c r="G3984" s="4" t="str">
        <f>HYPERLINK("http://141.218.60.56/~jnz1568/getInfo.php?workbook=18_08.xlsx&amp;sheet=U0&amp;row=3984&amp;col=7&amp;number=0.00194&amp;sourceID=14","0.00194")</f>
        <v>0.00194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HYPERLINK("http://141.218.60.56/~jnz1568/getInfo.php?workbook=18_08.xlsx&amp;sheet=U0&amp;row=3985&amp;col=6&amp;number=3.1&amp;sourceID=14","3.1")</f>
        <v>3.1</v>
      </c>
      <c r="G3985" s="4" t="str">
        <f>HYPERLINK("http://141.218.60.56/~jnz1568/getInfo.php?workbook=18_08.xlsx&amp;sheet=U0&amp;row=3985&amp;col=7&amp;number=0.00194&amp;sourceID=14","0.00194")</f>
        <v>0.00194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HYPERLINK("http://141.218.60.56/~jnz1568/getInfo.php?workbook=18_08.xlsx&amp;sheet=U0&amp;row=3986&amp;col=6&amp;number=3.2&amp;sourceID=14","3.2")</f>
        <v>3.2</v>
      </c>
      <c r="G3986" s="4" t="str">
        <f>HYPERLINK("http://141.218.60.56/~jnz1568/getInfo.php?workbook=18_08.xlsx&amp;sheet=U0&amp;row=3986&amp;col=7&amp;number=0.00194&amp;sourceID=14","0.00194")</f>
        <v>0.00194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HYPERLINK("http://141.218.60.56/~jnz1568/getInfo.php?workbook=18_08.xlsx&amp;sheet=U0&amp;row=3987&amp;col=6&amp;number=3.3&amp;sourceID=14","3.3")</f>
        <v>3.3</v>
      </c>
      <c r="G3987" s="4" t="str">
        <f>HYPERLINK("http://141.218.60.56/~jnz1568/getInfo.php?workbook=18_08.xlsx&amp;sheet=U0&amp;row=3987&amp;col=7&amp;number=0.00194&amp;sourceID=14","0.00194")</f>
        <v>0.00194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HYPERLINK("http://141.218.60.56/~jnz1568/getInfo.php?workbook=18_08.xlsx&amp;sheet=U0&amp;row=3988&amp;col=6&amp;number=3.4&amp;sourceID=14","3.4")</f>
        <v>3.4</v>
      </c>
      <c r="G3988" s="4" t="str">
        <f>HYPERLINK("http://141.218.60.56/~jnz1568/getInfo.php?workbook=18_08.xlsx&amp;sheet=U0&amp;row=3988&amp;col=7&amp;number=0.00194&amp;sourceID=14","0.00194")</f>
        <v>0.00194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HYPERLINK("http://141.218.60.56/~jnz1568/getInfo.php?workbook=18_08.xlsx&amp;sheet=U0&amp;row=3989&amp;col=6&amp;number=3.5&amp;sourceID=14","3.5")</f>
        <v>3.5</v>
      </c>
      <c r="G3989" s="4" t="str">
        <f>HYPERLINK("http://141.218.60.56/~jnz1568/getInfo.php?workbook=18_08.xlsx&amp;sheet=U0&amp;row=3989&amp;col=7&amp;number=0.00194&amp;sourceID=14","0.00194")</f>
        <v>0.00194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HYPERLINK("http://141.218.60.56/~jnz1568/getInfo.php?workbook=18_08.xlsx&amp;sheet=U0&amp;row=3990&amp;col=6&amp;number=3.6&amp;sourceID=14","3.6")</f>
        <v>3.6</v>
      </c>
      <c r="G3990" s="4" t="str">
        <f>HYPERLINK("http://141.218.60.56/~jnz1568/getInfo.php?workbook=18_08.xlsx&amp;sheet=U0&amp;row=3990&amp;col=7&amp;number=0.00194&amp;sourceID=14","0.00194")</f>
        <v>0.00194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HYPERLINK("http://141.218.60.56/~jnz1568/getInfo.php?workbook=18_08.xlsx&amp;sheet=U0&amp;row=3991&amp;col=6&amp;number=3.7&amp;sourceID=14","3.7")</f>
        <v>3.7</v>
      </c>
      <c r="G3991" s="4" t="str">
        <f>HYPERLINK("http://141.218.60.56/~jnz1568/getInfo.php?workbook=18_08.xlsx&amp;sheet=U0&amp;row=3991&amp;col=7&amp;number=0.00194&amp;sourceID=14","0.00194")</f>
        <v>0.00194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HYPERLINK("http://141.218.60.56/~jnz1568/getInfo.php?workbook=18_08.xlsx&amp;sheet=U0&amp;row=3992&amp;col=6&amp;number=3.8&amp;sourceID=14","3.8")</f>
        <v>3.8</v>
      </c>
      <c r="G3992" s="4" t="str">
        <f>HYPERLINK("http://141.218.60.56/~jnz1568/getInfo.php?workbook=18_08.xlsx&amp;sheet=U0&amp;row=3992&amp;col=7&amp;number=0.00194&amp;sourceID=14","0.00194")</f>
        <v>0.00194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HYPERLINK("http://141.218.60.56/~jnz1568/getInfo.php?workbook=18_08.xlsx&amp;sheet=U0&amp;row=3993&amp;col=6&amp;number=3.9&amp;sourceID=14","3.9")</f>
        <v>3.9</v>
      </c>
      <c r="G3993" s="4" t="str">
        <f>HYPERLINK("http://141.218.60.56/~jnz1568/getInfo.php?workbook=18_08.xlsx&amp;sheet=U0&amp;row=3993&amp;col=7&amp;number=0.00194&amp;sourceID=14","0.00194")</f>
        <v>0.00194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HYPERLINK("http://141.218.60.56/~jnz1568/getInfo.php?workbook=18_08.xlsx&amp;sheet=U0&amp;row=3994&amp;col=6&amp;number=4&amp;sourceID=14","4")</f>
        <v>4</v>
      </c>
      <c r="G3994" s="4" t="str">
        <f>HYPERLINK("http://141.218.60.56/~jnz1568/getInfo.php?workbook=18_08.xlsx&amp;sheet=U0&amp;row=3994&amp;col=7&amp;number=0.00194&amp;sourceID=14","0.00194")</f>
        <v>0.00194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HYPERLINK("http://141.218.60.56/~jnz1568/getInfo.php?workbook=18_08.xlsx&amp;sheet=U0&amp;row=3995&amp;col=6&amp;number=4.1&amp;sourceID=14","4.1")</f>
        <v>4.1</v>
      </c>
      <c r="G3995" s="4" t="str">
        <f>HYPERLINK("http://141.218.60.56/~jnz1568/getInfo.php?workbook=18_08.xlsx&amp;sheet=U0&amp;row=3995&amp;col=7&amp;number=0.00193&amp;sourceID=14","0.00193")</f>
        <v>0.00193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HYPERLINK("http://141.218.60.56/~jnz1568/getInfo.php?workbook=18_08.xlsx&amp;sheet=U0&amp;row=3996&amp;col=6&amp;number=4.2&amp;sourceID=14","4.2")</f>
        <v>4.2</v>
      </c>
      <c r="G3996" s="4" t="str">
        <f>HYPERLINK("http://141.218.60.56/~jnz1568/getInfo.php?workbook=18_08.xlsx&amp;sheet=U0&amp;row=3996&amp;col=7&amp;number=0.00193&amp;sourceID=14","0.00193")</f>
        <v>0.00193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HYPERLINK("http://141.218.60.56/~jnz1568/getInfo.php?workbook=18_08.xlsx&amp;sheet=U0&amp;row=3997&amp;col=6&amp;number=4.3&amp;sourceID=14","4.3")</f>
        <v>4.3</v>
      </c>
      <c r="G3997" s="4" t="str">
        <f>HYPERLINK("http://141.218.60.56/~jnz1568/getInfo.php?workbook=18_08.xlsx&amp;sheet=U0&amp;row=3997&amp;col=7&amp;number=0.00193&amp;sourceID=14","0.00193")</f>
        <v>0.00193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HYPERLINK("http://141.218.60.56/~jnz1568/getInfo.php?workbook=18_08.xlsx&amp;sheet=U0&amp;row=3998&amp;col=6&amp;number=4.4&amp;sourceID=14","4.4")</f>
        <v>4.4</v>
      </c>
      <c r="G3998" s="4" t="str">
        <f>HYPERLINK("http://141.218.60.56/~jnz1568/getInfo.php?workbook=18_08.xlsx&amp;sheet=U0&amp;row=3998&amp;col=7&amp;number=0.00193&amp;sourceID=14","0.00193")</f>
        <v>0.00193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HYPERLINK("http://141.218.60.56/~jnz1568/getInfo.php?workbook=18_08.xlsx&amp;sheet=U0&amp;row=3999&amp;col=6&amp;number=4.5&amp;sourceID=14","4.5")</f>
        <v>4.5</v>
      </c>
      <c r="G3999" s="4" t="str">
        <f>HYPERLINK("http://141.218.60.56/~jnz1568/getInfo.php?workbook=18_08.xlsx&amp;sheet=U0&amp;row=3999&amp;col=7&amp;number=0.00193&amp;sourceID=14","0.00193")</f>
        <v>0.00193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HYPERLINK("http://141.218.60.56/~jnz1568/getInfo.php?workbook=18_08.xlsx&amp;sheet=U0&amp;row=4000&amp;col=6&amp;number=4.6&amp;sourceID=14","4.6")</f>
        <v>4.6</v>
      </c>
      <c r="G4000" s="4" t="str">
        <f>HYPERLINK("http://141.218.60.56/~jnz1568/getInfo.php?workbook=18_08.xlsx&amp;sheet=U0&amp;row=4000&amp;col=7&amp;number=0.00192&amp;sourceID=14","0.00192")</f>
        <v>0.00192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HYPERLINK("http://141.218.60.56/~jnz1568/getInfo.php?workbook=18_08.xlsx&amp;sheet=U0&amp;row=4001&amp;col=6&amp;number=4.7&amp;sourceID=14","4.7")</f>
        <v>4.7</v>
      </c>
      <c r="G4001" s="4" t="str">
        <f>HYPERLINK("http://141.218.60.56/~jnz1568/getInfo.php?workbook=18_08.xlsx&amp;sheet=U0&amp;row=4001&amp;col=7&amp;number=0.00192&amp;sourceID=14","0.00192")</f>
        <v>0.00192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HYPERLINK("http://141.218.60.56/~jnz1568/getInfo.php?workbook=18_08.xlsx&amp;sheet=U0&amp;row=4002&amp;col=6&amp;number=4.8&amp;sourceID=14","4.8")</f>
        <v>4.8</v>
      </c>
      <c r="G4002" s="4" t="str">
        <f>HYPERLINK("http://141.218.60.56/~jnz1568/getInfo.php?workbook=18_08.xlsx&amp;sheet=U0&amp;row=4002&amp;col=7&amp;number=0.00191&amp;sourceID=14","0.00191")</f>
        <v>0.00191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HYPERLINK("http://141.218.60.56/~jnz1568/getInfo.php?workbook=18_08.xlsx&amp;sheet=U0&amp;row=4003&amp;col=6&amp;number=4.9&amp;sourceID=14","4.9")</f>
        <v>4.9</v>
      </c>
      <c r="G4003" s="4" t="str">
        <f>HYPERLINK("http://141.218.60.56/~jnz1568/getInfo.php?workbook=18_08.xlsx&amp;sheet=U0&amp;row=4003&amp;col=7&amp;number=0.0019&amp;sourceID=14","0.0019")</f>
        <v>0.0019</v>
      </c>
    </row>
    <row r="4004" spans="1:7">
      <c r="A4004" s="3">
        <v>18</v>
      </c>
      <c r="B4004" s="3">
        <v>8</v>
      </c>
      <c r="C4004" s="3" t="s">
        <v>64</v>
      </c>
      <c r="D4004" s="3">
        <v>5</v>
      </c>
      <c r="E4004" s="3">
        <v>1</v>
      </c>
      <c r="F4004" s="4" t="str">
        <f>HYPERLINK("http://141.218.60.56/~jnz1568/getInfo.php?workbook=18_08.xlsx&amp;sheet=U0&amp;row=4004&amp;col=6&amp;number=3&amp;sourceID=14","3")</f>
        <v>3</v>
      </c>
      <c r="G4004" s="4" t="str">
        <f>HYPERLINK("http://141.218.60.56/~jnz1568/getInfo.php?workbook=18_08.xlsx&amp;sheet=U0&amp;row=4004&amp;col=7&amp;number=0.0208&amp;sourceID=14","0.0208")</f>
        <v>0.0208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HYPERLINK("http://141.218.60.56/~jnz1568/getInfo.php?workbook=18_08.xlsx&amp;sheet=U0&amp;row=4005&amp;col=6&amp;number=3.1&amp;sourceID=14","3.1")</f>
        <v>3.1</v>
      </c>
      <c r="G4005" s="4" t="str">
        <f>HYPERLINK("http://141.218.60.56/~jnz1568/getInfo.php?workbook=18_08.xlsx&amp;sheet=U0&amp;row=4005&amp;col=7&amp;number=0.0208&amp;sourceID=14","0.0208")</f>
        <v>0.0208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HYPERLINK("http://141.218.60.56/~jnz1568/getInfo.php?workbook=18_08.xlsx&amp;sheet=U0&amp;row=4006&amp;col=6&amp;number=3.2&amp;sourceID=14","3.2")</f>
        <v>3.2</v>
      </c>
      <c r="G4006" s="4" t="str">
        <f>HYPERLINK("http://141.218.60.56/~jnz1568/getInfo.php?workbook=18_08.xlsx&amp;sheet=U0&amp;row=4006&amp;col=7&amp;number=0.0208&amp;sourceID=14","0.0208")</f>
        <v>0.0208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HYPERLINK("http://141.218.60.56/~jnz1568/getInfo.php?workbook=18_08.xlsx&amp;sheet=U0&amp;row=4007&amp;col=6&amp;number=3.3&amp;sourceID=14","3.3")</f>
        <v>3.3</v>
      </c>
      <c r="G4007" s="4" t="str">
        <f>HYPERLINK("http://141.218.60.56/~jnz1568/getInfo.php?workbook=18_08.xlsx&amp;sheet=U0&amp;row=4007&amp;col=7&amp;number=0.0208&amp;sourceID=14","0.0208")</f>
        <v>0.0208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HYPERLINK("http://141.218.60.56/~jnz1568/getInfo.php?workbook=18_08.xlsx&amp;sheet=U0&amp;row=4008&amp;col=6&amp;number=3.4&amp;sourceID=14","3.4")</f>
        <v>3.4</v>
      </c>
      <c r="G4008" s="4" t="str">
        <f>HYPERLINK("http://141.218.60.56/~jnz1568/getInfo.php?workbook=18_08.xlsx&amp;sheet=U0&amp;row=4008&amp;col=7&amp;number=0.0208&amp;sourceID=14","0.0208")</f>
        <v>0.0208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HYPERLINK("http://141.218.60.56/~jnz1568/getInfo.php?workbook=18_08.xlsx&amp;sheet=U0&amp;row=4009&amp;col=6&amp;number=3.5&amp;sourceID=14","3.5")</f>
        <v>3.5</v>
      </c>
      <c r="G4009" s="4" t="str">
        <f>HYPERLINK("http://141.218.60.56/~jnz1568/getInfo.php?workbook=18_08.xlsx&amp;sheet=U0&amp;row=4009&amp;col=7&amp;number=0.0208&amp;sourceID=14","0.0208")</f>
        <v>0.0208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HYPERLINK("http://141.218.60.56/~jnz1568/getInfo.php?workbook=18_08.xlsx&amp;sheet=U0&amp;row=4010&amp;col=6&amp;number=3.6&amp;sourceID=14","3.6")</f>
        <v>3.6</v>
      </c>
      <c r="G4010" s="4" t="str">
        <f>HYPERLINK("http://141.218.60.56/~jnz1568/getInfo.php?workbook=18_08.xlsx&amp;sheet=U0&amp;row=4010&amp;col=7&amp;number=0.0208&amp;sourceID=14","0.0208")</f>
        <v>0.0208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HYPERLINK("http://141.218.60.56/~jnz1568/getInfo.php?workbook=18_08.xlsx&amp;sheet=U0&amp;row=4011&amp;col=6&amp;number=3.7&amp;sourceID=14","3.7")</f>
        <v>3.7</v>
      </c>
      <c r="G4011" s="4" t="str">
        <f>HYPERLINK("http://141.218.60.56/~jnz1568/getInfo.php?workbook=18_08.xlsx&amp;sheet=U0&amp;row=4011&amp;col=7&amp;number=0.0208&amp;sourceID=14","0.0208")</f>
        <v>0.0208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HYPERLINK("http://141.218.60.56/~jnz1568/getInfo.php?workbook=18_08.xlsx&amp;sheet=U0&amp;row=4012&amp;col=6&amp;number=3.8&amp;sourceID=14","3.8")</f>
        <v>3.8</v>
      </c>
      <c r="G4012" s="4" t="str">
        <f>HYPERLINK("http://141.218.60.56/~jnz1568/getInfo.php?workbook=18_08.xlsx&amp;sheet=U0&amp;row=4012&amp;col=7&amp;number=0.0208&amp;sourceID=14","0.0208")</f>
        <v>0.0208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HYPERLINK("http://141.218.60.56/~jnz1568/getInfo.php?workbook=18_08.xlsx&amp;sheet=U0&amp;row=4013&amp;col=6&amp;number=3.9&amp;sourceID=14","3.9")</f>
        <v>3.9</v>
      </c>
      <c r="G4013" s="4" t="str">
        <f>HYPERLINK("http://141.218.60.56/~jnz1568/getInfo.php?workbook=18_08.xlsx&amp;sheet=U0&amp;row=4013&amp;col=7&amp;number=0.0208&amp;sourceID=14","0.0208")</f>
        <v>0.0208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HYPERLINK("http://141.218.60.56/~jnz1568/getInfo.php?workbook=18_08.xlsx&amp;sheet=U0&amp;row=4014&amp;col=6&amp;number=4&amp;sourceID=14","4")</f>
        <v>4</v>
      </c>
      <c r="G4014" s="4" t="str">
        <f>HYPERLINK("http://141.218.60.56/~jnz1568/getInfo.php?workbook=18_08.xlsx&amp;sheet=U0&amp;row=4014&amp;col=7&amp;number=0.0208&amp;sourceID=14","0.0208")</f>
        <v>0.0208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HYPERLINK("http://141.218.60.56/~jnz1568/getInfo.php?workbook=18_08.xlsx&amp;sheet=U0&amp;row=4015&amp;col=6&amp;number=4.1&amp;sourceID=14","4.1")</f>
        <v>4.1</v>
      </c>
      <c r="G4015" s="4" t="str">
        <f>HYPERLINK("http://141.218.60.56/~jnz1568/getInfo.php?workbook=18_08.xlsx&amp;sheet=U0&amp;row=4015&amp;col=7&amp;number=0.0208&amp;sourceID=14","0.0208")</f>
        <v>0.0208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HYPERLINK("http://141.218.60.56/~jnz1568/getInfo.php?workbook=18_08.xlsx&amp;sheet=U0&amp;row=4016&amp;col=6&amp;number=4.2&amp;sourceID=14","4.2")</f>
        <v>4.2</v>
      </c>
      <c r="G4016" s="4" t="str">
        <f>HYPERLINK("http://141.218.60.56/~jnz1568/getInfo.php?workbook=18_08.xlsx&amp;sheet=U0&amp;row=4016&amp;col=7&amp;number=0.0208&amp;sourceID=14","0.0208")</f>
        <v>0.0208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HYPERLINK("http://141.218.60.56/~jnz1568/getInfo.php?workbook=18_08.xlsx&amp;sheet=U0&amp;row=4017&amp;col=6&amp;number=4.3&amp;sourceID=14","4.3")</f>
        <v>4.3</v>
      </c>
      <c r="G4017" s="4" t="str">
        <f>HYPERLINK("http://141.218.60.56/~jnz1568/getInfo.php?workbook=18_08.xlsx&amp;sheet=U0&amp;row=4017&amp;col=7&amp;number=0.0208&amp;sourceID=14","0.0208")</f>
        <v>0.0208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HYPERLINK("http://141.218.60.56/~jnz1568/getInfo.php?workbook=18_08.xlsx&amp;sheet=U0&amp;row=4018&amp;col=6&amp;number=4.4&amp;sourceID=14","4.4")</f>
        <v>4.4</v>
      </c>
      <c r="G4018" s="4" t="str">
        <f>HYPERLINK("http://141.218.60.56/~jnz1568/getInfo.php?workbook=18_08.xlsx&amp;sheet=U0&amp;row=4018&amp;col=7&amp;number=0.0208&amp;sourceID=14","0.0208")</f>
        <v>0.0208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HYPERLINK("http://141.218.60.56/~jnz1568/getInfo.php?workbook=18_08.xlsx&amp;sheet=U0&amp;row=4019&amp;col=6&amp;number=4.5&amp;sourceID=14","4.5")</f>
        <v>4.5</v>
      </c>
      <c r="G4019" s="4" t="str">
        <f>HYPERLINK("http://141.218.60.56/~jnz1568/getInfo.php?workbook=18_08.xlsx&amp;sheet=U0&amp;row=4019&amp;col=7&amp;number=0.0208&amp;sourceID=14","0.0208")</f>
        <v>0.0208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HYPERLINK("http://141.218.60.56/~jnz1568/getInfo.php?workbook=18_08.xlsx&amp;sheet=U0&amp;row=4020&amp;col=6&amp;number=4.6&amp;sourceID=14","4.6")</f>
        <v>4.6</v>
      </c>
      <c r="G4020" s="4" t="str">
        <f>HYPERLINK("http://141.218.60.56/~jnz1568/getInfo.php?workbook=18_08.xlsx&amp;sheet=U0&amp;row=4020&amp;col=7&amp;number=0.0208&amp;sourceID=14","0.0208")</f>
        <v>0.0208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HYPERLINK("http://141.218.60.56/~jnz1568/getInfo.php?workbook=18_08.xlsx&amp;sheet=U0&amp;row=4021&amp;col=6&amp;number=4.7&amp;sourceID=14","4.7")</f>
        <v>4.7</v>
      </c>
      <c r="G4021" s="4" t="str">
        <f>HYPERLINK("http://141.218.60.56/~jnz1568/getInfo.php?workbook=18_08.xlsx&amp;sheet=U0&amp;row=4021&amp;col=7&amp;number=0.0208&amp;sourceID=14","0.0208")</f>
        <v>0.0208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HYPERLINK("http://141.218.60.56/~jnz1568/getInfo.php?workbook=18_08.xlsx&amp;sheet=U0&amp;row=4022&amp;col=6&amp;number=4.8&amp;sourceID=14","4.8")</f>
        <v>4.8</v>
      </c>
      <c r="G4022" s="4" t="str">
        <f>HYPERLINK("http://141.218.60.56/~jnz1568/getInfo.php?workbook=18_08.xlsx&amp;sheet=U0&amp;row=4022&amp;col=7&amp;number=0.0208&amp;sourceID=14","0.0208")</f>
        <v>0.0208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HYPERLINK("http://141.218.60.56/~jnz1568/getInfo.php?workbook=18_08.xlsx&amp;sheet=U0&amp;row=4023&amp;col=6&amp;number=4.9&amp;sourceID=14","4.9")</f>
        <v>4.9</v>
      </c>
      <c r="G4023" s="4" t="str">
        <f>HYPERLINK("http://141.218.60.56/~jnz1568/getInfo.php?workbook=18_08.xlsx&amp;sheet=U0&amp;row=4023&amp;col=7&amp;number=0.0208&amp;sourceID=14","0.0208")</f>
        <v>0.0208</v>
      </c>
    </row>
    <row r="4024" spans="1:7">
      <c r="A4024" s="3">
        <v>18</v>
      </c>
      <c r="B4024" s="3">
        <v>8</v>
      </c>
      <c r="C4024" s="3" t="s">
        <v>64</v>
      </c>
      <c r="D4024" s="3">
        <v>6</v>
      </c>
      <c r="E4024" s="3">
        <v>1</v>
      </c>
      <c r="F4024" s="4" t="str">
        <f>HYPERLINK("http://141.218.60.56/~jnz1568/getInfo.php?workbook=18_08.xlsx&amp;sheet=U0&amp;row=4024&amp;col=6&amp;number=3&amp;sourceID=14","3")</f>
        <v>3</v>
      </c>
      <c r="G4024" s="4" t="str">
        <f>HYPERLINK("http://141.218.60.56/~jnz1568/getInfo.php?workbook=18_08.xlsx&amp;sheet=U0&amp;row=4024&amp;col=7&amp;number=0.000424&amp;sourceID=14","0.000424")</f>
        <v>0.000424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HYPERLINK("http://141.218.60.56/~jnz1568/getInfo.php?workbook=18_08.xlsx&amp;sheet=U0&amp;row=4025&amp;col=6&amp;number=3.1&amp;sourceID=14","3.1")</f>
        <v>3.1</v>
      </c>
      <c r="G4025" s="4" t="str">
        <f>HYPERLINK("http://141.218.60.56/~jnz1568/getInfo.php?workbook=18_08.xlsx&amp;sheet=U0&amp;row=4025&amp;col=7&amp;number=0.000424&amp;sourceID=14","0.000424")</f>
        <v>0.000424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HYPERLINK("http://141.218.60.56/~jnz1568/getInfo.php?workbook=18_08.xlsx&amp;sheet=U0&amp;row=4026&amp;col=6&amp;number=3.2&amp;sourceID=14","3.2")</f>
        <v>3.2</v>
      </c>
      <c r="G4026" s="4" t="str">
        <f>HYPERLINK("http://141.218.60.56/~jnz1568/getInfo.php?workbook=18_08.xlsx&amp;sheet=U0&amp;row=4026&amp;col=7&amp;number=0.000424&amp;sourceID=14","0.000424")</f>
        <v>0.000424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HYPERLINK("http://141.218.60.56/~jnz1568/getInfo.php?workbook=18_08.xlsx&amp;sheet=U0&amp;row=4027&amp;col=6&amp;number=3.3&amp;sourceID=14","3.3")</f>
        <v>3.3</v>
      </c>
      <c r="G4027" s="4" t="str">
        <f>HYPERLINK("http://141.218.60.56/~jnz1568/getInfo.php?workbook=18_08.xlsx&amp;sheet=U0&amp;row=4027&amp;col=7&amp;number=0.000424&amp;sourceID=14","0.000424")</f>
        <v>0.000424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HYPERLINK("http://141.218.60.56/~jnz1568/getInfo.php?workbook=18_08.xlsx&amp;sheet=U0&amp;row=4028&amp;col=6&amp;number=3.4&amp;sourceID=14","3.4")</f>
        <v>3.4</v>
      </c>
      <c r="G4028" s="4" t="str">
        <f>HYPERLINK("http://141.218.60.56/~jnz1568/getInfo.php?workbook=18_08.xlsx&amp;sheet=U0&amp;row=4028&amp;col=7&amp;number=0.000424&amp;sourceID=14","0.000424")</f>
        <v>0.000424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HYPERLINK("http://141.218.60.56/~jnz1568/getInfo.php?workbook=18_08.xlsx&amp;sheet=U0&amp;row=4029&amp;col=6&amp;number=3.5&amp;sourceID=14","3.5")</f>
        <v>3.5</v>
      </c>
      <c r="G4029" s="4" t="str">
        <f>HYPERLINK("http://141.218.60.56/~jnz1568/getInfo.php?workbook=18_08.xlsx&amp;sheet=U0&amp;row=4029&amp;col=7&amp;number=0.000424&amp;sourceID=14","0.000424")</f>
        <v>0.000424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HYPERLINK("http://141.218.60.56/~jnz1568/getInfo.php?workbook=18_08.xlsx&amp;sheet=U0&amp;row=4030&amp;col=6&amp;number=3.6&amp;sourceID=14","3.6")</f>
        <v>3.6</v>
      </c>
      <c r="G4030" s="4" t="str">
        <f>HYPERLINK("http://141.218.60.56/~jnz1568/getInfo.php?workbook=18_08.xlsx&amp;sheet=U0&amp;row=4030&amp;col=7&amp;number=0.000424&amp;sourceID=14","0.000424")</f>
        <v>0.000424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HYPERLINK("http://141.218.60.56/~jnz1568/getInfo.php?workbook=18_08.xlsx&amp;sheet=U0&amp;row=4031&amp;col=6&amp;number=3.7&amp;sourceID=14","3.7")</f>
        <v>3.7</v>
      </c>
      <c r="G4031" s="4" t="str">
        <f>HYPERLINK("http://141.218.60.56/~jnz1568/getInfo.php?workbook=18_08.xlsx&amp;sheet=U0&amp;row=4031&amp;col=7&amp;number=0.000424&amp;sourceID=14","0.000424")</f>
        <v>0.000424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HYPERLINK("http://141.218.60.56/~jnz1568/getInfo.php?workbook=18_08.xlsx&amp;sheet=U0&amp;row=4032&amp;col=6&amp;number=3.8&amp;sourceID=14","3.8")</f>
        <v>3.8</v>
      </c>
      <c r="G4032" s="4" t="str">
        <f>HYPERLINK("http://141.218.60.56/~jnz1568/getInfo.php?workbook=18_08.xlsx&amp;sheet=U0&amp;row=4032&amp;col=7&amp;number=0.000424&amp;sourceID=14","0.000424")</f>
        <v>0.000424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HYPERLINK("http://141.218.60.56/~jnz1568/getInfo.php?workbook=18_08.xlsx&amp;sheet=U0&amp;row=4033&amp;col=6&amp;number=3.9&amp;sourceID=14","3.9")</f>
        <v>3.9</v>
      </c>
      <c r="G4033" s="4" t="str">
        <f>HYPERLINK("http://141.218.60.56/~jnz1568/getInfo.php?workbook=18_08.xlsx&amp;sheet=U0&amp;row=4033&amp;col=7&amp;number=0.000424&amp;sourceID=14","0.000424")</f>
        <v>0.000424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HYPERLINK("http://141.218.60.56/~jnz1568/getInfo.php?workbook=18_08.xlsx&amp;sheet=U0&amp;row=4034&amp;col=6&amp;number=4&amp;sourceID=14","4")</f>
        <v>4</v>
      </c>
      <c r="G4034" s="4" t="str">
        <f>HYPERLINK("http://141.218.60.56/~jnz1568/getInfo.php?workbook=18_08.xlsx&amp;sheet=U0&amp;row=4034&amp;col=7&amp;number=0.000423&amp;sourceID=14","0.000423")</f>
        <v>0.000423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HYPERLINK("http://141.218.60.56/~jnz1568/getInfo.php?workbook=18_08.xlsx&amp;sheet=U0&amp;row=4035&amp;col=6&amp;number=4.1&amp;sourceID=14","4.1")</f>
        <v>4.1</v>
      </c>
      <c r="G4035" s="4" t="str">
        <f>HYPERLINK("http://141.218.60.56/~jnz1568/getInfo.php?workbook=18_08.xlsx&amp;sheet=U0&amp;row=4035&amp;col=7&amp;number=0.000423&amp;sourceID=14","0.000423")</f>
        <v>0.000423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HYPERLINK("http://141.218.60.56/~jnz1568/getInfo.php?workbook=18_08.xlsx&amp;sheet=U0&amp;row=4036&amp;col=6&amp;number=4.2&amp;sourceID=14","4.2")</f>
        <v>4.2</v>
      </c>
      <c r="G4036" s="4" t="str">
        <f>HYPERLINK("http://141.218.60.56/~jnz1568/getInfo.php?workbook=18_08.xlsx&amp;sheet=U0&amp;row=4036&amp;col=7&amp;number=0.000423&amp;sourceID=14","0.000423")</f>
        <v>0.000423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HYPERLINK("http://141.218.60.56/~jnz1568/getInfo.php?workbook=18_08.xlsx&amp;sheet=U0&amp;row=4037&amp;col=6&amp;number=4.3&amp;sourceID=14","4.3")</f>
        <v>4.3</v>
      </c>
      <c r="G4037" s="4" t="str">
        <f>HYPERLINK("http://141.218.60.56/~jnz1568/getInfo.php?workbook=18_08.xlsx&amp;sheet=U0&amp;row=4037&amp;col=7&amp;number=0.000423&amp;sourceID=14","0.000423")</f>
        <v>0.000423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HYPERLINK("http://141.218.60.56/~jnz1568/getInfo.php?workbook=18_08.xlsx&amp;sheet=U0&amp;row=4038&amp;col=6&amp;number=4.4&amp;sourceID=14","4.4")</f>
        <v>4.4</v>
      </c>
      <c r="G4038" s="4" t="str">
        <f>HYPERLINK("http://141.218.60.56/~jnz1568/getInfo.php?workbook=18_08.xlsx&amp;sheet=U0&amp;row=4038&amp;col=7&amp;number=0.000422&amp;sourceID=14","0.000422")</f>
        <v>0.000422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HYPERLINK("http://141.218.60.56/~jnz1568/getInfo.php?workbook=18_08.xlsx&amp;sheet=U0&amp;row=4039&amp;col=6&amp;number=4.5&amp;sourceID=14","4.5")</f>
        <v>4.5</v>
      </c>
      <c r="G4039" s="4" t="str">
        <f>HYPERLINK("http://141.218.60.56/~jnz1568/getInfo.php?workbook=18_08.xlsx&amp;sheet=U0&amp;row=4039&amp;col=7&amp;number=0.000422&amp;sourceID=14","0.000422")</f>
        <v>0.000422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HYPERLINK("http://141.218.60.56/~jnz1568/getInfo.php?workbook=18_08.xlsx&amp;sheet=U0&amp;row=4040&amp;col=6&amp;number=4.6&amp;sourceID=14","4.6")</f>
        <v>4.6</v>
      </c>
      <c r="G4040" s="4" t="str">
        <f>HYPERLINK("http://141.218.60.56/~jnz1568/getInfo.php?workbook=18_08.xlsx&amp;sheet=U0&amp;row=4040&amp;col=7&amp;number=0.000421&amp;sourceID=14","0.000421")</f>
        <v>0.000421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HYPERLINK("http://141.218.60.56/~jnz1568/getInfo.php?workbook=18_08.xlsx&amp;sheet=U0&amp;row=4041&amp;col=6&amp;number=4.7&amp;sourceID=14","4.7")</f>
        <v>4.7</v>
      </c>
      <c r="G4041" s="4" t="str">
        <f>HYPERLINK("http://141.218.60.56/~jnz1568/getInfo.php?workbook=18_08.xlsx&amp;sheet=U0&amp;row=4041&amp;col=7&amp;number=0.00042&amp;sourceID=14","0.00042")</f>
        <v>0.00042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HYPERLINK("http://141.218.60.56/~jnz1568/getInfo.php?workbook=18_08.xlsx&amp;sheet=U0&amp;row=4042&amp;col=6&amp;number=4.8&amp;sourceID=14","4.8")</f>
        <v>4.8</v>
      </c>
      <c r="G4042" s="4" t="str">
        <f>HYPERLINK("http://141.218.60.56/~jnz1568/getInfo.php?workbook=18_08.xlsx&amp;sheet=U0&amp;row=4042&amp;col=7&amp;number=0.000419&amp;sourceID=14","0.000419")</f>
        <v>0.000419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HYPERLINK("http://141.218.60.56/~jnz1568/getInfo.php?workbook=18_08.xlsx&amp;sheet=U0&amp;row=4043&amp;col=6&amp;number=4.9&amp;sourceID=14","4.9")</f>
        <v>4.9</v>
      </c>
      <c r="G4043" s="4" t="str">
        <f>HYPERLINK("http://141.218.60.56/~jnz1568/getInfo.php?workbook=18_08.xlsx&amp;sheet=U0&amp;row=4043&amp;col=7&amp;number=0.000418&amp;sourceID=14","0.000418")</f>
        <v>0.000418</v>
      </c>
    </row>
    <row r="4044" spans="1:7">
      <c r="A4044" s="3">
        <v>18</v>
      </c>
      <c r="B4044" s="3">
        <v>8</v>
      </c>
      <c r="C4044" s="3" t="s">
        <v>64</v>
      </c>
      <c r="D4044" s="3">
        <v>7</v>
      </c>
      <c r="E4044" s="3">
        <v>1</v>
      </c>
      <c r="F4044" s="4" t="str">
        <f>HYPERLINK("http://141.218.60.56/~jnz1568/getInfo.php?workbook=18_08.xlsx&amp;sheet=U0&amp;row=4044&amp;col=6&amp;number=3&amp;sourceID=14","3")</f>
        <v>3</v>
      </c>
      <c r="G4044" s="4" t="str">
        <f>HYPERLINK("http://141.218.60.56/~jnz1568/getInfo.php?workbook=18_08.xlsx&amp;sheet=U0&amp;row=4044&amp;col=7&amp;number=0.000604&amp;sourceID=14","0.000604")</f>
        <v>0.000604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HYPERLINK("http://141.218.60.56/~jnz1568/getInfo.php?workbook=18_08.xlsx&amp;sheet=U0&amp;row=4045&amp;col=6&amp;number=3.1&amp;sourceID=14","3.1")</f>
        <v>3.1</v>
      </c>
      <c r="G4045" s="4" t="str">
        <f>HYPERLINK("http://141.218.60.56/~jnz1568/getInfo.php?workbook=18_08.xlsx&amp;sheet=U0&amp;row=4045&amp;col=7&amp;number=0.000604&amp;sourceID=14","0.000604")</f>
        <v>0.000604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HYPERLINK("http://141.218.60.56/~jnz1568/getInfo.php?workbook=18_08.xlsx&amp;sheet=U0&amp;row=4046&amp;col=6&amp;number=3.2&amp;sourceID=14","3.2")</f>
        <v>3.2</v>
      </c>
      <c r="G4046" s="4" t="str">
        <f>HYPERLINK("http://141.218.60.56/~jnz1568/getInfo.php?workbook=18_08.xlsx&amp;sheet=U0&amp;row=4046&amp;col=7&amp;number=0.000604&amp;sourceID=14","0.000604")</f>
        <v>0.000604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HYPERLINK("http://141.218.60.56/~jnz1568/getInfo.php?workbook=18_08.xlsx&amp;sheet=U0&amp;row=4047&amp;col=6&amp;number=3.3&amp;sourceID=14","3.3")</f>
        <v>3.3</v>
      </c>
      <c r="G4047" s="4" t="str">
        <f>HYPERLINK("http://141.218.60.56/~jnz1568/getInfo.php?workbook=18_08.xlsx&amp;sheet=U0&amp;row=4047&amp;col=7&amp;number=0.000604&amp;sourceID=14","0.000604")</f>
        <v>0.000604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HYPERLINK("http://141.218.60.56/~jnz1568/getInfo.php?workbook=18_08.xlsx&amp;sheet=U0&amp;row=4048&amp;col=6&amp;number=3.4&amp;sourceID=14","3.4")</f>
        <v>3.4</v>
      </c>
      <c r="G4048" s="4" t="str">
        <f>HYPERLINK("http://141.218.60.56/~jnz1568/getInfo.php?workbook=18_08.xlsx&amp;sheet=U0&amp;row=4048&amp;col=7&amp;number=0.000604&amp;sourceID=14","0.000604")</f>
        <v>0.000604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HYPERLINK("http://141.218.60.56/~jnz1568/getInfo.php?workbook=18_08.xlsx&amp;sheet=U0&amp;row=4049&amp;col=6&amp;number=3.5&amp;sourceID=14","3.5")</f>
        <v>3.5</v>
      </c>
      <c r="G4049" s="4" t="str">
        <f>HYPERLINK("http://141.218.60.56/~jnz1568/getInfo.php?workbook=18_08.xlsx&amp;sheet=U0&amp;row=4049&amp;col=7&amp;number=0.000604&amp;sourceID=14","0.000604")</f>
        <v>0.000604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HYPERLINK("http://141.218.60.56/~jnz1568/getInfo.php?workbook=18_08.xlsx&amp;sheet=U0&amp;row=4050&amp;col=6&amp;number=3.6&amp;sourceID=14","3.6")</f>
        <v>3.6</v>
      </c>
      <c r="G4050" s="4" t="str">
        <f>HYPERLINK("http://141.218.60.56/~jnz1568/getInfo.php?workbook=18_08.xlsx&amp;sheet=U0&amp;row=4050&amp;col=7&amp;number=0.000604&amp;sourceID=14","0.000604")</f>
        <v>0.000604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HYPERLINK("http://141.218.60.56/~jnz1568/getInfo.php?workbook=18_08.xlsx&amp;sheet=U0&amp;row=4051&amp;col=6&amp;number=3.7&amp;sourceID=14","3.7")</f>
        <v>3.7</v>
      </c>
      <c r="G4051" s="4" t="str">
        <f>HYPERLINK("http://141.218.60.56/~jnz1568/getInfo.php?workbook=18_08.xlsx&amp;sheet=U0&amp;row=4051&amp;col=7&amp;number=0.000604&amp;sourceID=14","0.000604")</f>
        <v>0.000604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HYPERLINK("http://141.218.60.56/~jnz1568/getInfo.php?workbook=18_08.xlsx&amp;sheet=U0&amp;row=4052&amp;col=6&amp;number=3.8&amp;sourceID=14","3.8")</f>
        <v>3.8</v>
      </c>
      <c r="G4052" s="4" t="str">
        <f>HYPERLINK("http://141.218.60.56/~jnz1568/getInfo.php?workbook=18_08.xlsx&amp;sheet=U0&amp;row=4052&amp;col=7&amp;number=0.000604&amp;sourceID=14","0.000604")</f>
        <v>0.000604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HYPERLINK("http://141.218.60.56/~jnz1568/getInfo.php?workbook=18_08.xlsx&amp;sheet=U0&amp;row=4053&amp;col=6&amp;number=3.9&amp;sourceID=14","3.9")</f>
        <v>3.9</v>
      </c>
      <c r="G4053" s="4" t="str">
        <f>HYPERLINK("http://141.218.60.56/~jnz1568/getInfo.php?workbook=18_08.xlsx&amp;sheet=U0&amp;row=4053&amp;col=7&amp;number=0.000604&amp;sourceID=14","0.000604")</f>
        <v>0.000604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HYPERLINK("http://141.218.60.56/~jnz1568/getInfo.php?workbook=18_08.xlsx&amp;sheet=U0&amp;row=4054&amp;col=6&amp;number=4&amp;sourceID=14","4")</f>
        <v>4</v>
      </c>
      <c r="G4054" s="4" t="str">
        <f>HYPERLINK("http://141.218.60.56/~jnz1568/getInfo.php?workbook=18_08.xlsx&amp;sheet=U0&amp;row=4054&amp;col=7&amp;number=0.000604&amp;sourceID=14","0.000604")</f>
        <v>0.000604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HYPERLINK("http://141.218.60.56/~jnz1568/getInfo.php?workbook=18_08.xlsx&amp;sheet=U0&amp;row=4055&amp;col=6&amp;number=4.1&amp;sourceID=14","4.1")</f>
        <v>4.1</v>
      </c>
      <c r="G4055" s="4" t="str">
        <f>HYPERLINK("http://141.218.60.56/~jnz1568/getInfo.php?workbook=18_08.xlsx&amp;sheet=U0&amp;row=4055&amp;col=7&amp;number=0.000604&amp;sourceID=14","0.000604")</f>
        <v>0.000604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HYPERLINK("http://141.218.60.56/~jnz1568/getInfo.php?workbook=18_08.xlsx&amp;sheet=U0&amp;row=4056&amp;col=6&amp;number=4.2&amp;sourceID=14","4.2")</f>
        <v>4.2</v>
      </c>
      <c r="G4056" s="4" t="str">
        <f>HYPERLINK("http://141.218.60.56/~jnz1568/getInfo.php?workbook=18_08.xlsx&amp;sheet=U0&amp;row=4056&amp;col=7&amp;number=0.000604&amp;sourceID=14","0.000604")</f>
        <v>0.000604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HYPERLINK("http://141.218.60.56/~jnz1568/getInfo.php?workbook=18_08.xlsx&amp;sheet=U0&amp;row=4057&amp;col=6&amp;number=4.3&amp;sourceID=14","4.3")</f>
        <v>4.3</v>
      </c>
      <c r="G4057" s="4" t="str">
        <f>HYPERLINK("http://141.218.60.56/~jnz1568/getInfo.php?workbook=18_08.xlsx&amp;sheet=U0&amp;row=4057&amp;col=7&amp;number=0.000604&amp;sourceID=14","0.000604")</f>
        <v>0.000604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HYPERLINK("http://141.218.60.56/~jnz1568/getInfo.php?workbook=18_08.xlsx&amp;sheet=U0&amp;row=4058&amp;col=6&amp;number=4.4&amp;sourceID=14","4.4")</f>
        <v>4.4</v>
      </c>
      <c r="G4058" s="4" t="str">
        <f>HYPERLINK("http://141.218.60.56/~jnz1568/getInfo.php?workbook=18_08.xlsx&amp;sheet=U0&amp;row=4058&amp;col=7&amp;number=0.000605&amp;sourceID=14","0.000605")</f>
        <v>0.000605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HYPERLINK("http://141.218.60.56/~jnz1568/getInfo.php?workbook=18_08.xlsx&amp;sheet=U0&amp;row=4059&amp;col=6&amp;number=4.5&amp;sourceID=14","4.5")</f>
        <v>4.5</v>
      </c>
      <c r="G4059" s="4" t="str">
        <f>HYPERLINK("http://141.218.60.56/~jnz1568/getInfo.php?workbook=18_08.xlsx&amp;sheet=U0&amp;row=4059&amp;col=7&amp;number=0.000605&amp;sourceID=14","0.000605")</f>
        <v>0.000605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HYPERLINK("http://141.218.60.56/~jnz1568/getInfo.php?workbook=18_08.xlsx&amp;sheet=U0&amp;row=4060&amp;col=6&amp;number=4.6&amp;sourceID=14","4.6")</f>
        <v>4.6</v>
      </c>
      <c r="G4060" s="4" t="str">
        <f>HYPERLINK("http://141.218.60.56/~jnz1568/getInfo.php?workbook=18_08.xlsx&amp;sheet=U0&amp;row=4060&amp;col=7&amp;number=0.000605&amp;sourceID=14","0.000605")</f>
        <v>0.000605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HYPERLINK("http://141.218.60.56/~jnz1568/getInfo.php?workbook=18_08.xlsx&amp;sheet=U0&amp;row=4061&amp;col=6&amp;number=4.7&amp;sourceID=14","4.7")</f>
        <v>4.7</v>
      </c>
      <c r="G4061" s="4" t="str">
        <f>HYPERLINK("http://141.218.60.56/~jnz1568/getInfo.php?workbook=18_08.xlsx&amp;sheet=U0&amp;row=4061&amp;col=7&amp;number=0.000606&amp;sourceID=14","0.000606")</f>
        <v>0.000606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HYPERLINK("http://141.218.60.56/~jnz1568/getInfo.php?workbook=18_08.xlsx&amp;sheet=U0&amp;row=4062&amp;col=6&amp;number=4.8&amp;sourceID=14","4.8")</f>
        <v>4.8</v>
      </c>
      <c r="G4062" s="4" t="str">
        <f>HYPERLINK("http://141.218.60.56/~jnz1568/getInfo.php?workbook=18_08.xlsx&amp;sheet=U0&amp;row=4062&amp;col=7&amp;number=0.000606&amp;sourceID=14","0.000606")</f>
        <v>0.000606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HYPERLINK("http://141.218.60.56/~jnz1568/getInfo.php?workbook=18_08.xlsx&amp;sheet=U0&amp;row=4063&amp;col=6&amp;number=4.9&amp;sourceID=14","4.9")</f>
        <v>4.9</v>
      </c>
      <c r="G4063" s="4" t="str">
        <f>HYPERLINK("http://141.218.60.56/~jnz1568/getInfo.php?workbook=18_08.xlsx&amp;sheet=U0&amp;row=4063&amp;col=7&amp;number=0.000607&amp;sourceID=14","0.000607")</f>
        <v>0.000607</v>
      </c>
    </row>
    <row r="4064" spans="1:7">
      <c r="A4064" s="3">
        <v>18</v>
      </c>
      <c r="B4064" s="3">
        <v>8</v>
      </c>
      <c r="C4064" s="3" t="s">
        <v>64</v>
      </c>
      <c r="D4064" s="3">
        <v>8</v>
      </c>
      <c r="E4064" s="3">
        <v>1</v>
      </c>
      <c r="F4064" s="4" t="str">
        <f>HYPERLINK("http://141.218.60.56/~jnz1568/getInfo.php?workbook=18_08.xlsx&amp;sheet=U0&amp;row=4064&amp;col=6&amp;number=3&amp;sourceID=14","3")</f>
        <v>3</v>
      </c>
      <c r="G4064" s="4" t="str">
        <f>HYPERLINK("http://141.218.60.56/~jnz1568/getInfo.php?workbook=18_08.xlsx&amp;sheet=U0&amp;row=4064&amp;col=7&amp;number=0.00178&amp;sourceID=14","0.00178")</f>
        <v>0.00178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HYPERLINK("http://141.218.60.56/~jnz1568/getInfo.php?workbook=18_08.xlsx&amp;sheet=U0&amp;row=4065&amp;col=6&amp;number=3.1&amp;sourceID=14","3.1")</f>
        <v>3.1</v>
      </c>
      <c r="G4065" s="4" t="str">
        <f>HYPERLINK("http://141.218.60.56/~jnz1568/getInfo.php?workbook=18_08.xlsx&amp;sheet=U0&amp;row=4065&amp;col=7&amp;number=0.00178&amp;sourceID=14","0.00178")</f>
        <v>0.00178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HYPERLINK("http://141.218.60.56/~jnz1568/getInfo.php?workbook=18_08.xlsx&amp;sheet=U0&amp;row=4066&amp;col=6&amp;number=3.2&amp;sourceID=14","3.2")</f>
        <v>3.2</v>
      </c>
      <c r="G4066" s="4" t="str">
        <f>HYPERLINK("http://141.218.60.56/~jnz1568/getInfo.php?workbook=18_08.xlsx&amp;sheet=U0&amp;row=4066&amp;col=7&amp;number=0.00178&amp;sourceID=14","0.00178")</f>
        <v>0.00178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HYPERLINK("http://141.218.60.56/~jnz1568/getInfo.php?workbook=18_08.xlsx&amp;sheet=U0&amp;row=4067&amp;col=6&amp;number=3.3&amp;sourceID=14","3.3")</f>
        <v>3.3</v>
      </c>
      <c r="G4067" s="4" t="str">
        <f>HYPERLINK("http://141.218.60.56/~jnz1568/getInfo.php?workbook=18_08.xlsx&amp;sheet=U0&amp;row=4067&amp;col=7&amp;number=0.00178&amp;sourceID=14","0.00178")</f>
        <v>0.00178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HYPERLINK("http://141.218.60.56/~jnz1568/getInfo.php?workbook=18_08.xlsx&amp;sheet=U0&amp;row=4068&amp;col=6&amp;number=3.4&amp;sourceID=14","3.4")</f>
        <v>3.4</v>
      </c>
      <c r="G4068" s="4" t="str">
        <f>HYPERLINK("http://141.218.60.56/~jnz1568/getInfo.php?workbook=18_08.xlsx&amp;sheet=U0&amp;row=4068&amp;col=7&amp;number=0.00178&amp;sourceID=14","0.00178")</f>
        <v>0.00178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HYPERLINK("http://141.218.60.56/~jnz1568/getInfo.php?workbook=18_08.xlsx&amp;sheet=U0&amp;row=4069&amp;col=6&amp;number=3.5&amp;sourceID=14","3.5")</f>
        <v>3.5</v>
      </c>
      <c r="G4069" s="4" t="str">
        <f>HYPERLINK("http://141.218.60.56/~jnz1568/getInfo.php?workbook=18_08.xlsx&amp;sheet=U0&amp;row=4069&amp;col=7&amp;number=0.00178&amp;sourceID=14","0.00178")</f>
        <v>0.00178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HYPERLINK("http://141.218.60.56/~jnz1568/getInfo.php?workbook=18_08.xlsx&amp;sheet=U0&amp;row=4070&amp;col=6&amp;number=3.6&amp;sourceID=14","3.6")</f>
        <v>3.6</v>
      </c>
      <c r="G4070" s="4" t="str">
        <f>HYPERLINK("http://141.218.60.56/~jnz1568/getInfo.php?workbook=18_08.xlsx&amp;sheet=U0&amp;row=4070&amp;col=7&amp;number=0.00178&amp;sourceID=14","0.00178")</f>
        <v>0.00178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HYPERLINK("http://141.218.60.56/~jnz1568/getInfo.php?workbook=18_08.xlsx&amp;sheet=U0&amp;row=4071&amp;col=6&amp;number=3.7&amp;sourceID=14","3.7")</f>
        <v>3.7</v>
      </c>
      <c r="G4071" s="4" t="str">
        <f>HYPERLINK("http://141.218.60.56/~jnz1568/getInfo.php?workbook=18_08.xlsx&amp;sheet=U0&amp;row=4071&amp;col=7&amp;number=0.00178&amp;sourceID=14","0.00178")</f>
        <v>0.00178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HYPERLINK("http://141.218.60.56/~jnz1568/getInfo.php?workbook=18_08.xlsx&amp;sheet=U0&amp;row=4072&amp;col=6&amp;number=3.8&amp;sourceID=14","3.8")</f>
        <v>3.8</v>
      </c>
      <c r="G4072" s="4" t="str">
        <f>HYPERLINK("http://141.218.60.56/~jnz1568/getInfo.php?workbook=18_08.xlsx&amp;sheet=U0&amp;row=4072&amp;col=7&amp;number=0.00178&amp;sourceID=14","0.00178")</f>
        <v>0.00178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HYPERLINK("http://141.218.60.56/~jnz1568/getInfo.php?workbook=18_08.xlsx&amp;sheet=U0&amp;row=4073&amp;col=6&amp;number=3.9&amp;sourceID=14","3.9")</f>
        <v>3.9</v>
      </c>
      <c r="G4073" s="4" t="str">
        <f>HYPERLINK("http://141.218.60.56/~jnz1568/getInfo.php?workbook=18_08.xlsx&amp;sheet=U0&amp;row=4073&amp;col=7&amp;number=0.00177&amp;sourceID=14","0.00177")</f>
        <v>0.00177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HYPERLINK("http://141.218.60.56/~jnz1568/getInfo.php?workbook=18_08.xlsx&amp;sheet=U0&amp;row=4074&amp;col=6&amp;number=4&amp;sourceID=14","4")</f>
        <v>4</v>
      </c>
      <c r="G4074" s="4" t="str">
        <f>HYPERLINK("http://141.218.60.56/~jnz1568/getInfo.php?workbook=18_08.xlsx&amp;sheet=U0&amp;row=4074&amp;col=7&amp;number=0.00177&amp;sourceID=14","0.00177")</f>
        <v>0.00177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HYPERLINK("http://141.218.60.56/~jnz1568/getInfo.php?workbook=18_08.xlsx&amp;sheet=U0&amp;row=4075&amp;col=6&amp;number=4.1&amp;sourceID=14","4.1")</f>
        <v>4.1</v>
      </c>
      <c r="G4075" s="4" t="str">
        <f>HYPERLINK("http://141.218.60.56/~jnz1568/getInfo.php?workbook=18_08.xlsx&amp;sheet=U0&amp;row=4075&amp;col=7&amp;number=0.00177&amp;sourceID=14","0.00177")</f>
        <v>0.00177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HYPERLINK("http://141.218.60.56/~jnz1568/getInfo.php?workbook=18_08.xlsx&amp;sheet=U0&amp;row=4076&amp;col=6&amp;number=4.2&amp;sourceID=14","4.2")</f>
        <v>4.2</v>
      </c>
      <c r="G4076" s="4" t="str">
        <f>HYPERLINK("http://141.218.60.56/~jnz1568/getInfo.php?workbook=18_08.xlsx&amp;sheet=U0&amp;row=4076&amp;col=7&amp;number=0.00177&amp;sourceID=14","0.00177")</f>
        <v>0.00177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HYPERLINK("http://141.218.60.56/~jnz1568/getInfo.php?workbook=18_08.xlsx&amp;sheet=U0&amp;row=4077&amp;col=6&amp;number=4.3&amp;sourceID=14","4.3")</f>
        <v>4.3</v>
      </c>
      <c r="G4077" s="4" t="str">
        <f>HYPERLINK("http://141.218.60.56/~jnz1568/getInfo.php?workbook=18_08.xlsx&amp;sheet=U0&amp;row=4077&amp;col=7&amp;number=0.00177&amp;sourceID=14","0.00177")</f>
        <v>0.00177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HYPERLINK("http://141.218.60.56/~jnz1568/getInfo.php?workbook=18_08.xlsx&amp;sheet=U0&amp;row=4078&amp;col=6&amp;number=4.4&amp;sourceID=14","4.4")</f>
        <v>4.4</v>
      </c>
      <c r="G4078" s="4" t="str">
        <f>HYPERLINK("http://141.218.60.56/~jnz1568/getInfo.php?workbook=18_08.xlsx&amp;sheet=U0&amp;row=4078&amp;col=7&amp;number=0.00177&amp;sourceID=14","0.00177")</f>
        <v>0.00177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HYPERLINK("http://141.218.60.56/~jnz1568/getInfo.php?workbook=18_08.xlsx&amp;sheet=U0&amp;row=4079&amp;col=6&amp;number=4.5&amp;sourceID=14","4.5")</f>
        <v>4.5</v>
      </c>
      <c r="G4079" s="4" t="str">
        <f>HYPERLINK("http://141.218.60.56/~jnz1568/getInfo.php?workbook=18_08.xlsx&amp;sheet=U0&amp;row=4079&amp;col=7&amp;number=0.00176&amp;sourceID=14","0.00176")</f>
        <v>0.00176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HYPERLINK("http://141.218.60.56/~jnz1568/getInfo.php?workbook=18_08.xlsx&amp;sheet=U0&amp;row=4080&amp;col=6&amp;number=4.6&amp;sourceID=14","4.6")</f>
        <v>4.6</v>
      </c>
      <c r="G4080" s="4" t="str">
        <f>HYPERLINK("http://141.218.60.56/~jnz1568/getInfo.php?workbook=18_08.xlsx&amp;sheet=U0&amp;row=4080&amp;col=7&amp;number=0.00176&amp;sourceID=14","0.00176")</f>
        <v>0.00176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HYPERLINK("http://141.218.60.56/~jnz1568/getInfo.php?workbook=18_08.xlsx&amp;sheet=U0&amp;row=4081&amp;col=6&amp;number=4.7&amp;sourceID=14","4.7")</f>
        <v>4.7</v>
      </c>
      <c r="G4081" s="4" t="str">
        <f>HYPERLINK("http://141.218.60.56/~jnz1568/getInfo.php?workbook=18_08.xlsx&amp;sheet=U0&amp;row=4081&amp;col=7&amp;number=0.00175&amp;sourceID=14","0.00175")</f>
        <v>0.00175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HYPERLINK("http://141.218.60.56/~jnz1568/getInfo.php?workbook=18_08.xlsx&amp;sheet=U0&amp;row=4082&amp;col=6&amp;number=4.8&amp;sourceID=14","4.8")</f>
        <v>4.8</v>
      </c>
      <c r="G4082" s="4" t="str">
        <f>HYPERLINK("http://141.218.60.56/~jnz1568/getInfo.php?workbook=18_08.xlsx&amp;sheet=U0&amp;row=4082&amp;col=7&amp;number=0.00175&amp;sourceID=14","0.00175")</f>
        <v>0.00175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HYPERLINK("http://141.218.60.56/~jnz1568/getInfo.php?workbook=18_08.xlsx&amp;sheet=U0&amp;row=4083&amp;col=6&amp;number=4.9&amp;sourceID=14","4.9")</f>
        <v>4.9</v>
      </c>
      <c r="G4083" s="4" t="str">
        <f>HYPERLINK("http://141.218.60.56/~jnz1568/getInfo.php?workbook=18_08.xlsx&amp;sheet=U0&amp;row=4083&amp;col=7&amp;number=0.00174&amp;sourceID=14","0.00174")</f>
        <v>0.00174</v>
      </c>
    </row>
    <row r="4084" spans="1:7">
      <c r="A4084" s="3">
        <v>18</v>
      </c>
      <c r="B4084" s="3">
        <v>8</v>
      </c>
      <c r="C4084" s="3" t="s">
        <v>64</v>
      </c>
      <c r="D4084" s="3">
        <v>9</v>
      </c>
      <c r="E4084" s="3">
        <v>1</v>
      </c>
      <c r="F4084" s="4" t="str">
        <f>HYPERLINK("http://141.218.60.56/~jnz1568/getInfo.php?workbook=18_08.xlsx&amp;sheet=U0&amp;row=4084&amp;col=6&amp;number=3&amp;sourceID=14","3")</f>
        <v>3</v>
      </c>
      <c r="G4084" s="4" t="str">
        <f>HYPERLINK("http://141.218.60.56/~jnz1568/getInfo.php?workbook=18_08.xlsx&amp;sheet=U0&amp;row=4084&amp;col=7&amp;number=0.00391&amp;sourceID=14","0.00391")</f>
        <v>0.00391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HYPERLINK("http://141.218.60.56/~jnz1568/getInfo.php?workbook=18_08.xlsx&amp;sheet=U0&amp;row=4085&amp;col=6&amp;number=3.1&amp;sourceID=14","3.1")</f>
        <v>3.1</v>
      </c>
      <c r="G4085" s="4" t="str">
        <f>HYPERLINK("http://141.218.60.56/~jnz1568/getInfo.php?workbook=18_08.xlsx&amp;sheet=U0&amp;row=4085&amp;col=7&amp;number=0.0039&amp;sourceID=14","0.0039")</f>
        <v>0.0039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HYPERLINK("http://141.218.60.56/~jnz1568/getInfo.php?workbook=18_08.xlsx&amp;sheet=U0&amp;row=4086&amp;col=6&amp;number=3.2&amp;sourceID=14","3.2")</f>
        <v>3.2</v>
      </c>
      <c r="G4086" s="4" t="str">
        <f>HYPERLINK("http://141.218.60.56/~jnz1568/getInfo.php?workbook=18_08.xlsx&amp;sheet=U0&amp;row=4086&amp;col=7&amp;number=0.0039&amp;sourceID=14","0.0039")</f>
        <v>0.0039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HYPERLINK("http://141.218.60.56/~jnz1568/getInfo.php?workbook=18_08.xlsx&amp;sheet=U0&amp;row=4087&amp;col=6&amp;number=3.3&amp;sourceID=14","3.3")</f>
        <v>3.3</v>
      </c>
      <c r="G4087" s="4" t="str">
        <f>HYPERLINK("http://141.218.60.56/~jnz1568/getInfo.php?workbook=18_08.xlsx&amp;sheet=U0&amp;row=4087&amp;col=7&amp;number=0.0039&amp;sourceID=14","0.0039")</f>
        <v>0.0039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HYPERLINK("http://141.218.60.56/~jnz1568/getInfo.php?workbook=18_08.xlsx&amp;sheet=U0&amp;row=4088&amp;col=6&amp;number=3.4&amp;sourceID=14","3.4")</f>
        <v>3.4</v>
      </c>
      <c r="G4088" s="4" t="str">
        <f>HYPERLINK("http://141.218.60.56/~jnz1568/getInfo.php?workbook=18_08.xlsx&amp;sheet=U0&amp;row=4088&amp;col=7&amp;number=0.0039&amp;sourceID=14","0.0039")</f>
        <v>0.0039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HYPERLINK("http://141.218.60.56/~jnz1568/getInfo.php?workbook=18_08.xlsx&amp;sheet=U0&amp;row=4089&amp;col=6&amp;number=3.5&amp;sourceID=14","3.5")</f>
        <v>3.5</v>
      </c>
      <c r="G4089" s="4" t="str">
        <f>HYPERLINK("http://141.218.60.56/~jnz1568/getInfo.php?workbook=18_08.xlsx&amp;sheet=U0&amp;row=4089&amp;col=7&amp;number=0.0039&amp;sourceID=14","0.0039")</f>
        <v>0.0039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HYPERLINK("http://141.218.60.56/~jnz1568/getInfo.php?workbook=18_08.xlsx&amp;sheet=U0&amp;row=4090&amp;col=6&amp;number=3.6&amp;sourceID=14","3.6")</f>
        <v>3.6</v>
      </c>
      <c r="G4090" s="4" t="str">
        <f>HYPERLINK("http://141.218.60.56/~jnz1568/getInfo.php?workbook=18_08.xlsx&amp;sheet=U0&amp;row=4090&amp;col=7&amp;number=0.0039&amp;sourceID=14","0.0039")</f>
        <v>0.0039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HYPERLINK("http://141.218.60.56/~jnz1568/getInfo.php?workbook=18_08.xlsx&amp;sheet=U0&amp;row=4091&amp;col=6&amp;number=3.7&amp;sourceID=14","3.7")</f>
        <v>3.7</v>
      </c>
      <c r="G4091" s="4" t="str">
        <f>HYPERLINK("http://141.218.60.56/~jnz1568/getInfo.php?workbook=18_08.xlsx&amp;sheet=U0&amp;row=4091&amp;col=7&amp;number=0.0039&amp;sourceID=14","0.0039")</f>
        <v>0.0039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HYPERLINK("http://141.218.60.56/~jnz1568/getInfo.php?workbook=18_08.xlsx&amp;sheet=U0&amp;row=4092&amp;col=6&amp;number=3.8&amp;sourceID=14","3.8")</f>
        <v>3.8</v>
      </c>
      <c r="G4092" s="4" t="str">
        <f>HYPERLINK("http://141.218.60.56/~jnz1568/getInfo.php?workbook=18_08.xlsx&amp;sheet=U0&amp;row=4092&amp;col=7&amp;number=0.0039&amp;sourceID=14","0.0039")</f>
        <v>0.0039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HYPERLINK("http://141.218.60.56/~jnz1568/getInfo.php?workbook=18_08.xlsx&amp;sheet=U0&amp;row=4093&amp;col=6&amp;number=3.9&amp;sourceID=14","3.9")</f>
        <v>3.9</v>
      </c>
      <c r="G4093" s="4" t="str">
        <f>HYPERLINK("http://141.218.60.56/~jnz1568/getInfo.php?workbook=18_08.xlsx&amp;sheet=U0&amp;row=4093&amp;col=7&amp;number=0.0039&amp;sourceID=14","0.0039")</f>
        <v>0.0039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HYPERLINK("http://141.218.60.56/~jnz1568/getInfo.php?workbook=18_08.xlsx&amp;sheet=U0&amp;row=4094&amp;col=6&amp;number=4&amp;sourceID=14","4")</f>
        <v>4</v>
      </c>
      <c r="G4094" s="4" t="str">
        <f>HYPERLINK("http://141.218.60.56/~jnz1568/getInfo.php?workbook=18_08.xlsx&amp;sheet=U0&amp;row=4094&amp;col=7&amp;number=0.0039&amp;sourceID=14","0.0039")</f>
        <v>0.0039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HYPERLINK("http://141.218.60.56/~jnz1568/getInfo.php?workbook=18_08.xlsx&amp;sheet=U0&amp;row=4095&amp;col=6&amp;number=4.1&amp;sourceID=14","4.1")</f>
        <v>4.1</v>
      </c>
      <c r="G4095" s="4" t="str">
        <f>HYPERLINK("http://141.218.60.56/~jnz1568/getInfo.php?workbook=18_08.xlsx&amp;sheet=U0&amp;row=4095&amp;col=7&amp;number=0.0039&amp;sourceID=14","0.0039")</f>
        <v>0.0039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HYPERLINK("http://141.218.60.56/~jnz1568/getInfo.php?workbook=18_08.xlsx&amp;sheet=U0&amp;row=4096&amp;col=6&amp;number=4.2&amp;sourceID=14","4.2")</f>
        <v>4.2</v>
      </c>
      <c r="G4096" s="4" t="str">
        <f>HYPERLINK("http://141.218.60.56/~jnz1568/getInfo.php?workbook=18_08.xlsx&amp;sheet=U0&amp;row=4096&amp;col=7&amp;number=0.00389&amp;sourceID=14","0.00389")</f>
        <v>0.00389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HYPERLINK("http://141.218.60.56/~jnz1568/getInfo.php?workbook=18_08.xlsx&amp;sheet=U0&amp;row=4097&amp;col=6&amp;number=4.3&amp;sourceID=14","4.3")</f>
        <v>4.3</v>
      </c>
      <c r="G4097" s="4" t="str">
        <f>HYPERLINK("http://141.218.60.56/~jnz1568/getInfo.php?workbook=18_08.xlsx&amp;sheet=U0&amp;row=4097&amp;col=7&amp;number=0.00389&amp;sourceID=14","0.00389")</f>
        <v>0.00389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HYPERLINK("http://141.218.60.56/~jnz1568/getInfo.php?workbook=18_08.xlsx&amp;sheet=U0&amp;row=4098&amp;col=6&amp;number=4.4&amp;sourceID=14","4.4")</f>
        <v>4.4</v>
      </c>
      <c r="G4098" s="4" t="str">
        <f>HYPERLINK("http://141.218.60.56/~jnz1568/getInfo.php?workbook=18_08.xlsx&amp;sheet=U0&amp;row=4098&amp;col=7&amp;number=0.00389&amp;sourceID=14","0.00389")</f>
        <v>0.00389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HYPERLINK("http://141.218.60.56/~jnz1568/getInfo.php?workbook=18_08.xlsx&amp;sheet=U0&amp;row=4099&amp;col=6&amp;number=4.5&amp;sourceID=14","4.5")</f>
        <v>4.5</v>
      </c>
      <c r="G4099" s="4" t="str">
        <f>HYPERLINK("http://141.218.60.56/~jnz1568/getInfo.php?workbook=18_08.xlsx&amp;sheet=U0&amp;row=4099&amp;col=7&amp;number=0.00388&amp;sourceID=14","0.00388")</f>
        <v>0.00388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HYPERLINK("http://141.218.60.56/~jnz1568/getInfo.php?workbook=18_08.xlsx&amp;sheet=U0&amp;row=4100&amp;col=6&amp;number=4.6&amp;sourceID=14","4.6")</f>
        <v>4.6</v>
      </c>
      <c r="G4100" s="4" t="str">
        <f>HYPERLINK("http://141.218.60.56/~jnz1568/getInfo.php?workbook=18_08.xlsx&amp;sheet=U0&amp;row=4100&amp;col=7&amp;number=0.00387&amp;sourceID=14","0.00387")</f>
        <v>0.00387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HYPERLINK("http://141.218.60.56/~jnz1568/getInfo.php?workbook=18_08.xlsx&amp;sheet=U0&amp;row=4101&amp;col=6&amp;number=4.7&amp;sourceID=14","4.7")</f>
        <v>4.7</v>
      </c>
      <c r="G4101" s="4" t="str">
        <f>HYPERLINK("http://141.218.60.56/~jnz1568/getInfo.php?workbook=18_08.xlsx&amp;sheet=U0&amp;row=4101&amp;col=7&amp;number=0.00387&amp;sourceID=14","0.00387")</f>
        <v>0.00387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HYPERLINK("http://141.218.60.56/~jnz1568/getInfo.php?workbook=18_08.xlsx&amp;sheet=U0&amp;row=4102&amp;col=6&amp;number=4.8&amp;sourceID=14","4.8")</f>
        <v>4.8</v>
      </c>
      <c r="G4102" s="4" t="str">
        <f>HYPERLINK("http://141.218.60.56/~jnz1568/getInfo.php?workbook=18_08.xlsx&amp;sheet=U0&amp;row=4102&amp;col=7&amp;number=0.00386&amp;sourceID=14","0.00386")</f>
        <v>0.00386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HYPERLINK("http://141.218.60.56/~jnz1568/getInfo.php?workbook=18_08.xlsx&amp;sheet=U0&amp;row=4103&amp;col=6&amp;number=4.9&amp;sourceID=14","4.9")</f>
        <v>4.9</v>
      </c>
      <c r="G4103" s="4" t="str">
        <f>HYPERLINK("http://141.218.60.56/~jnz1568/getInfo.php?workbook=18_08.xlsx&amp;sheet=U0&amp;row=4103&amp;col=7&amp;number=0.00384&amp;sourceID=14","0.00384")</f>
        <v>0.00384</v>
      </c>
    </row>
    <row r="4104" spans="1:7">
      <c r="A4104" s="3">
        <v>18</v>
      </c>
      <c r="B4104" s="3">
        <v>8</v>
      </c>
      <c r="C4104" s="3" t="s">
        <v>65</v>
      </c>
      <c r="D4104" s="3">
        <v>0</v>
      </c>
      <c r="E4104" s="3">
        <v>1</v>
      </c>
      <c r="F4104" s="4" t="str">
        <f>HYPERLINK("http://141.218.60.56/~jnz1568/getInfo.php?workbook=18_08.xlsx&amp;sheet=U0&amp;row=4104&amp;col=6&amp;number=3&amp;sourceID=14","3")</f>
        <v>3</v>
      </c>
      <c r="G4104" s="4" t="str">
        <f>HYPERLINK("http://141.218.60.56/~jnz1568/getInfo.php?workbook=18_08.xlsx&amp;sheet=U0&amp;row=4104&amp;col=7&amp;number=0.00457&amp;sourceID=14","0.00457")</f>
        <v>0.00457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HYPERLINK("http://141.218.60.56/~jnz1568/getInfo.php?workbook=18_08.xlsx&amp;sheet=U0&amp;row=4105&amp;col=6&amp;number=3.1&amp;sourceID=14","3.1")</f>
        <v>3.1</v>
      </c>
      <c r="G4105" s="4" t="str">
        <f>HYPERLINK("http://141.218.60.56/~jnz1568/getInfo.php?workbook=18_08.xlsx&amp;sheet=U0&amp;row=4105&amp;col=7&amp;number=0.00457&amp;sourceID=14","0.00457")</f>
        <v>0.00457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HYPERLINK("http://141.218.60.56/~jnz1568/getInfo.php?workbook=18_08.xlsx&amp;sheet=U0&amp;row=4106&amp;col=6&amp;number=3.2&amp;sourceID=14","3.2")</f>
        <v>3.2</v>
      </c>
      <c r="G4106" s="4" t="str">
        <f>HYPERLINK("http://141.218.60.56/~jnz1568/getInfo.php?workbook=18_08.xlsx&amp;sheet=U0&amp;row=4106&amp;col=7&amp;number=0.00457&amp;sourceID=14","0.00457")</f>
        <v>0.00457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HYPERLINK("http://141.218.60.56/~jnz1568/getInfo.php?workbook=18_08.xlsx&amp;sheet=U0&amp;row=4107&amp;col=6&amp;number=3.3&amp;sourceID=14","3.3")</f>
        <v>3.3</v>
      </c>
      <c r="G4107" s="4" t="str">
        <f>HYPERLINK("http://141.218.60.56/~jnz1568/getInfo.php?workbook=18_08.xlsx&amp;sheet=U0&amp;row=4107&amp;col=7&amp;number=0.00457&amp;sourceID=14","0.00457")</f>
        <v>0.00457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HYPERLINK("http://141.218.60.56/~jnz1568/getInfo.php?workbook=18_08.xlsx&amp;sheet=U0&amp;row=4108&amp;col=6&amp;number=3.4&amp;sourceID=14","3.4")</f>
        <v>3.4</v>
      </c>
      <c r="G4108" s="4" t="str">
        <f>HYPERLINK("http://141.218.60.56/~jnz1568/getInfo.php?workbook=18_08.xlsx&amp;sheet=U0&amp;row=4108&amp;col=7&amp;number=0.00457&amp;sourceID=14","0.00457")</f>
        <v>0.00457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HYPERLINK("http://141.218.60.56/~jnz1568/getInfo.php?workbook=18_08.xlsx&amp;sheet=U0&amp;row=4109&amp;col=6&amp;number=3.5&amp;sourceID=14","3.5")</f>
        <v>3.5</v>
      </c>
      <c r="G4109" s="4" t="str">
        <f>HYPERLINK("http://141.218.60.56/~jnz1568/getInfo.php?workbook=18_08.xlsx&amp;sheet=U0&amp;row=4109&amp;col=7&amp;number=0.00457&amp;sourceID=14","0.00457")</f>
        <v>0.00457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HYPERLINK("http://141.218.60.56/~jnz1568/getInfo.php?workbook=18_08.xlsx&amp;sheet=U0&amp;row=4110&amp;col=6&amp;number=3.6&amp;sourceID=14","3.6")</f>
        <v>3.6</v>
      </c>
      <c r="G4110" s="4" t="str">
        <f>HYPERLINK("http://141.218.60.56/~jnz1568/getInfo.php?workbook=18_08.xlsx&amp;sheet=U0&amp;row=4110&amp;col=7&amp;number=0.00456&amp;sourceID=14","0.00456")</f>
        <v>0.00456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HYPERLINK("http://141.218.60.56/~jnz1568/getInfo.php?workbook=18_08.xlsx&amp;sheet=U0&amp;row=4111&amp;col=6&amp;number=3.7&amp;sourceID=14","3.7")</f>
        <v>3.7</v>
      </c>
      <c r="G4111" s="4" t="str">
        <f>HYPERLINK("http://141.218.60.56/~jnz1568/getInfo.php?workbook=18_08.xlsx&amp;sheet=U0&amp;row=4111&amp;col=7&amp;number=0.00456&amp;sourceID=14","0.00456")</f>
        <v>0.00456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HYPERLINK("http://141.218.60.56/~jnz1568/getInfo.php?workbook=18_08.xlsx&amp;sheet=U0&amp;row=4112&amp;col=6&amp;number=3.8&amp;sourceID=14","3.8")</f>
        <v>3.8</v>
      </c>
      <c r="G4112" s="4" t="str">
        <f>HYPERLINK("http://141.218.60.56/~jnz1568/getInfo.php?workbook=18_08.xlsx&amp;sheet=U0&amp;row=4112&amp;col=7&amp;number=0.00456&amp;sourceID=14","0.00456")</f>
        <v>0.00456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HYPERLINK("http://141.218.60.56/~jnz1568/getInfo.php?workbook=18_08.xlsx&amp;sheet=U0&amp;row=4113&amp;col=6&amp;number=3.9&amp;sourceID=14","3.9")</f>
        <v>3.9</v>
      </c>
      <c r="G4113" s="4" t="str">
        <f>HYPERLINK("http://141.218.60.56/~jnz1568/getInfo.php?workbook=18_08.xlsx&amp;sheet=U0&amp;row=4113&amp;col=7&amp;number=0.00456&amp;sourceID=14","0.00456")</f>
        <v>0.00456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HYPERLINK("http://141.218.60.56/~jnz1568/getInfo.php?workbook=18_08.xlsx&amp;sheet=U0&amp;row=4114&amp;col=6&amp;number=4&amp;sourceID=14","4")</f>
        <v>4</v>
      </c>
      <c r="G4114" s="4" t="str">
        <f>HYPERLINK("http://141.218.60.56/~jnz1568/getInfo.php?workbook=18_08.xlsx&amp;sheet=U0&amp;row=4114&amp;col=7&amp;number=0.00455&amp;sourceID=14","0.00455")</f>
        <v>0.00455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HYPERLINK("http://141.218.60.56/~jnz1568/getInfo.php?workbook=18_08.xlsx&amp;sheet=U0&amp;row=4115&amp;col=6&amp;number=4.1&amp;sourceID=14","4.1")</f>
        <v>4.1</v>
      </c>
      <c r="G4115" s="4" t="str">
        <f>HYPERLINK("http://141.218.60.56/~jnz1568/getInfo.php?workbook=18_08.xlsx&amp;sheet=U0&amp;row=4115&amp;col=7&amp;number=0.00455&amp;sourceID=14","0.00455")</f>
        <v>0.00455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HYPERLINK("http://141.218.60.56/~jnz1568/getInfo.php?workbook=18_08.xlsx&amp;sheet=U0&amp;row=4116&amp;col=6&amp;number=4.2&amp;sourceID=14","4.2")</f>
        <v>4.2</v>
      </c>
      <c r="G4116" s="4" t="str">
        <f>HYPERLINK("http://141.218.60.56/~jnz1568/getInfo.php?workbook=18_08.xlsx&amp;sheet=U0&amp;row=4116&amp;col=7&amp;number=0.00455&amp;sourceID=14","0.00455")</f>
        <v>0.00455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HYPERLINK("http://141.218.60.56/~jnz1568/getInfo.php?workbook=18_08.xlsx&amp;sheet=U0&amp;row=4117&amp;col=6&amp;number=4.3&amp;sourceID=14","4.3")</f>
        <v>4.3</v>
      </c>
      <c r="G4117" s="4" t="str">
        <f>HYPERLINK("http://141.218.60.56/~jnz1568/getInfo.php?workbook=18_08.xlsx&amp;sheet=U0&amp;row=4117&amp;col=7&amp;number=0.00454&amp;sourceID=14","0.00454")</f>
        <v>0.00454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HYPERLINK("http://141.218.60.56/~jnz1568/getInfo.php?workbook=18_08.xlsx&amp;sheet=U0&amp;row=4118&amp;col=6&amp;number=4.4&amp;sourceID=14","4.4")</f>
        <v>4.4</v>
      </c>
      <c r="G4118" s="4" t="str">
        <f>HYPERLINK("http://141.218.60.56/~jnz1568/getInfo.php?workbook=18_08.xlsx&amp;sheet=U0&amp;row=4118&amp;col=7&amp;number=0.00453&amp;sourceID=14","0.00453")</f>
        <v>0.00453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HYPERLINK("http://141.218.60.56/~jnz1568/getInfo.php?workbook=18_08.xlsx&amp;sheet=U0&amp;row=4119&amp;col=6&amp;number=4.5&amp;sourceID=14","4.5")</f>
        <v>4.5</v>
      </c>
      <c r="G4119" s="4" t="str">
        <f>HYPERLINK("http://141.218.60.56/~jnz1568/getInfo.php?workbook=18_08.xlsx&amp;sheet=U0&amp;row=4119&amp;col=7&amp;number=0.00452&amp;sourceID=14","0.00452")</f>
        <v>0.00452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HYPERLINK("http://141.218.60.56/~jnz1568/getInfo.php?workbook=18_08.xlsx&amp;sheet=U0&amp;row=4120&amp;col=6&amp;number=4.6&amp;sourceID=14","4.6")</f>
        <v>4.6</v>
      </c>
      <c r="G4120" s="4" t="str">
        <f>HYPERLINK("http://141.218.60.56/~jnz1568/getInfo.php?workbook=18_08.xlsx&amp;sheet=U0&amp;row=4120&amp;col=7&amp;number=0.00451&amp;sourceID=14","0.00451")</f>
        <v>0.00451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HYPERLINK("http://141.218.60.56/~jnz1568/getInfo.php?workbook=18_08.xlsx&amp;sheet=U0&amp;row=4121&amp;col=6&amp;number=4.7&amp;sourceID=14","4.7")</f>
        <v>4.7</v>
      </c>
      <c r="G4121" s="4" t="str">
        <f>HYPERLINK("http://141.218.60.56/~jnz1568/getInfo.php?workbook=18_08.xlsx&amp;sheet=U0&amp;row=4121&amp;col=7&amp;number=0.00449&amp;sourceID=14","0.00449")</f>
        <v>0.00449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HYPERLINK("http://141.218.60.56/~jnz1568/getInfo.php?workbook=18_08.xlsx&amp;sheet=U0&amp;row=4122&amp;col=6&amp;number=4.8&amp;sourceID=14","4.8")</f>
        <v>4.8</v>
      </c>
      <c r="G4122" s="4" t="str">
        <f>HYPERLINK("http://141.218.60.56/~jnz1568/getInfo.php?workbook=18_08.xlsx&amp;sheet=U0&amp;row=4122&amp;col=7&amp;number=0.00447&amp;sourceID=14","0.00447")</f>
        <v>0.00447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HYPERLINK("http://141.218.60.56/~jnz1568/getInfo.php?workbook=18_08.xlsx&amp;sheet=U0&amp;row=4123&amp;col=6&amp;number=4.9&amp;sourceID=14","4.9")</f>
        <v>4.9</v>
      </c>
      <c r="G4123" s="4" t="str">
        <f>HYPERLINK("http://141.218.60.56/~jnz1568/getInfo.php?workbook=18_08.xlsx&amp;sheet=U0&amp;row=4123&amp;col=7&amp;number=0.00445&amp;sourceID=14","0.00445")</f>
        <v>0.00445</v>
      </c>
    </row>
    <row r="4124" spans="1:7">
      <c r="A4124" s="3">
        <v>18</v>
      </c>
      <c r="B4124" s="3">
        <v>8</v>
      </c>
      <c r="C4124" s="3" t="s">
        <v>65</v>
      </c>
      <c r="D4124" s="3">
        <v>1</v>
      </c>
      <c r="E4124" s="3">
        <v>1</v>
      </c>
      <c r="F4124" s="4" t="str">
        <f>HYPERLINK("http://141.218.60.56/~jnz1568/getInfo.php?workbook=18_08.xlsx&amp;sheet=U0&amp;row=4124&amp;col=6&amp;number=3&amp;sourceID=14","3")</f>
        <v>3</v>
      </c>
      <c r="G4124" s="4" t="str">
        <f>HYPERLINK("http://141.218.60.56/~jnz1568/getInfo.php?workbook=18_08.xlsx&amp;sheet=U0&amp;row=4124&amp;col=7&amp;number=0.0039&amp;sourceID=14","0.0039")</f>
        <v>0.0039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HYPERLINK("http://141.218.60.56/~jnz1568/getInfo.php?workbook=18_08.xlsx&amp;sheet=U0&amp;row=4125&amp;col=6&amp;number=3.1&amp;sourceID=14","3.1")</f>
        <v>3.1</v>
      </c>
      <c r="G4125" s="4" t="str">
        <f>HYPERLINK("http://141.218.60.56/~jnz1568/getInfo.php?workbook=18_08.xlsx&amp;sheet=U0&amp;row=4125&amp;col=7&amp;number=0.0039&amp;sourceID=14","0.0039")</f>
        <v>0.0039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HYPERLINK("http://141.218.60.56/~jnz1568/getInfo.php?workbook=18_08.xlsx&amp;sheet=U0&amp;row=4126&amp;col=6&amp;number=3.2&amp;sourceID=14","3.2")</f>
        <v>3.2</v>
      </c>
      <c r="G4126" s="4" t="str">
        <f>HYPERLINK("http://141.218.60.56/~jnz1568/getInfo.php?workbook=18_08.xlsx&amp;sheet=U0&amp;row=4126&amp;col=7&amp;number=0.0039&amp;sourceID=14","0.0039")</f>
        <v>0.0039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HYPERLINK("http://141.218.60.56/~jnz1568/getInfo.php?workbook=18_08.xlsx&amp;sheet=U0&amp;row=4127&amp;col=6&amp;number=3.3&amp;sourceID=14","3.3")</f>
        <v>3.3</v>
      </c>
      <c r="G4127" s="4" t="str">
        <f>HYPERLINK("http://141.218.60.56/~jnz1568/getInfo.php?workbook=18_08.xlsx&amp;sheet=U0&amp;row=4127&amp;col=7&amp;number=0.0039&amp;sourceID=14","0.0039")</f>
        <v>0.0039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HYPERLINK("http://141.218.60.56/~jnz1568/getInfo.php?workbook=18_08.xlsx&amp;sheet=U0&amp;row=4128&amp;col=6&amp;number=3.4&amp;sourceID=14","3.4")</f>
        <v>3.4</v>
      </c>
      <c r="G4128" s="4" t="str">
        <f>HYPERLINK("http://141.218.60.56/~jnz1568/getInfo.php?workbook=18_08.xlsx&amp;sheet=U0&amp;row=4128&amp;col=7&amp;number=0.0039&amp;sourceID=14","0.0039")</f>
        <v>0.0039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HYPERLINK("http://141.218.60.56/~jnz1568/getInfo.php?workbook=18_08.xlsx&amp;sheet=U0&amp;row=4129&amp;col=6&amp;number=3.5&amp;sourceID=14","3.5")</f>
        <v>3.5</v>
      </c>
      <c r="G4129" s="4" t="str">
        <f>HYPERLINK("http://141.218.60.56/~jnz1568/getInfo.php?workbook=18_08.xlsx&amp;sheet=U0&amp;row=4129&amp;col=7&amp;number=0.0039&amp;sourceID=14","0.0039")</f>
        <v>0.0039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HYPERLINK("http://141.218.60.56/~jnz1568/getInfo.php?workbook=18_08.xlsx&amp;sheet=U0&amp;row=4130&amp;col=6&amp;number=3.6&amp;sourceID=14","3.6")</f>
        <v>3.6</v>
      </c>
      <c r="G4130" s="4" t="str">
        <f>HYPERLINK("http://141.218.60.56/~jnz1568/getInfo.php?workbook=18_08.xlsx&amp;sheet=U0&amp;row=4130&amp;col=7&amp;number=0.0039&amp;sourceID=14","0.0039")</f>
        <v>0.0039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HYPERLINK("http://141.218.60.56/~jnz1568/getInfo.php?workbook=18_08.xlsx&amp;sheet=U0&amp;row=4131&amp;col=6&amp;number=3.7&amp;sourceID=14","3.7")</f>
        <v>3.7</v>
      </c>
      <c r="G4131" s="4" t="str">
        <f>HYPERLINK("http://141.218.60.56/~jnz1568/getInfo.php?workbook=18_08.xlsx&amp;sheet=U0&amp;row=4131&amp;col=7&amp;number=0.0039&amp;sourceID=14","0.0039")</f>
        <v>0.0039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HYPERLINK("http://141.218.60.56/~jnz1568/getInfo.php?workbook=18_08.xlsx&amp;sheet=U0&amp;row=4132&amp;col=6&amp;number=3.8&amp;sourceID=14","3.8")</f>
        <v>3.8</v>
      </c>
      <c r="G4132" s="4" t="str">
        <f>HYPERLINK("http://141.218.60.56/~jnz1568/getInfo.php?workbook=18_08.xlsx&amp;sheet=U0&amp;row=4132&amp;col=7&amp;number=0.0039&amp;sourceID=14","0.0039")</f>
        <v>0.0039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HYPERLINK("http://141.218.60.56/~jnz1568/getInfo.php?workbook=18_08.xlsx&amp;sheet=U0&amp;row=4133&amp;col=6&amp;number=3.9&amp;sourceID=14","3.9")</f>
        <v>3.9</v>
      </c>
      <c r="G4133" s="4" t="str">
        <f>HYPERLINK("http://141.218.60.56/~jnz1568/getInfo.php?workbook=18_08.xlsx&amp;sheet=U0&amp;row=4133&amp;col=7&amp;number=0.00389&amp;sourceID=14","0.00389")</f>
        <v>0.00389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HYPERLINK("http://141.218.60.56/~jnz1568/getInfo.php?workbook=18_08.xlsx&amp;sheet=U0&amp;row=4134&amp;col=6&amp;number=4&amp;sourceID=14","4")</f>
        <v>4</v>
      </c>
      <c r="G4134" s="4" t="str">
        <f>HYPERLINK("http://141.218.60.56/~jnz1568/getInfo.php?workbook=18_08.xlsx&amp;sheet=U0&amp;row=4134&amp;col=7&amp;number=0.00389&amp;sourceID=14","0.00389")</f>
        <v>0.00389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HYPERLINK("http://141.218.60.56/~jnz1568/getInfo.php?workbook=18_08.xlsx&amp;sheet=U0&amp;row=4135&amp;col=6&amp;number=4.1&amp;sourceID=14","4.1")</f>
        <v>4.1</v>
      </c>
      <c r="G4135" s="4" t="str">
        <f>HYPERLINK("http://141.218.60.56/~jnz1568/getInfo.php?workbook=18_08.xlsx&amp;sheet=U0&amp;row=4135&amp;col=7&amp;number=0.00389&amp;sourceID=14","0.00389")</f>
        <v>0.00389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HYPERLINK("http://141.218.60.56/~jnz1568/getInfo.php?workbook=18_08.xlsx&amp;sheet=U0&amp;row=4136&amp;col=6&amp;number=4.2&amp;sourceID=14","4.2")</f>
        <v>4.2</v>
      </c>
      <c r="G4136" s="4" t="str">
        <f>HYPERLINK("http://141.218.60.56/~jnz1568/getInfo.php?workbook=18_08.xlsx&amp;sheet=U0&amp;row=4136&amp;col=7&amp;number=0.00388&amp;sourceID=14","0.00388")</f>
        <v>0.00388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HYPERLINK("http://141.218.60.56/~jnz1568/getInfo.php?workbook=18_08.xlsx&amp;sheet=U0&amp;row=4137&amp;col=6&amp;number=4.3&amp;sourceID=14","4.3")</f>
        <v>4.3</v>
      </c>
      <c r="G4137" s="4" t="str">
        <f>HYPERLINK("http://141.218.60.56/~jnz1568/getInfo.php?workbook=18_08.xlsx&amp;sheet=U0&amp;row=4137&amp;col=7&amp;number=0.00388&amp;sourceID=14","0.00388")</f>
        <v>0.00388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HYPERLINK("http://141.218.60.56/~jnz1568/getInfo.php?workbook=18_08.xlsx&amp;sheet=U0&amp;row=4138&amp;col=6&amp;number=4.4&amp;sourceID=14","4.4")</f>
        <v>4.4</v>
      </c>
      <c r="G4138" s="4" t="str">
        <f>HYPERLINK("http://141.218.60.56/~jnz1568/getInfo.php?workbook=18_08.xlsx&amp;sheet=U0&amp;row=4138&amp;col=7&amp;number=0.00387&amp;sourceID=14","0.00387")</f>
        <v>0.00387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HYPERLINK("http://141.218.60.56/~jnz1568/getInfo.php?workbook=18_08.xlsx&amp;sheet=U0&amp;row=4139&amp;col=6&amp;number=4.5&amp;sourceID=14","4.5")</f>
        <v>4.5</v>
      </c>
      <c r="G4139" s="4" t="str">
        <f>HYPERLINK("http://141.218.60.56/~jnz1568/getInfo.php?workbook=18_08.xlsx&amp;sheet=U0&amp;row=4139&amp;col=7&amp;number=0.00386&amp;sourceID=14","0.00386")</f>
        <v>0.00386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HYPERLINK("http://141.218.60.56/~jnz1568/getInfo.php?workbook=18_08.xlsx&amp;sheet=U0&amp;row=4140&amp;col=6&amp;number=4.6&amp;sourceID=14","4.6")</f>
        <v>4.6</v>
      </c>
      <c r="G4140" s="4" t="str">
        <f>HYPERLINK("http://141.218.60.56/~jnz1568/getInfo.php?workbook=18_08.xlsx&amp;sheet=U0&amp;row=4140&amp;col=7&amp;number=0.00385&amp;sourceID=14","0.00385")</f>
        <v>0.00385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HYPERLINK("http://141.218.60.56/~jnz1568/getInfo.php?workbook=18_08.xlsx&amp;sheet=U0&amp;row=4141&amp;col=6&amp;number=4.7&amp;sourceID=14","4.7")</f>
        <v>4.7</v>
      </c>
      <c r="G4141" s="4" t="str">
        <f>HYPERLINK("http://141.218.60.56/~jnz1568/getInfo.php?workbook=18_08.xlsx&amp;sheet=U0&amp;row=4141&amp;col=7&amp;number=0.00383&amp;sourceID=14","0.00383")</f>
        <v>0.00383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HYPERLINK("http://141.218.60.56/~jnz1568/getInfo.php?workbook=18_08.xlsx&amp;sheet=U0&amp;row=4142&amp;col=6&amp;number=4.8&amp;sourceID=14","4.8")</f>
        <v>4.8</v>
      </c>
      <c r="G4142" s="4" t="str">
        <f>HYPERLINK("http://141.218.60.56/~jnz1568/getInfo.php?workbook=18_08.xlsx&amp;sheet=U0&amp;row=4142&amp;col=7&amp;number=0.00382&amp;sourceID=14","0.00382")</f>
        <v>0.00382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HYPERLINK("http://141.218.60.56/~jnz1568/getInfo.php?workbook=18_08.xlsx&amp;sheet=U0&amp;row=4143&amp;col=6&amp;number=4.9&amp;sourceID=14","4.9")</f>
        <v>4.9</v>
      </c>
      <c r="G4143" s="4" t="str">
        <f>HYPERLINK("http://141.218.60.56/~jnz1568/getInfo.php?workbook=18_08.xlsx&amp;sheet=U0&amp;row=4143&amp;col=7&amp;number=0.00379&amp;sourceID=14","0.00379")</f>
        <v>0.00379</v>
      </c>
    </row>
    <row r="4144" spans="1:7">
      <c r="A4144" s="3">
        <v>18</v>
      </c>
      <c r="B4144" s="3">
        <v>8</v>
      </c>
      <c r="C4144" s="3" t="s">
        <v>65</v>
      </c>
      <c r="D4144" s="3">
        <v>2</v>
      </c>
      <c r="E4144" s="3">
        <v>1</v>
      </c>
      <c r="F4144" s="4" t="str">
        <f>HYPERLINK("http://141.218.60.56/~jnz1568/getInfo.php?workbook=18_08.xlsx&amp;sheet=U0&amp;row=4144&amp;col=6&amp;number=3&amp;sourceID=14","3")</f>
        <v>3</v>
      </c>
      <c r="G4144" s="4" t="str">
        <f>HYPERLINK("http://141.218.60.56/~jnz1568/getInfo.php?workbook=18_08.xlsx&amp;sheet=U0&amp;row=4144&amp;col=7&amp;number=0.00655&amp;sourceID=14","0.00655")</f>
        <v>0.00655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HYPERLINK("http://141.218.60.56/~jnz1568/getInfo.php?workbook=18_08.xlsx&amp;sheet=U0&amp;row=4145&amp;col=6&amp;number=3.1&amp;sourceID=14","3.1")</f>
        <v>3.1</v>
      </c>
      <c r="G4145" s="4" t="str">
        <f>HYPERLINK("http://141.218.60.56/~jnz1568/getInfo.php?workbook=18_08.xlsx&amp;sheet=U0&amp;row=4145&amp;col=7&amp;number=0.00655&amp;sourceID=14","0.00655")</f>
        <v>0.00655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HYPERLINK("http://141.218.60.56/~jnz1568/getInfo.php?workbook=18_08.xlsx&amp;sheet=U0&amp;row=4146&amp;col=6&amp;number=3.2&amp;sourceID=14","3.2")</f>
        <v>3.2</v>
      </c>
      <c r="G4146" s="4" t="str">
        <f>HYPERLINK("http://141.218.60.56/~jnz1568/getInfo.php?workbook=18_08.xlsx&amp;sheet=U0&amp;row=4146&amp;col=7&amp;number=0.00655&amp;sourceID=14","0.00655")</f>
        <v>0.00655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HYPERLINK("http://141.218.60.56/~jnz1568/getInfo.php?workbook=18_08.xlsx&amp;sheet=U0&amp;row=4147&amp;col=6&amp;number=3.3&amp;sourceID=14","3.3")</f>
        <v>3.3</v>
      </c>
      <c r="G4147" s="4" t="str">
        <f>HYPERLINK("http://141.218.60.56/~jnz1568/getInfo.php?workbook=18_08.xlsx&amp;sheet=U0&amp;row=4147&amp;col=7&amp;number=0.00655&amp;sourceID=14","0.00655")</f>
        <v>0.00655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HYPERLINK("http://141.218.60.56/~jnz1568/getInfo.php?workbook=18_08.xlsx&amp;sheet=U0&amp;row=4148&amp;col=6&amp;number=3.4&amp;sourceID=14","3.4")</f>
        <v>3.4</v>
      </c>
      <c r="G4148" s="4" t="str">
        <f>HYPERLINK("http://141.218.60.56/~jnz1568/getInfo.php?workbook=18_08.xlsx&amp;sheet=U0&amp;row=4148&amp;col=7&amp;number=0.00654&amp;sourceID=14","0.00654")</f>
        <v>0.00654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HYPERLINK("http://141.218.60.56/~jnz1568/getInfo.php?workbook=18_08.xlsx&amp;sheet=U0&amp;row=4149&amp;col=6&amp;number=3.5&amp;sourceID=14","3.5")</f>
        <v>3.5</v>
      </c>
      <c r="G4149" s="4" t="str">
        <f>HYPERLINK("http://141.218.60.56/~jnz1568/getInfo.php?workbook=18_08.xlsx&amp;sheet=U0&amp;row=4149&amp;col=7&amp;number=0.00654&amp;sourceID=14","0.00654")</f>
        <v>0.00654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HYPERLINK("http://141.218.60.56/~jnz1568/getInfo.php?workbook=18_08.xlsx&amp;sheet=U0&amp;row=4150&amp;col=6&amp;number=3.6&amp;sourceID=14","3.6")</f>
        <v>3.6</v>
      </c>
      <c r="G4150" s="4" t="str">
        <f>HYPERLINK("http://141.218.60.56/~jnz1568/getInfo.php?workbook=18_08.xlsx&amp;sheet=U0&amp;row=4150&amp;col=7&amp;number=0.00654&amp;sourceID=14","0.00654")</f>
        <v>0.00654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HYPERLINK("http://141.218.60.56/~jnz1568/getInfo.php?workbook=18_08.xlsx&amp;sheet=U0&amp;row=4151&amp;col=6&amp;number=3.7&amp;sourceID=14","3.7")</f>
        <v>3.7</v>
      </c>
      <c r="G4151" s="4" t="str">
        <f>HYPERLINK("http://141.218.60.56/~jnz1568/getInfo.php?workbook=18_08.xlsx&amp;sheet=U0&amp;row=4151&amp;col=7&amp;number=0.00654&amp;sourceID=14","0.00654")</f>
        <v>0.00654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HYPERLINK("http://141.218.60.56/~jnz1568/getInfo.php?workbook=18_08.xlsx&amp;sheet=U0&amp;row=4152&amp;col=6&amp;number=3.8&amp;sourceID=14","3.8")</f>
        <v>3.8</v>
      </c>
      <c r="G4152" s="4" t="str">
        <f>HYPERLINK("http://141.218.60.56/~jnz1568/getInfo.php?workbook=18_08.xlsx&amp;sheet=U0&amp;row=4152&amp;col=7&amp;number=0.00654&amp;sourceID=14","0.00654")</f>
        <v>0.00654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HYPERLINK("http://141.218.60.56/~jnz1568/getInfo.php?workbook=18_08.xlsx&amp;sheet=U0&amp;row=4153&amp;col=6&amp;number=3.9&amp;sourceID=14","3.9")</f>
        <v>3.9</v>
      </c>
      <c r="G4153" s="4" t="str">
        <f>HYPERLINK("http://141.218.60.56/~jnz1568/getInfo.php?workbook=18_08.xlsx&amp;sheet=U0&amp;row=4153&amp;col=7&amp;number=0.00653&amp;sourceID=14","0.00653")</f>
        <v>0.00653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HYPERLINK("http://141.218.60.56/~jnz1568/getInfo.php?workbook=18_08.xlsx&amp;sheet=U0&amp;row=4154&amp;col=6&amp;number=4&amp;sourceID=14","4")</f>
        <v>4</v>
      </c>
      <c r="G4154" s="4" t="str">
        <f>HYPERLINK("http://141.218.60.56/~jnz1568/getInfo.php?workbook=18_08.xlsx&amp;sheet=U0&amp;row=4154&amp;col=7&amp;number=0.00653&amp;sourceID=14","0.00653")</f>
        <v>0.00653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HYPERLINK("http://141.218.60.56/~jnz1568/getInfo.php?workbook=18_08.xlsx&amp;sheet=U0&amp;row=4155&amp;col=6&amp;number=4.1&amp;sourceID=14","4.1")</f>
        <v>4.1</v>
      </c>
      <c r="G4155" s="4" t="str">
        <f>HYPERLINK("http://141.218.60.56/~jnz1568/getInfo.php?workbook=18_08.xlsx&amp;sheet=U0&amp;row=4155&amp;col=7&amp;number=0.00652&amp;sourceID=14","0.00652")</f>
        <v>0.00652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HYPERLINK("http://141.218.60.56/~jnz1568/getInfo.php?workbook=18_08.xlsx&amp;sheet=U0&amp;row=4156&amp;col=6&amp;number=4.2&amp;sourceID=14","4.2")</f>
        <v>4.2</v>
      </c>
      <c r="G4156" s="4" t="str">
        <f>HYPERLINK("http://141.218.60.56/~jnz1568/getInfo.php?workbook=18_08.xlsx&amp;sheet=U0&amp;row=4156&amp;col=7&amp;number=0.00651&amp;sourceID=14","0.00651")</f>
        <v>0.00651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HYPERLINK("http://141.218.60.56/~jnz1568/getInfo.php?workbook=18_08.xlsx&amp;sheet=U0&amp;row=4157&amp;col=6&amp;number=4.3&amp;sourceID=14","4.3")</f>
        <v>4.3</v>
      </c>
      <c r="G4157" s="4" t="str">
        <f>HYPERLINK("http://141.218.60.56/~jnz1568/getInfo.php?workbook=18_08.xlsx&amp;sheet=U0&amp;row=4157&amp;col=7&amp;number=0.00651&amp;sourceID=14","0.00651")</f>
        <v>0.00651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HYPERLINK("http://141.218.60.56/~jnz1568/getInfo.php?workbook=18_08.xlsx&amp;sheet=U0&amp;row=4158&amp;col=6&amp;number=4.4&amp;sourceID=14","4.4")</f>
        <v>4.4</v>
      </c>
      <c r="G4158" s="4" t="str">
        <f>HYPERLINK("http://141.218.60.56/~jnz1568/getInfo.php?workbook=18_08.xlsx&amp;sheet=U0&amp;row=4158&amp;col=7&amp;number=0.00649&amp;sourceID=14","0.00649")</f>
        <v>0.00649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HYPERLINK("http://141.218.60.56/~jnz1568/getInfo.php?workbook=18_08.xlsx&amp;sheet=U0&amp;row=4159&amp;col=6&amp;number=4.5&amp;sourceID=14","4.5")</f>
        <v>4.5</v>
      </c>
      <c r="G4159" s="4" t="str">
        <f>HYPERLINK("http://141.218.60.56/~jnz1568/getInfo.php?workbook=18_08.xlsx&amp;sheet=U0&amp;row=4159&amp;col=7&amp;number=0.00648&amp;sourceID=14","0.00648")</f>
        <v>0.00648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HYPERLINK("http://141.218.60.56/~jnz1568/getInfo.php?workbook=18_08.xlsx&amp;sheet=U0&amp;row=4160&amp;col=6&amp;number=4.6&amp;sourceID=14","4.6")</f>
        <v>4.6</v>
      </c>
      <c r="G4160" s="4" t="str">
        <f>HYPERLINK("http://141.218.60.56/~jnz1568/getInfo.php?workbook=18_08.xlsx&amp;sheet=U0&amp;row=4160&amp;col=7&amp;number=0.00646&amp;sourceID=14","0.00646")</f>
        <v>0.00646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HYPERLINK("http://141.218.60.56/~jnz1568/getInfo.php?workbook=18_08.xlsx&amp;sheet=U0&amp;row=4161&amp;col=6&amp;number=4.7&amp;sourceID=14","4.7")</f>
        <v>4.7</v>
      </c>
      <c r="G4161" s="4" t="str">
        <f>HYPERLINK("http://141.218.60.56/~jnz1568/getInfo.php?workbook=18_08.xlsx&amp;sheet=U0&amp;row=4161&amp;col=7&amp;number=0.00644&amp;sourceID=14","0.00644")</f>
        <v>0.00644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HYPERLINK("http://141.218.60.56/~jnz1568/getInfo.php?workbook=18_08.xlsx&amp;sheet=U0&amp;row=4162&amp;col=6&amp;number=4.8&amp;sourceID=14","4.8")</f>
        <v>4.8</v>
      </c>
      <c r="G4162" s="4" t="str">
        <f>HYPERLINK("http://141.218.60.56/~jnz1568/getInfo.php?workbook=18_08.xlsx&amp;sheet=U0&amp;row=4162&amp;col=7&amp;number=0.00641&amp;sourceID=14","0.00641")</f>
        <v>0.00641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HYPERLINK("http://141.218.60.56/~jnz1568/getInfo.php?workbook=18_08.xlsx&amp;sheet=U0&amp;row=4163&amp;col=6&amp;number=4.9&amp;sourceID=14","4.9")</f>
        <v>4.9</v>
      </c>
      <c r="G4163" s="4" t="str">
        <f>HYPERLINK("http://141.218.60.56/~jnz1568/getInfo.php?workbook=18_08.xlsx&amp;sheet=U0&amp;row=4163&amp;col=7&amp;number=0.00638&amp;sourceID=14","0.00638")</f>
        <v>0.00638</v>
      </c>
    </row>
    <row r="4164" spans="1:7">
      <c r="A4164" s="3">
        <v>18</v>
      </c>
      <c r="B4164" s="3">
        <v>8</v>
      </c>
      <c r="C4164" s="3" t="s">
        <v>65</v>
      </c>
      <c r="D4164" s="3">
        <v>3</v>
      </c>
      <c r="E4164" s="3">
        <v>1</v>
      </c>
      <c r="F4164" s="4" t="str">
        <f>HYPERLINK("http://141.218.60.56/~jnz1568/getInfo.php?workbook=18_08.xlsx&amp;sheet=U0&amp;row=4164&amp;col=6&amp;number=3&amp;sourceID=14","3")</f>
        <v>3</v>
      </c>
      <c r="G4164" s="4" t="str">
        <f>HYPERLINK("http://141.218.60.56/~jnz1568/getInfo.php?workbook=18_08.xlsx&amp;sheet=U0&amp;row=4164&amp;col=7&amp;number=0.00089&amp;sourceID=14","0.00089")</f>
        <v>0.00089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HYPERLINK("http://141.218.60.56/~jnz1568/getInfo.php?workbook=18_08.xlsx&amp;sheet=U0&amp;row=4165&amp;col=6&amp;number=3.1&amp;sourceID=14","3.1")</f>
        <v>3.1</v>
      </c>
      <c r="G4165" s="4" t="str">
        <f>HYPERLINK("http://141.218.60.56/~jnz1568/getInfo.php?workbook=18_08.xlsx&amp;sheet=U0&amp;row=4165&amp;col=7&amp;number=0.00089&amp;sourceID=14","0.00089")</f>
        <v>0.00089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HYPERLINK("http://141.218.60.56/~jnz1568/getInfo.php?workbook=18_08.xlsx&amp;sheet=U0&amp;row=4166&amp;col=6&amp;number=3.2&amp;sourceID=14","3.2")</f>
        <v>3.2</v>
      </c>
      <c r="G4166" s="4" t="str">
        <f>HYPERLINK("http://141.218.60.56/~jnz1568/getInfo.php?workbook=18_08.xlsx&amp;sheet=U0&amp;row=4166&amp;col=7&amp;number=0.00089&amp;sourceID=14","0.00089")</f>
        <v>0.00089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HYPERLINK("http://141.218.60.56/~jnz1568/getInfo.php?workbook=18_08.xlsx&amp;sheet=U0&amp;row=4167&amp;col=6&amp;number=3.3&amp;sourceID=14","3.3")</f>
        <v>3.3</v>
      </c>
      <c r="G4167" s="4" t="str">
        <f>HYPERLINK("http://141.218.60.56/~jnz1568/getInfo.php?workbook=18_08.xlsx&amp;sheet=U0&amp;row=4167&amp;col=7&amp;number=0.00089&amp;sourceID=14","0.00089")</f>
        <v>0.00089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HYPERLINK("http://141.218.60.56/~jnz1568/getInfo.php?workbook=18_08.xlsx&amp;sheet=U0&amp;row=4168&amp;col=6&amp;number=3.4&amp;sourceID=14","3.4")</f>
        <v>3.4</v>
      </c>
      <c r="G4168" s="4" t="str">
        <f>HYPERLINK("http://141.218.60.56/~jnz1568/getInfo.php?workbook=18_08.xlsx&amp;sheet=U0&amp;row=4168&amp;col=7&amp;number=0.00089&amp;sourceID=14","0.00089")</f>
        <v>0.00089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HYPERLINK("http://141.218.60.56/~jnz1568/getInfo.php?workbook=18_08.xlsx&amp;sheet=U0&amp;row=4169&amp;col=6&amp;number=3.5&amp;sourceID=14","3.5")</f>
        <v>3.5</v>
      </c>
      <c r="G4169" s="4" t="str">
        <f>HYPERLINK("http://141.218.60.56/~jnz1568/getInfo.php?workbook=18_08.xlsx&amp;sheet=U0&amp;row=4169&amp;col=7&amp;number=0.00089&amp;sourceID=14","0.00089")</f>
        <v>0.00089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HYPERLINK("http://141.218.60.56/~jnz1568/getInfo.php?workbook=18_08.xlsx&amp;sheet=U0&amp;row=4170&amp;col=6&amp;number=3.6&amp;sourceID=14","3.6")</f>
        <v>3.6</v>
      </c>
      <c r="G4170" s="4" t="str">
        <f>HYPERLINK("http://141.218.60.56/~jnz1568/getInfo.php?workbook=18_08.xlsx&amp;sheet=U0&amp;row=4170&amp;col=7&amp;number=0.00089&amp;sourceID=14","0.00089")</f>
        <v>0.00089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HYPERLINK("http://141.218.60.56/~jnz1568/getInfo.php?workbook=18_08.xlsx&amp;sheet=U0&amp;row=4171&amp;col=6&amp;number=3.7&amp;sourceID=14","3.7")</f>
        <v>3.7</v>
      </c>
      <c r="G4171" s="4" t="str">
        <f>HYPERLINK("http://141.218.60.56/~jnz1568/getInfo.php?workbook=18_08.xlsx&amp;sheet=U0&amp;row=4171&amp;col=7&amp;number=0.00089&amp;sourceID=14","0.00089")</f>
        <v>0.00089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HYPERLINK("http://141.218.60.56/~jnz1568/getInfo.php?workbook=18_08.xlsx&amp;sheet=U0&amp;row=4172&amp;col=6&amp;number=3.8&amp;sourceID=14","3.8")</f>
        <v>3.8</v>
      </c>
      <c r="G4172" s="4" t="str">
        <f>HYPERLINK("http://141.218.60.56/~jnz1568/getInfo.php?workbook=18_08.xlsx&amp;sheet=U0&amp;row=4172&amp;col=7&amp;number=0.00089&amp;sourceID=14","0.00089")</f>
        <v>0.00089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HYPERLINK("http://141.218.60.56/~jnz1568/getInfo.php?workbook=18_08.xlsx&amp;sheet=U0&amp;row=4173&amp;col=6&amp;number=3.9&amp;sourceID=14","3.9")</f>
        <v>3.9</v>
      </c>
      <c r="G4173" s="4" t="str">
        <f>HYPERLINK("http://141.218.60.56/~jnz1568/getInfo.php?workbook=18_08.xlsx&amp;sheet=U0&amp;row=4173&amp;col=7&amp;number=0.00089&amp;sourceID=14","0.00089")</f>
        <v>0.00089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HYPERLINK("http://141.218.60.56/~jnz1568/getInfo.php?workbook=18_08.xlsx&amp;sheet=U0&amp;row=4174&amp;col=6&amp;number=4&amp;sourceID=14","4")</f>
        <v>4</v>
      </c>
      <c r="G4174" s="4" t="str">
        <f>HYPERLINK("http://141.218.60.56/~jnz1568/getInfo.php?workbook=18_08.xlsx&amp;sheet=U0&amp;row=4174&amp;col=7&amp;number=0.00089&amp;sourceID=14","0.00089")</f>
        <v>0.00089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HYPERLINK("http://141.218.60.56/~jnz1568/getInfo.php?workbook=18_08.xlsx&amp;sheet=U0&amp;row=4175&amp;col=6&amp;number=4.1&amp;sourceID=14","4.1")</f>
        <v>4.1</v>
      </c>
      <c r="G4175" s="4" t="str">
        <f>HYPERLINK("http://141.218.60.56/~jnz1568/getInfo.php?workbook=18_08.xlsx&amp;sheet=U0&amp;row=4175&amp;col=7&amp;number=0.000891&amp;sourceID=14","0.000891")</f>
        <v>0.000891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HYPERLINK("http://141.218.60.56/~jnz1568/getInfo.php?workbook=18_08.xlsx&amp;sheet=U0&amp;row=4176&amp;col=6&amp;number=4.2&amp;sourceID=14","4.2")</f>
        <v>4.2</v>
      </c>
      <c r="G4176" s="4" t="str">
        <f>HYPERLINK("http://141.218.60.56/~jnz1568/getInfo.php?workbook=18_08.xlsx&amp;sheet=U0&amp;row=4176&amp;col=7&amp;number=0.000891&amp;sourceID=14","0.000891")</f>
        <v>0.000891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HYPERLINK("http://141.218.60.56/~jnz1568/getInfo.php?workbook=18_08.xlsx&amp;sheet=U0&amp;row=4177&amp;col=6&amp;number=4.3&amp;sourceID=14","4.3")</f>
        <v>4.3</v>
      </c>
      <c r="G4177" s="4" t="str">
        <f>HYPERLINK("http://141.218.60.56/~jnz1568/getInfo.php?workbook=18_08.xlsx&amp;sheet=U0&amp;row=4177&amp;col=7&amp;number=0.000891&amp;sourceID=14","0.000891")</f>
        <v>0.000891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HYPERLINK("http://141.218.60.56/~jnz1568/getInfo.php?workbook=18_08.xlsx&amp;sheet=U0&amp;row=4178&amp;col=6&amp;number=4.4&amp;sourceID=14","4.4")</f>
        <v>4.4</v>
      </c>
      <c r="G4178" s="4" t="str">
        <f>HYPERLINK("http://141.218.60.56/~jnz1568/getInfo.php?workbook=18_08.xlsx&amp;sheet=U0&amp;row=4178&amp;col=7&amp;number=0.000892&amp;sourceID=14","0.000892")</f>
        <v>0.000892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HYPERLINK("http://141.218.60.56/~jnz1568/getInfo.php?workbook=18_08.xlsx&amp;sheet=U0&amp;row=4179&amp;col=6&amp;number=4.5&amp;sourceID=14","4.5")</f>
        <v>4.5</v>
      </c>
      <c r="G4179" s="4" t="str">
        <f>HYPERLINK("http://141.218.60.56/~jnz1568/getInfo.php?workbook=18_08.xlsx&amp;sheet=U0&amp;row=4179&amp;col=7&amp;number=0.000893&amp;sourceID=14","0.000893")</f>
        <v>0.000893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HYPERLINK("http://141.218.60.56/~jnz1568/getInfo.php?workbook=18_08.xlsx&amp;sheet=U0&amp;row=4180&amp;col=6&amp;number=4.6&amp;sourceID=14","4.6")</f>
        <v>4.6</v>
      </c>
      <c r="G4180" s="4" t="str">
        <f>HYPERLINK("http://141.218.60.56/~jnz1568/getInfo.php?workbook=18_08.xlsx&amp;sheet=U0&amp;row=4180&amp;col=7&amp;number=0.000893&amp;sourceID=14","0.000893")</f>
        <v>0.000893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HYPERLINK("http://141.218.60.56/~jnz1568/getInfo.php?workbook=18_08.xlsx&amp;sheet=U0&amp;row=4181&amp;col=6&amp;number=4.7&amp;sourceID=14","4.7")</f>
        <v>4.7</v>
      </c>
      <c r="G4181" s="4" t="str">
        <f>HYPERLINK("http://141.218.60.56/~jnz1568/getInfo.php?workbook=18_08.xlsx&amp;sheet=U0&amp;row=4181&amp;col=7&amp;number=0.000895&amp;sourceID=14","0.000895")</f>
        <v>0.000895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HYPERLINK("http://141.218.60.56/~jnz1568/getInfo.php?workbook=18_08.xlsx&amp;sheet=U0&amp;row=4182&amp;col=6&amp;number=4.8&amp;sourceID=14","4.8")</f>
        <v>4.8</v>
      </c>
      <c r="G4182" s="4" t="str">
        <f>HYPERLINK("http://141.218.60.56/~jnz1568/getInfo.php?workbook=18_08.xlsx&amp;sheet=U0&amp;row=4182&amp;col=7&amp;number=0.000896&amp;sourceID=14","0.000896")</f>
        <v>0.000896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HYPERLINK("http://141.218.60.56/~jnz1568/getInfo.php?workbook=18_08.xlsx&amp;sheet=U0&amp;row=4183&amp;col=6&amp;number=4.9&amp;sourceID=14","4.9")</f>
        <v>4.9</v>
      </c>
      <c r="G4183" s="4" t="str">
        <f>HYPERLINK("http://141.218.60.56/~jnz1568/getInfo.php?workbook=18_08.xlsx&amp;sheet=U0&amp;row=4183&amp;col=7&amp;number=0.000897&amp;sourceID=14","0.000897")</f>
        <v>0.000897</v>
      </c>
    </row>
    <row r="4184" spans="1:7">
      <c r="A4184" s="3">
        <v>18</v>
      </c>
      <c r="B4184" s="3">
        <v>8</v>
      </c>
      <c r="C4184" s="3" t="s">
        <v>65</v>
      </c>
      <c r="D4184" s="3">
        <v>4</v>
      </c>
      <c r="E4184" s="3">
        <v>1</v>
      </c>
      <c r="F4184" s="4" t="str">
        <f>HYPERLINK("http://141.218.60.56/~jnz1568/getInfo.php?workbook=18_08.xlsx&amp;sheet=U0&amp;row=4184&amp;col=6&amp;number=3&amp;sourceID=14","3")</f>
        <v>3</v>
      </c>
      <c r="G4184" s="4" t="str">
        <f>HYPERLINK("http://141.218.60.56/~jnz1568/getInfo.php?workbook=18_08.xlsx&amp;sheet=U0&amp;row=4184&amp;col=7&amp;number=0.00132&amp;sourceID=14","0.00132")</f>
        <v>0.00132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HYPERLINK("http://141.218.60.56/~jnz1568/getInfo.php?workbook=18_08.xlsx&amp;sheet=U0&amp;row=4185&amp;col=6&amp;number=3.1&amp;sourceID=14","3.1")</f>
        <v>3.1</v>
      </c>
      <c r="G4185" s="4" t="str">
        <f>HYPERLINK("http://141.218.60.56/~jnz1568/getInfo.php?workbook=18_08.xlsx&amp;sheet=U0&amp;row=4185&amp;col=7&amp;number=0.00132&amp;sourceID=14","0.00132")</f>
        <v>0.00132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HYPERLINK("http://141.218.60.56/~jnz1568/getInfo.php?workbook=18_08.xlsx&amp;sheet=U0&amp;row=4186&amp;col=6&amp;number=3.2&amp;sourceID=14","3.2")</f>
        <v>3.2</v>
      </c>
      <c r="G4186" s="4" t="str">
        <f>HYPERLINK("http://141.218.60.56/~jnz1568/getInfo.php?workbook=18_08.xlsx&amp;sheet=U0&amp;row=4186&amp;col=7&amp;number=0.00132&amp;sourceID=14","0.00132")</f>
        <v>0.00132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HYPERLINK("http://141.218.60.56/~jnz1568/getInfo.php?workbook=18_08.xlsx&amp;sheet=U0&amp;row=4187&amp;col=6&amp;number=3.3&amp;sourceID=14","3.3")</f>
        <v>3.3</v>
      </c>
      <c r="G4187" s="4" t="str">
        <f>HYPERLINK("http://141.218.60.56/~jnz1568/getInfo.php?workbook=18_08.xlsx&amp;sheet=U0&amp;row=4187&amp;col=7&amp;number=0.00132&amp;sourceID=14","0.00132")</f>
        <v>0.00132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HYPERLINK("http://141.218.60.56/~jnz1568/getInfo.php?workbook=18_08.xlsx&amp;sheet=U0&amp;row=4188&amp;col=6&amp;number=3.4&amp;sourceID=14","3.4")</f>
        <v>3.4</v>
      </c>
      <c r="G4188" s="4" t="str">
        <f>HYPERLINK("http://141.218.60.56/~jnz1568/getInfo.php?workbook=18_08.xlsx&amp;sheet=U0&amp;row=4188&amp;col=7&amp;number=0.00132&amp;sourceID=14","0.00132")</f>
        <v>0.00132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HYPERLINK("http://141.218.60.56/~jnz1568/getInfo.php?workbook=18_08.xlsx&amp;sheet=U0&amp;row=4189&amp;col=6&amp;number=3.5&amp;sourceID=14","3.5")</f>
        <v>3.5</v>
      </c>
      <c r="G4189" s="4" t="str">
        <f>HYPERLINK("http://141.218.60.56/~jnz1568/getInfo.php?workbook=18_08.xlsx&amp;sheet=U0&amp;row=4189&amp;col=7&amp;number=0.00132&amp;sourceID=14","0.00132")</f>
        <v>0.00132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HYPERLINK("http://141.218.60.56/~jnz1568/getInfo.php?workbook=18_08.xlsx&amp;sheet=U0&amp;row=4190&amp;col=6&amp;number=3.6&amp;sourceID=14","3.6")</f>
        <v>3.6</v>
      </c>
      <c r="G4190" s="4" t="str">
        <f>HYPERLINK("http://141.218.60.56/~jnz1568/getInfo.php?workbook=18_08.xlsx&amp;sheet=U0&amp;row=4190&amp;col=7&amp;number=0.00132&amp;sourceID=14","0.00132")</f>
        <v>0.00132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HYPERLINK("http://141.218.60.56/~jnz1568/getInfo.php?workbook=18_08.xlsx&amp;sheet=U0&amp;row=4191&amp;col=6&amp;number=3.7&amp;sourceID=14","3.7")</f>
        <v>3.7</v>
      </c>
      <c r="G4191" s="4" t="str">
        <f>HYPERLINK("http://141.218.60.56/~jnz1568/getInfo.php?workbook=18_08.xlsx&amp;sheet=U0&amp;row=4191&amp;col=7&amp;number=0.00132&amp;sourceID=14","0.00132")</f>
        <v>0.00132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HYPERLINK("http://141.218.60.56/~jnz1568/getInfo.php?workbook=18_08.xlsx&amp;sheet=U0&amp;row=4192&amp;col=6&amp;number=3.8&amp;sourceID=14","3.8")</f>
        <v>3.8</v>
      </c>
      <c r="G4192" s="4" t="str">
        <f>HYPERLINK("http://141.218.60.56/~jnz1568/getInfo.php?workbook=18_08.xlsx&amp;sheet=U0&amp;row=4192&amp;col=7&amp;number=0.00132&amp;sourceID=14","0.00132")</f>
        <v>0.00132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HYPERLINK("http://141.218.60.56/~jnz1568/getInfo.php?workbook=18_08.xlsx&amp;sheet=U0&amp;row=4193&amp;col=6&amp;number=3.9&amp;sourceID=14","3.9")</f>
        <v>3.9</v>
      </c>
      <c r="G4193" s="4" t="str">
        <f>HYPERLINK("http://141.218.60.56/~jnz1568/getInfo.php?workbook=18_08.xlsx&amp;sheet=U0&amp;row=4193&amp;col=7&amp;number=0.00132&amp;sourceID=14","0.00132")</f>
        <v>0.00132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HYPERLINK("http://141.218.60.56/~jnz1568/getInfo.php?workbook=18_08.xlsx&amp;sheet=U0&amp;row=4194&amp;col=6&amp;number=4&amp;sourceID=14","4")</f>
        <v>4</v>
      </c>
      <c r="G4194" s="4" t="str">
        <f>HYPERLINK("http://141.218.60.56/~jnz1568/getInfo.php?workbook=18_08.xlsx&amp;sheet=U0&amp;row=4194&amp;col=7&amp;number=0.00131&amp;sourceID=14","0.00131")</f>
        <v>0.00131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HYPERLINK("http://141.218.60.56/~jnz1568/getInfo.php?workbook=18_08.xlsx&amp;sheet=U0&amp;row=4195&amp;col=6&amp;number=4.1&amp;sourceID=14","4.1")</f>
        <v>4.1</v>
      </c>
      <c r="G4195" s="4" t="str">
        <f>HYPERLINK("http://141.218.60.56/~jnz1568/getInfo.php?workbook=18_08.xlsx&amp;sheet=U0&amp;row=4195&amp;col=7&amp;number=0.00131&amp;sourceID=14","0.00131")</f>
        <v>0.00131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HYPERLINK("http://141.218.60.56/~jnz1568/getInfo.php?workbook=18_08.xlsx&amp;sheet=U0&amp;row=4196&amp;col=6&amp;number=4.2&amp;sourceID=14","4.2")</f>
        <v>4.2</v>
      </c>
      <c r="G4196" s="4" t="str">
        <f>HYPERLINK("http://141.218.60.56/~jnz1568/getInfo.php?workbook=18_08.xlsx&amp;sheet=U0&amp;row=4196&amp;col=7&amp;number=0.00131&amp;sourceID=14","0.00131")</f>
        <v>0.00131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HYPERLINK("http://141.218.60.56/~jnz1568/getInfo.php?workbook=18_08.xlsx&amp;sheet=U0&amp;row=4197&amp;col=6&amp;number=4.3&amp;sourceID=14","4.3")</f>
        <v>4.3</v>
      </c>
      <c r="G4197" s="4" t="str">
        <f>HYPERLINK("http://141.218.60.56/~jnz1568/getInfo.php?workbook=18_08.xlsx&amp;sheet=U0&amp;row=4197&amp;col=7&amp;number=0.00131&amp;sourceID=14","0.00131")</f>
        <v>0.00131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HYPERLINK("http://141.218.60.56/~jnz1568/getInfo.php?workbook=18_08.xlsx&amp;sheet=U0&amp;row=4198&amp;col=6&amp;number=4.4&amp;sourceID=14","4.4")</f>
        <v>4.4</v>
      </c>
      <c r="G4198" s="4" t="str">
        <f>HYPERLINK("http://141.218.60.56/~jnz1568/getInfo.php?workbook=18_08.xlsx&amp;sheet=U0&amp;row=4198&amp;col=7&amp;number=0.00131&amp;sourceID=14","0.00131")</f>
        <v>0.00131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HYPERLINK("http://141.218.60.56/~jnz1568/getInfo.php?workbook=18_08.xlsx&amp;sheet=U0&amp;row=4199&amp;col=6&amp;number=4.5&amp;sourceID=14","4.5")</f>
        <v>4.5</v>
      </c>
      <c r="G4199" s="4" t="str">
        <f>HYPERLINK("http://141.218.60.56/~jnz1568/getInfo.php?workbook=18_08.xlsx&amp;sheet=U0&amp;row=4199&amp;col=7&amp;number=0.00131&amp;sourceID=14","0.00131")</f>
        <v>0.00131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HYPERLINK("http://141.218.60.56/~jnz1568/getInfo.php?workbook=18_08.xlsx&amp;sheet=U0&amp;row=4200&amp;col=6&amp;number=4.6&amp;sourceID=14","4.6")</f>
        <v>4.6</v>
      </c>
      <c r="G4200" s="4" t="str">
        <f>HYPERLINK("http://141.218.60.56/~jnz1568/getInfo.php?workbook=18_08.xlsx&amp;sheet=U0&amp;row=4200&amp;col=7&amp;number=0.00131&amp;sourceID=14","0.00131")</f>
        <v>0.00131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HYPERLINK("http://141.218.60.56/~jnz1568/getInfo.php?workbook=18_08.xlsx&amp;sheet=U0&amp;row=4201&amp;col=6&amp;number=4.7&amp;sourceID=14","4.7")</f>
        <v>4.7</v>
      </c>
      <c r="G4201" s="4" t="str">
        <f>HYPERLINK("http://141.218.60.56/~jnz1568/getInfo.php?workbook=18_08.xlsx&amp;sheet=U0&amp;row=4201&amp;col=7&amp;number=0.0013&amp;sourceID=14","0.0013")</f>
        <v>0.0013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HYPERLINK("http://141.218.60.56/~jnz1568/getInfo.php?workbook=18_08.xlsx&amp;sheet=U0&amp;row=4202&amp;col=6&amp;number=4.8&amp;sourceID=14","4.8")</f>
        <v>4.8</v>
      </c>
      <c r="G4202" s="4" t="str">
        <f>HYPERLINK("http://141.218.60.56/~jnz1568/getInfo.php?workbook=18_08.xlsx&amp;sheet=U0&amp;row=4202&amp;col=7&amp;number=0.0013&amp;sourceID=14","0.0013")</f>
        <v>0.0013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HYPERLINK("http://141.218.60.56/~jnz1568/getInfo.php?workbook=18_08.xlsx&amp;sheet=U0&amp;row=4203&amp;col=6&amp;number=4.9&amp;sourceID=14","4.9")</f>
        <v>4.9</v>
      </c>
      <c r="G4203" s="4" t="str">
        <f>HYPERLINK("http://141.218.60.56/~jnz1568/getInfo.php?workbook=18_08.xlsx&amp;sheet=U0&amp;row=4203&amp;col=7&amp;number=0.0013&amp;sourceID=14","0.0013")</f>
        <v>0.0013</v>
      </c>
    </row>
    <row r="4204" spans="1:7">
      <c r="A4204" s="3">
        <v>18</v>
      </c>
      <c r="B4204" s="3">
        <v>8</v>
      </c>
      <c r="C4204" s="3" t="s">
        <v>65</v>
      </c>
      <c r="D4204" s="3">
        <v>5</v>
      </c>
      <c r="E4204" s="3">
        <v>1</v>
      </c>
      <c r="F4204" s="4" t="str">
        <f>HYPERLINK("http://141.218.60.56/~jnz1568/getInfo.php?workbook=18_08.xlsx&amp;sheet=U0&amp;row=4204&amp;col=6&amp;number=3&amp;sourceID=14","3")</f>
        <v>3</v>
      </c>
      <c r="G4204" s="4" t="str">
        <f>HYPERLINK("http://141.218.60.56/~jnz1568/getInfo.php?workbook=18_08.xlsx&amp;sheet=U0&amp;row=4204&amp;col=7&amp;number=0.00181&amp;sourceID=14","0.00181")</f>
        <v>0.00181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HYPERLINK("http://141.218.60.56/~jnz1568/getInfo.php?workbook=18_08.xlsx&amp;sheet=U0&amp;row=4205&amp;col=6&amp;number=3.1&amp;sourceID=14","3.1")</f>
        <v>3.1</v>
      </c>
      <c r="G4205" s="4" t="str">
        <f>HYPERLINK("http://141.218.60.56/~jnz1568/getInfo.php?workbook=18_08.xlsx&amp;sheet=U0&amp;row=4205&amp;col=7&amp;number=0.00181&amp;sourceID=14","0.00181")</f>
        <v>0.00181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HYPERLINK("http://141.218.60.56/~jnz1568/getInfo.php?workbook=18_08.xlsx&amp;sheet=U0&amp;row=4206&amp;col=6&amp;number=3.2&amp;sourceID=14","3.2")</f>
        <v>3.2</v>
      </c>
      <c r="G4206" s="4" t="str">
        <f>HYPERLINK("http://141.218.60.56/~jnz1568/getInfo.php?workbook=18_08.xlsx&amp;sheet=U0&amp;row=4206&amp;col=7&amp;number=0.00181&amp;sourceID=14","0.00181")</f>
        <v>0.00181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HYPERLINK("http://141.218.60.56/~jnz1568/getInfo.php?workbook=18_08.xlsx&amp;sheet=U0&amp;row=4207&amp;col=6&amp;number=3.3&amp;sourceID=14","3.3")</f>
        <v>3.3</v>
      </c>
      <c r="G4207" s="4" t="str">
        <f>HYPERLINK("http://141.218.60.56/~jnz1568/getInfo.php?workbook=18_08.xlsx&amp;sheet=U0&amp;row=4207&amp;col=7&amp;number=0.00181&amp;sourceID=14","0.00181")</f>
        <v>0.00181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HYPERLINK("http://141.218.60.56/~jnz1568/getInfo.php?workbook=18_08.xlsx&amp;sheet=U0&amp;row=4208&amp;col=6&amp;number=3.4&amp;sourceID=14","3.4")</f>
        <v>3.4</v>
      </c>
      <c r="G4208" s="4" t="str">
        <f>HYPERLINK("http://141.218.60.56/~jnz1568/getInfo.php?workbook=18_08.xlsx&amp;sheet=U0&amp;row=4208&amp;col=7&amp;number=0.00181&amp;sourceID=14","0.00181")</f>
        <v>0.00181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HYPERLINK("http://141.218.60.56/~jnz1568/getInfo.php?workbook=18_08.xlsx&amp;sheet=U0&amp;row=4209&amp;col=6&amp;number=3.5&amp;sourceID=14","3.5")</f>
        <v>3.5</v>
      </c>
      <c r="G4209" s="4" t="str">
        <f>HYPERLINK("http://141.218.60.56/~jnz1568/getInfo.php?workbook=18_08.xlsx&amp;sheet=U0&amp;row=4209&amp;col=7&amp;number=0.00181&amp;sourceID=14","0.00181")</f>
        <v>0.00181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HYPERLINK("http://141.218.60.56/~jnz1568/getInfo.php?workbook=18_08.xlsx&amp;sheet=U0&amp;row=4210&amp;col=6&amp;number=3.6&amp;sourceID=14","3.6")</f>
        <v>3.6</v>
      </c>
      <c r="G4210" s="4" t="str">
        <f>HYPERLINK("http://141.218.60.56/~jnz1568/getInfo.php?workbook=18_08.xlsx&amp;sheet=U0&amp;row=4210&amp;col=7&amp;number=0.00181&amp;sourceID=14","0.00181")</f>
        <v>0.00181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HYPERLINK("http://141.218.60.56/~jnz1568/getInfo.php?workbook=18_08.xlsx&amp;sheet=U0&amp;row=4211&amp;col=6&amp;number=3.7&amp;sourceID=14","3.7")</f>
        <v>3.7</v>
      </c>
      <c r="G4211" s="4" t="str">
        <f>HYPERLINK("http://141.218.60.56/~jnz1568/getInfo.php?workbook=18_08.xlsx&amp;sheet=U0&amp;row=4211&amp;col=7&amp;number=0.00181&amp;sourceID=14","0.00181")</f>
        <v>0.00181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HYPERLINK("http://141.218.60.56/~jnz1568/getInfo.php?workbook=18_08.xlsx&amp;sheet=U0&amp;row=4212&amp;col=6&amp;number=3.8&amp;sourceID=14","3.8")</f>
        <v>3.8</v>
      </c>
      <c r="G4212" s="4" t="str">
        <f>HYPERLINK("http://141.218.60.56/~jnz1568/getInfo.php?workbook=18_08.xlsx&amp;sheet=U0&amp;row=4212&amp;col=7&amp;number=0.00181&amp;sourceID=14","0.00181")</f>
        <v>0.00181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HYPERLINK("http://141.218.60.56/~jnz1568/getInfo.php?workbook=18_08.xlsx&amp;sheet=U0&amp;row=4213&amp;col=6&amp;number=3.9&amp;sourceID=14","3.9")</f>
        <v>3.9</v>
      </c>
      <c r="G4213" s="4" t="str">
        <f>HYPERLINK("http://141.218.60.56/~jnz1568/getInfo.php?workbook=18_08.xlsx&amp;sheet=U0&amp;row=4213&amp;col=7&amp;number=0.00181&amp;sourceID=14","0.00181")</f>
        <v>0.00181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HYPERLINK("http://141.218.60.56/~jnz1568/getInfo.php?workbook=18_08.xlsx&amp;sheet=U0&amp;row=4214&amp;col=6&amp;number=4&amp;sourceID=14","4")</f>
        <v>4</v>
      </c>
      <c r="G4214" s="4" t="str">
        <f>HYPERLINK("http://141.218.60.56/~jnz1568/getInfo.php?workbook=18_08.xlsx&amp;sheet=U0&amp;row=4214&amp;col=7&amp;number=0.00181&amp;sourceID=14","0.00181")</f>
        <v>0.00181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HYPERLINK("http://141.218.60.56/~jnz1568/getInfo.php?workbook=18_08.xlsx&amp;sheet=U0&amp;row=4215&amp;col=6&amp;number=4.1&amp;sourceID=14","4.1")</f>
        <v>4.1</v>
      </c>
      <c r="G4215" s="4" t="str">
        <f>HYPERLINK("http://141.218.60.56/~jnz1568/getInfo.php?workbook=18_08.xlsx&amp;sheet=U0&amp;row=4215&amp;col=7&amp;number=0.00181&amp;sourceID=14","0.00181")</f>
        <v>0.00181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HYPERLINK("http://141.218.60.56/~jnz1568/getInfo.php?workbook=18_08.xlsx&amp;sheet=U0&amp;row=4216&amp;col=6&amp;number=4.2&amp;sourceID=14","4.2")</f>
        <v>4.2</v>
      </c>
      <c r="G4216" s="4" t="str">
        <f>HYPERLINK("http://141.218.60.56/~jnz1568/getInfo.php?workbook=18_08.xlsx&amp;sheet=U0&amp;row=4216&amp;col=7&amp;number=0.00181&amp;sourceID=14","0.00181")</f>
        <v>0.00181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HYPERLINK("http://141.218.60.56/~jnz1568/getInfo.php?workbook=18_08.xlsx&amp;sheet=U0&amp;row=4217&amp;col=6&amp;number=4.3&amp;sourceID=14","4.3")</f>
        <v>4.3</v>
      </c>
      <c r="G4217" s="4" t="str">
        <f>HYPERLINK("http://141.218.60.56/~jnz1568/getInfo.php?workbook=18_08.xlsx&amp;sheet=U0&amp;row=4217&amp;col=7&amp;number=0.00181&amp;sourceID=14","0.00181")</f>
        <v>0.00181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HYPERLINK("http://141.218.60.56/~jnz1568/getInfo.php?workbook=18_08.xlsx&amp;sheet=U0&amp;row=4218&amp;col=6&amp;number=4.4&amp;sourceID=14","4.4")</f>
        <v>4.4</v>
      </c>
      <c r="G4218" s="4" t="str">
        <f>HYPERLINK("http://141.218.60.56/~jnz1568/getInfo.php?workbook=18_08.xlsx&amp;sheet=U0&amp;row=4218&amp;col=7&amp;number=0.00181&amp;sourceID=14","0.00181")</f>
        <v>0.00181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HYPERLINK("http://141.218.60.56/~jnz1568/getInfo.php?workbook=18_08.xlsx&amp;sheet=U0&amp;row=4219&amp;col=6&amp;number=4.5&amp;sourceID=14","4.5")</f>
        <v>4.5</v>
      </c>
      <c r="G4219" s="4" t="str">
        <f>HYPERLINK("http://141.218.60.56/~jnz1568/getInfo.php?workbook=18_08.xlsx&amp;sheet=U0&amp;row=4219&amp;col=7&amp;number=0.0018&amp;sourceID=14","0.0018")</f>
        <v>0.0018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HYPERLINK("http://141.218.60.56/~jnz1568/getInfo.php?workbook=18_08.xlsx&amp;sheet=U0&amp;row=4220&amp;col=6&amp;number=4.6&amp;sourceID=14","4.6")</f>
        <v>4.6</v>
      </c>
      <c r="G4220" s="4" t="str">
        <f>HYPERLINK("http://141.218.60.56/~jnz1568/getInfo.php?workbook=18_08.xlsx&amp;sheet=U0&amp;row=4220&amp;col=7&amp;number=0.0018&amp;sourceID=14","0.0018")</f>
        <v>0.0018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HYPERLINK("http://141.218.60.56/~jnz1568/getInfo.php?workbook=18_08.xlsx&amp;sheet=U0&amp;row=4221&amp;col=6&amp;number=4.7&amp;sourceID=14","4.7")</f>
        <v>4.7</v>
      </c>
      <c r="G4221" s="4" t="str">
        <f>HYPERLINK("http://141.218.60.56/~jnz1568/getInfo.php?workbook=18_08.xlsx&amp;sheet=U0&amp;row=4221&amp;col=7&amp;number=0.0018&amp;sourceID=14","0.0018")</f>
        <v>0.0018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HYPERLINK("http://141.218.60.56/~jnz1568/getInfo.php?workbook=18_08.xlsx&amp;sheet=U0&amp;row=4222&amp;col=6&amp;number=4.8&amp;sourceID=14","4.8")</f>
        <v>4.8</v>
      </c>
      <c r="G4222" s="4" t="str">
        <f>HYPERLINK("http://141.218.60.56/~jnz1568/getInfo.php?workbook=18_08.xlsx&amp;sheet=U0&amp;row=4222&amp;col=7&amp;number=0.00179&amp;sourceID=14","0.00179")</f>
        <v>0.00179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HYPERLINK("http://141.218.60.56/~jnz1568/getInfo.php?workbook=18_08.xlsx&amp;sheet=U0&amp;row=4223&amp;col=6&amp;number=4.9&amp;sourceID=14","4.9")</f>
        <v>4.9</v>
      </c>
      <c r="G4223" s="4" t="str">
        <f>HYPERLINK("http://141.218.60.56/~jnz1568/getInfo.php?workbook=18_08.xlsx&amp;sheet=U0&amp;row=4223&amp;col=7&amp;number=0.00179&amp;sourceID=14","0.00179")</f>
        <v>0.00179</v>
      </c>
    </row>
    <row r="4224" spans="1:7">
      <c r="A4224" s="3">
        <v>18</v>
      </c>
      <c r="B4224" s="3">
        <v>8</v>
      </c>
      <c r="C4224" s="3" t="s">
        <v>65</v>
      </c>
      <c r="D4224" s="3">
        <v>6</v>
      </c>
      <c r="E4224" s="3">
        <v>1</v>
      </c>
      <c r="F4224" s="4" t="str">
        <f>HYPERLINK("http://141.218.60.56/~jnz1568/getInfo.php?workbook=18_08.xlsx&amp;sheet=U0&amp;row=4224&amp;col=6&amp;number=3&amp;sourceID=14","3")</f>
        <v>3</v>
      </c>
      <c r="G4224" s="4" t="str">
        <f>HYPERLINK("http://141.218.60.56/~jnz1568/getInfo.php?workbook=18_08.xlsx&amp;sheet=U0&amp;row=4224&amp;col=7&amp;number=0.00282&amp;sourceID=14","0.00282")</f>
        <v>0.00282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HYPERLINK("http://141.218.60.56/~jnz1568/getInfo.php?workbook=18_08.xlsx&amp;sheet=U0&amp;row=4225&amp;col=6&amp;number=3.1&amp;sourceID=14","3.1")</f>
        <v>3.1</v>
      </c>
      <c r="G4225" s="4" t="str">
        <f>HYPERLINK("http://141.218.60.56/~jnz1568/getInfo.php?workbook=18_08.xlsx&amp;sheet=U0&amp;row=4225&amp;col=7&amp;number=0.00282&amp;sourceID=14","0.00282")</f>
        <v>0.00282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HYPERLINK("http://141.218.60.56/~jnz1568/getInfo.php?workbook=18_08.xlsx&amp;sheet=U0&amp;row=4226&amp;col=6&amp;number=3.2&amp;sourceID=14","3.2")</f>
        <v>3.2</v>
      </c>
      <c r="G4226" s="4" t="str">
        <f>HYPERLINK("http://141.218.60.56/~jnz1568/getInfo.php?workbook=18_08.xlsx&amp;sheet=U0&amp;row=4226&amp;col=7&amp;number=0.00282&amp;sourceID=14","0.00282")</f>
        <v>0.00282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HYPERLINK("http://141.218.60.56/~jnz1568/getInfo.php?workbook=18_08.xlsx&amp;sheet=U0&amp;row=4227&amp;col=6&amp;number=3.3&amp;sourceID=14","3.3")</f>
        <v>3.3</v>
      </c>
      <c r="G4227" s="4" t="str">
        <f>HYPERLINK("http://141.218.60.56/~jnz1568/getInfo.php?workbook=18_08.xlsx&amp;sheet=U0&amp;row=4227&amp;col=7&amp;number=0.00282&amp;sourceID=14","0.00282")</f>
        <v>0.00282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HYPERLINK("http://141.218.60.56/~jnz1568/getInfo.php?workbook=18_08.xlsx&amp;sheet=U0&amp;row=4228&amp;col=6&amp;number=3.4&amp;sourceID=14","3.4")</f>
        <v>3.4</v>
      </c>
      <c r="G4228" s="4" t="str">
        <f>HYPERLINK("http://141.218.60.56/~jnz1568/getInfo.php?workbook=18_08.xlsx&amp;sheet=U0&amp;row=4228&amp;col=7&amp;number=0.00282&amp;sourceID=14","0.00282")</f>
        <v>0.00282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HYPERLINK("http://141.218.60.56/~jnz1568/getInfo.php?workbook=18_08.xlsx&amp;sheet=U0&amp;row=4229&amp;col=6&amp;number=3.5&amp;sourceID=14","3.5")</f>
        <v>3.5</v>
      </c>
      <c r="G4229" s="4" t="str">
        <f>HYPERLINK("http://141.218.60.56/~jnz1568/getInfo.php?workbook=18_08.xlsx&amp;sheet=U0&amp;row=4229&amp;col=7&amp;number=0.00282&amp;sourceID=14","0.00282")</f>
        <v>0.00282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HYPERLINK("http://141.218.60.56/~jnz1568/getInfo.php?workbook=18_08.xlsx&amp;sheet=U0&amp;row=4230&amp;col=6&amp;number=3.6&amp;sourceID=14","3.6")</f>
        <v>3.6</v>
      </c>
      <c r="G4230" s="4" t="str">
        <f>HYPERLINK("http://141.218.60.56/~jnz1568/getInfo.php?workbook=18_08.xlsx&amp;sheet=U0&amp;row=4230&amp;col=7&amp;number=0.00282&amp;sourceID=14","0.00282")</f>
        <v>0.00282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HYPERLINK("http://141.218.60.56/~jnz1568/getInfo.php?workbook=18_08.xlsx&amp;sheet=U0&amp;row=4231&amp;col=6&amp;number=3.7&amp;sourceID=14","3.7")</f>
        <v>3.7</v>
      </c>
      <c r="G4231" s="4" t="str">
        <f>HYPERLINK("http://141.218.60.56/~jnz1568/getInfo.php?workbook=18_08.xlsx&amp;sheet=U0&amp;row=4231&amp;col=7&amp;number=0.00282&amp;sourceID=14","0.00282")</f>
        <v>0.00282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HYPERLINK("http://141.218.60.56/~jnz1568/getInfo.php?workbook=18_08.xlsx&amp;sheet=U0&amp;row=4232&amp;col=6&amp;number=3.8&amp;sourceID=14","3.8")</f>
        <v>3.8</v>
      </c>
      <c r="G4232" s="4" t="str">
        <f>HYPERLINK("http://141.218.60.56/~jnz1568/getInfo.php?workbook=18_08.xlsx&amp;sheet=U0&amp;row=4232&amp;col=7&amp;number=0.00282&amp;sourceID=14","0.00282")</f>
        <v>0.00282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HYPERLINK("http://141.218.60.56/~jnz1568/getInfo.php?workbook=18_08.xlsx&amp;sheet=U0&amp;row=4233&amp;col=6&amp;number=3.9&amp;sourceID=14","3.9")</f>
        <v>3.9</v>
      </c>
      <c r="G4233" s="4" t="str">
        <f>HYPERLINK("http://141.218.60.56/~jnz1568/getInfo.php?workbook=18_08.xlsx&amp;sheet=U0&amp;row=4233&amp;col=7&amp;number=0.00282&amp;sourceID=14","0.00282")</f>
        <v>0.00282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HYPERLINK("http://141.218.60.56/~jnz1568/getInfo.php?workbook=18_08.xlsx&amp;sheet=U0&amp;row=4234&amp;col=6&amp;number=4&amp;sourceID=14","4")</f>
        <v>4</v>
      </c>
      <c r="G4234" s="4" t="str">
        <f>HYPERLINK("http://141.218.60.56/~jnz1568/getInfo.php?workbook=18_08.xlsx&amp;sheet=U0&amp;row=4234&amp;col=7&amp;number=0.00282&amp;sourceID=14","0.00282")</f>
        <v>0.00282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HYPERLINK("http://141.218.60.56/~jnz1568/getInfo.php?workbook=18_08.xlsx&amp;sheet=U0&amp;row=4235&amp;col=6&amp;number=4.1&amp;sourceID=14","4.1")</f>
        <v>4.1</v>
      </c>
      <c r="G4235" s="4" t="str">
        <f>HYPERLINK("http://141.218.60.56/~jnz1568/getInfo.php?workbook=18_08.xlsx&amp;sheet=U0&amp;row=4235&amp;col=7&amp;number=0.00282&amp;sourceID=14","0.00282")</f>
        <v>0.00282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HYPERLINK("http://141.218.60.56/~jnz1568/getInfo.php?workbook=18_08.xlsx&amp;sheet=U0&amp;row=4236&amp;col=6&amp;number=4.2&amp;sourceID=14","4.2")</f>
        <v>4.2</v>
      </c>
      <c r="G4236" s="4" t="str">
        <f>HYPERLINK("http://141.218.60.56/~jnz1568/getInfo.php?workbook=18_08.xlsx&amp;sheet=U0&amp;row=4236&amp;col=7&amp;number=0.00281&amp;sourceID=14","0.00281")</f>
        <v>0.00281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HYPERLINK("http://141.218.60.56/~jnz1568/getInfo.php?workbook=18_08.xlsx&amp;sheet=U0&amp;row=4237&amp;col=6&amp;number=4.3&amp;sourceID=14","4.3")</f>
        <v>4.3</v>
      </c>
      <c r="G4237" s="4" t="str">
        <f>HYPERLINK("http://141.218.60.56/~jnz1568/getInfo.php?workbook=18_08.xlsx&amp;sheet=U0&amp;row=4237&amp;col=7&amp;number=0.00281&amp;sourceID=14","0.00281")</f>
        <v>0.00281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HYPERLINK("http://141.218.60.56/~jnz1568/getInfo.php?workbook=18_08.xlsx&amp;sheet=U0&amp;row=4238&amp;col=6&amp;number=4.4&amp;sourceID=14","4.4")</f>
        <v>4.4</v>
      </c>
      <c r="G4238" s="4" t="str">
        <f>HYPERLINK("http://141.218.60.56/~jnz1568/getInfo.php?workbook=18_08.xlsx&amp;sheet=U0&amp;row=4238&amp;col=7&amp;number=0.00281&amp;sourceID=14","0.00281")</f>
        <v>0.00281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HYPERLINK("http://141.218.60.56/~jnz1568/getInfo.php?workbook=18_08.xlsx&amp;sheet=U0&amp;row=4239&amp;col=6&amp;number=4.5&amp;sourceID=14","4.5")</f>
        <v>4.5</v>
      </c>
      <c r="G4239" s="4" t="str">
        <f>HYPERLINK("http://141.218.60.56/~jnz1568/getInfo.php?workbook=18_08.xlsx&amp;sheet=U0&amp;row=4239&amp;col=7&amp;number=0.00281&amp;sourceID=14","0.00281")</f>
        <v>0.00281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HYPERLINK("http://141.218.60.56/~jnz1568/getInfo.php?workbook=18_08.xlsx&amp;sheet=U0&amp;row=4240&amp;col=6&amp;number=4.6&amp;sourceID=14","4.6")</f>
        <v>4.6</v>
      </c>
      <c r="G4240" s="4" t="str">
        <f>HYPERLINK("http://141.218.60.56/~jnz1568/getInfo.php?workbook=18_08.xlsx&amp;sheet=U0&amp;row=4240&amp;col=7&amp;number=0.00281&amp;sourceID=14","0.00281")</f>
        <v>0.00281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HYPERLINK("http://141.218.60.56/~jnz1568/getInfo.php?workbook=18_08.xlsx&amp;sheet=U0&amp;row=4241&amp;col=6&amp;number=4.7&amp;sourceID=14","4.7")</f>
        <v>4.7</v>
      </c>
      <c r="G4241" s="4" t="str">
        <f>HYPERLINK("http://141.218.60.56/~jnz1568/getInfo.php?workbook=18_08.xlsx&amp;sheet=U0&amp;row=4241&amp;col=7&amp;number=0.00281&amp;sourceID=14","0.00281")</f>
        <v>0.00281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HYPERLINK("http://141.218.60.56/~jnz1568/getInfo.php?workbook=18_08.xlsx&amp;sheet=U0&amp;row=4242&amp;col=6&amp;number=4.8&amp;sourceID=14","4.8")</f>
        <v>4.8</v>
      </c>
      <c r="G4242" s="4" t="str">
        <f>HYPERLINK("http://141.218.60.56/~jnz1568/getInfo.php?workbook=18_08.xlsx&amp;sheet=U0&amp;row=4242&amp;col=7&amp;number=0.0028&amp;sourceID=14","0.0028")</f>
        <v>0.0028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HYPERLINK("http://141.218.60.56/~jnz1568/getInfo.php?workbook=18_08.xlsx&amp;sheet=U0&amp;row=4243&amp;col=6&amp;number=4.9&amp;sourceID=14","4.9")</f>
        <v>4.9</v>
      </c>
      <c r="G4243" s="4" t="str">
        <f>HYPERLINK("http://141.218.60.56/~jnz1568/getInfo.php?workbook=18_08.xlsx&amp;sheet=U0&amp;row=4243&amp;col=7&amp;number=0.0028&amp;sourceID=14","0.0028")</f>
        <v>0.0028</v>
      </c>
    </row>
    <row r="4244" spans="1:7">
      <c r="A4244" s="3">
        <v>18</v>
      </c>
      <c r="B4244" s="3">
        <v>8</v>
      </c>
      <c r="C4244" s="3" t="s">
        <v>65</v>
      </c>
      <c r="D4244" s="3">
        <v>7</v>
      </c>
      <c r="E4244" s="3">
        <v>1</v>
      </c>
      <c r="F4244" s="4" t="str">
        <f>HYPERLINK("http://141.218.60.56/~jnz1568/getInfo.php?workbook=18_08.xlsx&amp;sheet=U0&amp;row=4244&amp;col=6&amp;number=3&amp;sourceID=14","3")</f>
        <v>3</v>
      </c>
      <c r="G4244" s="4" t="str">
        <f>HYPERLINK("http://141.218.60.56/~jnz1568/getInfo.php?workbook=18_08.xlsx&amp;sheet=U0&amp;row=4244&amp;col=7&amp;number=0.00123&amp;sourceID=14","0.00123")</f>
        <v>0.00123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HYPERLINK("http://141.218.60.56/~jnz1568/getInfo.php?workbook=18_08.xlsx&amp;sheet=U0&amp;row=4245&amp;col=6&amp;number=3.1&amp;sourceID=14","3.1")</f>
        <v>3.1</v>
      </c>
      <c r="G4245" s="4" t="str">
        <f>HYPERLINK("http://141.218.60.56/~jnz1568/getInfo.php?workbook=18_08.xlsx&amp;sheet=U0&amp;row=4245&amp;col=7&amp;number=0.00123&amp;sourceID=14","0.00123")</f>
        <v>0.00123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HYPERLINK("http://141.218.60.56/~jnz1568/getInfo.php?workbook=18_08.xlsx&amp;sheet=U0&amp;row=4246&amp;col=6&amp;number=3.2&amp;sourceID=14","3.2")</f>
        <v>3.2</v>
      </c>
      <c r="G4246" s="4" t="str">
        <f>HYPERLINK("http://141.218.60.56/~jnz1568/getInfo.php?workbook=18_08.xlsx&amp;sheet=U0&amp;row=4246&amp;col=7&amp;number=0.00123&amp;sourceID=14","0.00123")</f>
        <v>0.00123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HYPERLINK("http://141.218.60.56/~jnz1568/getInfo.php?workbook=18_08.xlsx&amp;sheet=U0&amp;row=4247&amp;col=6&amp;number=3.3&amp;sourceID=14","3.3")</f>
        <v>3.3</v>
      </c>
      <c r="G4247" s="4" t="str">
        <f>HYPERLINK("http://141.218.60.56/~jnz1568/getInfo.php?workbook=18_08.xlsx&amp;sheet=U0&amp;row=4247&amp;col=7&amp;number=0.00123&amp;sourceID=14","0.00123")</f>
        <v>0.00123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HYPERLINK("http://141.218.60.56/~jnz1568/getInfo.php?workbook=18_08.xlsx&amp;sheet=U0&amp;row=4248&amp;col=6&amp;number=3.4&amp;sourceID=14","3.4")</f>
        <v>3.4</v>
      </c>
      <c r="G4248" s="4" t="str">
        <f>HYPERLINK("http://141.218.60.56/~jnz1568/getInfo.php?workbook=18_08.xlsx&amp;sheet=U0&amp;row=4248&amp;col=7&amp;number=0.00123&amp;sourceID=14","0.00123")</f>
        <v>0.00123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HYPERLINK("http://141.218.60.56/~jnz1568/getInfo.php?workbook=18_08.xlsx&amp;sheet=U0&amp;row=4249&amp;col=6&amp;number=3.5&amp;sourceID=14","3.5")</f>
        <v>3.5</v>
      </c>
      <c r="G4249" s="4" t="str">
        <f>HYPERLINK("http://141.218.60.56/~jnz1568/getInfo.php?workbook=18_08.xlsx&amp;sheet=U0&amp;row=4249&amp;col=7&amp;number=0.00123&amp;sourceID=14","0.00123")</f>
        <v>0.00123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HYPERLINK("http://141.218.60.56/~jnz1568/getInfo.php?workbook=18_08.xlsx&amp;sheet=U0&amp;row=4250&amp;col=6&amp;number=3.6&amp;sourceID=14","3.6")</f>
        <v>3.6</v>
      </c>
      <c r="G4250" s="4" t="str">
        <f>HYPERLINK("http://141.218.60.56/~jnz1568/getInfo.php?workbook=18_08.xlsx&amp;sheet=U0&amp;row=4250&amp;col=7&amp;number=0.00123&amp;sourceID=14","0.00123")</f>
        <v>0.00123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HYPERLINK("http://141.218.60.56/~jnz1568/getInfo.php?workbook=18_08.xlsx&amp;sheet=U0&amp;row=4251&amp;col=6&amp;number=3.7&amp;sourceID=14","3.7")</f>
        <v>3.7</v>
      </c>
      <c r="G4251" s="4" t="str">
        <f>HYPERLINK("http://141.218.60.56/~jnz1568/getInfo.php?workbook=18_08.xlsx&amp;sheet=U0&amp;row=4251&amp;col=7&amp;number=0.00123&amp;sourceID=14","0.00123")</f>
        <v>0.00123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HYPERLINK("http://141.218.60.56/~jnz1568/getInfo.php?workbook=18_08.xlsx&amp;sheet=U0&amp;row=4252&amp;col=6&amp;number=3.8&amp;sourceID=14","3.8")</f>
        <v>3.8</v>
      </c>
      <c r="G4252" s="4" t="str">
        <f>HYPERLINK("http://141.218.60.56/~jnz1568/getInfo.php?workbook=18_08.xlsx&amp;sheet=U0&amp;row=4252&amp;col=7&amp;number=0.00123&amp;sourceID=14","0.00123")</f>
        <v>0.00123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HYPERLINK("http://141.218.60.56/~jnz1568/getInfo.php?workbook=18_08.xlsx&amp;sheet=U0&amp;row=4253&amp;col=6&amp;number=3.9&amp;sourceID=14","3.9")</f>
        <v>3.9</v>
      </c>
      <c r="G4253" s="4" t="str">
        <f>HYPERLINK("http://141.218.60.56/~jnz1568/getInfo.php?workbook=18_08.xlsx&amp;sheet=U0&amp;row=4253&amp;col=7&amp;number=0.00123&amp;sourceID=14","0.00123")</f>
        <v>0.00123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HYPERLINK("http://141.218.60.56/~jnz1568/getInfo.php?workbook=18_08.xlsx&amp;sheet=U0&amp;row=4254&amp;col=6&amp;number=4&amp;sourceID=14","4")</f>
        <v>4</v>
      </c>
      <c r="G4254" s="4" t="str">
        <f>HYPERLINK("http://141.218.60.56/~jnz1568/getInfo.php?workbook=18_08.xlsx&amp;sheet=U0&amp;row=4254&amp;col=7&amp;number=0.00123&amp;sourceID=14","0.00123")</f>
        <v>0.00123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HYPERLINK("http://141.218.60.56/~jnz1568/getInfo.php?workbook=18_08.xlsx&amp;sheet=U0&amp;row=4255&amp;col=6&amp;number=4.1&amp;sourceID=14","4.1")</f>
        <v>4.1</v>
      </c>
      <c r="G4255" s="4" t="str">
        <f>HYPERLINK("http://141.218.60.56/~jnz1568/getInfo.php?workbook=18_08.xlsx&amp;sheet=U0&amp;row=4255&amp;col=7&amp;number=0.00123&amp;sourceID=14","0.00123")</f>
        <v>0.00123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HYPERLINK("http://141.218.60.56/~jnz1568/getInfo.php?workbook=18_08.xlsx&amp;sheet=U0&amp;row=4256&amp;col=6&amp;number=4.2&amp;sourceID=14","4.2")</f>
        <v>4.2</v>
      </c>
      <c r="G4256" s="4" t="str">
        <f>HYPERLINK("http://141.218.60.56/~jnz1568/getInfo.php?workbook=18_08.xlsx&amp;sheet=U0&amp;row=4256&amp;col=7&amp;number=0.00123&amp;sourceID=14","0.00123")</f>
        <v>0.00123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HYPERLINK("http://141.218.60.56/~jnz1568/getInfo.php?workbook=18_08.xlsx&amp;sheet=U0&amp;row=4257&amp;col=6&amp;number=4.3&amp;sourceID=14","4.3")</f>
        <v>4.3</v>
      </c>
      <c r="G4257" s="4" t="str">
        <f>HYPERLINK("http://141.218.60.56/~jnz1568/getInfo.php?workbook=18_08.xlsx&amp;sheet=U0&amp;row=4257&amp;col=7&amp;number=0.00123&amp;sourceID=14","0.00123")</f>
        <v>0.00123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HYPERLINK("http://141.218.60.56/~jnz1568/getInfo.php?workbook=18_08.xlsx&amp;sheet=U0&amp;row=4258&amp;col=6&amp;number=4.4&amp;sourceID=14","4.4")</f>
        <v>4.4</v>
      </c>
      <c r="G4258" s="4" t="str">
        <f>HYPERLINK("http://141.218.60.56/~jnz1568/getInfo.php?workbook=18_08.xlsx&amp;sheet=U0&amp;row=4258&amp;col=7&amp;number=0.00122&amp;sourceID=14","0.00122")</f>
        <v>0.00122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HYPERLINK("http://141.218.60.56/~jnz1568/getInfo.php?workbook=18_08.xlsx&amp;sheet=U0&amp;row=4259&amp;col=6&amp;number=4.5&amp;sourceID=14","4.5")</f>
        <v>4.5</v>
      </c>
      <c r="G4259" s="4" t="str">
        <f>HYPERLINK("http://141.218.60.56/~jnz1568/getInfo.php?workbook=18_08.xlsx&amp;sheet=U0&amp;row=4259&amp;col=7&amp;number=0.00122&amp;sourceID=14","0.00122")</f>
        <v>0.00122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HYPERLINK("http://141.218.60.56/~jnz1568/getInfo.php?workbook=18_08.xlsx&amp;sheet=U0&amp;row=4260&amp;col=6&amp;number=4.6&amp;sourceID=14","4.6")</f>
        <v>4.6</v>
      </c>
      <c r="G4260" s="4" t="str">
        <f>HYPERLINK("http://141.218.60.56/~jnz1568/getInfo.php?workbook=18_08.xlsx&amp;sheet=U0&amp;row=4260&amp;col=7&amp;number=0.00122&amp;sourceID=14","0.00122")</f>
        <v>0.00122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HYPERLINK("http://141.218.60.56/~jnz1568/getInfo.php?workbook=18_08.xlsx&amp;sheet=U0&amp;row=4261&amp;col=6&amp;number=4.7&amp;sourceID=14","4.7")</f>
        <v>4.7</v>
      </c>
      <c r="G4261" s="4" t="str">
        <f>HYPERLINK("http://141.218.60.56/~jnz1568/getInfo.php?workbook=18_08.xlsx&amp;sheet=U0&amp;row=4261&amp;col=7&amp;number=0.00122&amp;sourceID=14","0.00122")</f>
        <v>0.00122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HYPERLINK("http://141.218.60.56/~jnz1568/getInfo.php?workbook=18_08.xlsx&amp;sheet=U0&amp;row=4262&amp;col=6&amp;number=4.8&amp;sourceID=14","4.8")</f>
        <v>4.8</v>
      </c>
      <c r="G4262" s="4" t="str">
        <f>HYPERLINK("http://141.218.60.56/~jnz1568/getInfo.php?workbook=18_08.xlsx&amp;sheet=U0&amp;row=4262&amp;col=7&amp;number=0.00122&amp;sourceID=14","0.00122")</f>
        <v>0.00122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HYPERLINK("http://141.218.60.56/~jnz1568/getInfo.php?workbook=18_08.xlsx&amp;sheet=U0&amp;row=4263&amp;col=6&amp;number=4.9&amp;sourceID=14","4.9")</f>
        <v>4.9</v>
      </c>
      <c r="G4263" s="4" t="str">
        <f>HYPERLINK("http://141.218.60.56/~jnz1568/getInfo.php?workbook=18_08.xlsx&amp;sheet=U0&amp;row=4263&amp;col=7&amp;number=0.00121&amp;sourceID=14","0.00121")</f>
        <v>0.00121</v>
      </c>
    </row>
    <row r="4264" spans="1:7">
      <c r="A4264" s="3">
        <v>18</v>
      </c>
      <c r="B4264" s="3">
        <v>8</v>
      </c>
      <c r="C4264" s="3" t="s">
        <v>65</v>
      </c>
      <c r="D4264" s="3">
        <v>8</v>
      </c>
      <c r="E4264" s="3">
        <v>1</v>
      </c>
      <c r="F4264" s="4" t="str">
        <f>HYPERLINK("http://141.218.60.56/~jnz1568/getInfo.php?workbook=18_08.xlsx&amp;sheet=U0&amp;row=4264&amp;col=6&amp;number=3&amp;sourceID=14","3")</f>
        <v>3</v>
      </c>
      <c r="G4264" s="4" t="str">
        <f>HYPERLINK("http://141.218.60.56/~jnz1568/getInfo.php?workbook=18_08.xlsx&amp;sheet=U0&amp;row=4264&amp;col=7&amp;number=0.000981&amp;sourceID=14","0.000981")</f>
        <v>0.000981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HYPERLINK("http://141.218.60.56/~jnz1568/getInfo.php?workbook=18_08.xlsx&amp;sheet=U0&amp;row=4265&amp;col=6&amp;number=3.1&amp;sourceID=14","3.1")</f>
        <v>3.1</v>
      </c>
      <c r="G4265" s="4" t="str">
        <f>HYPERLINK("http://141.218.60.56/~jnz1568/getInfo.php?workbook=18_08.xlsx&amp;sheet=U0&amp;row=4265&amp;col=7&amp;number=0.000981&amp;sourceID=14","0.000981")</f>
        <v>0.000981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HYPERLINK("http://141.218.60.56/~jnz1568/getInfo.php?workbook=18_08.xlsx&amp;sheet=U0&amp;row=4266&amp;col=6&amp;number=3.2&amp;sourceID=14","3.2")</f>
        <v>3.2</v>
      </c>
      <c r="G4266" s="4" t="str">
        <f>HYPERLINK("http://141.218.60.56/~jnz1568/getInfo.php?workbook=18_08.xlsx&amp;sheet=U0&amp;row=4266&amp;col=7&amp;number=0.000981&amp;sourceID=14","0.000981")</f>
        <v>0.000981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HYPERLINK("http://141.218.60.56/~jnz1568/getInfo.php?workbook=18_08.xlsx&amp;sheet=U0&amp;row=4267&amp;col=6&amp;number=3.3&amp;sourceID=14","3.3")</f>
        <v>3.3</v>
      </c>
      <c r="G4267" s="4" t="str">
        <f>HYPERLINK("http://141.218.60.56/~jnz1568/getInfo.php?workbook=18_08.xlsx&amp;sheet=U0&amp;row=4267&amp;col=7&amp;number=0.000981&amp;sourceID=14","0.000981")</f>
        <v>0.000981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HYPERLINK("http://141.218.60.56/~jnz1568/getInfo.php?workbook=18_08.xlsx&amp;sheet=U0&amp;row=4268&amp;col=6&amp;number=3.4&amp;sourceID=14","3.4")</f>
        <v>3.4</v>
      </c>
      <c r="G4268" s="4" t="str">
        <f>HYPERLINK("http://141.218.60.56/~jnz1568/getInfo.php?workbook=18_08.xlsx&amp;sheet=U0&amp;row=4268&amp;col=7&amp;number=0.00098&amp;sourceID=14","0.00098")</f>
        <v>0.00098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HYPERLINK("http://141.218.60.56/~jnz1568/getInfo.php?workbook=18_08.xlsx&amp;sheet=U0&amp;row=4269&amp;col=6&amp;number=3.5&amp;sourceID=14","3.5")</f>
        <v>3.5</v>
      </c>
      <c r="G4269" s="4" t="str">
        <f>HYPERLINK("http://141.218.60.56/~jnz1568/getInfo.php?workbook=18_08.xlsx&amp;sheet=U0&amp;row=4269&amp;col=7&amp;number=0.00098&amp;sourceID=14","0.00098")</f>
        <v>0.00098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HYPERLINK("http://141.218.60.56/~jnz1568/getInfo.php?workbook=18_08.xlsx&amp;sheet=U0&amp;row=4270&amp;col=6&amp;number=3.6&amp;sourceID=14","3.6")</f>
        <v>3.6</v>
      </c>
      <c r="G4270" s="4" t="str">
        <f>HYPERLINK("http://141.218.60.56/~jnz1568/getInfo.php?workbook=18_08.xlsx&amp;sheet=U0&amp;row=4270&amp;col=7&amp;number=0.00098&amp;sourceID=14","0.00098")</f>
        <v>0.00098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HYPERLINK("http://141.218.60.56/~jnz1568/getInfo.php?workbook=18_08.xlsx&amp;sheet=U0&amp;row=4271&amp;col=6&amp;number=3.7&amp;sourceID=14","3.7")</f>
        <v>3.7</v>
      </c>
      <c r="G4271" s="4" t="str">
        <f>HYPERLINK("http://141.218.60.56/~jnz1568/getInfo.php?workbook=18_08.xlsx&amp;sheet=U0&amp;row=4271&amp;col=7&amp;number=0.00098&amp;sourceID=14","0.00098")</f>
        <v>0.00098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HYPERLINK("http://141.218.60.56/~jnz1568/getInfo.php?workbook=18_08.xlsx&amp;sheet=U0&amp;row=4272&amp;col=6&amp;number=3.8&amp;sourceID=14","3.8")</f>
        <v>3.8</v>
      </c>
      <c r="G4272" s="4" t="str">
        <f>HYPERLINK("http://141.218.60.56/~jnz1568/getInfo.php?workbook=18_08.xlsx&amp;sheet=U0&amp;row=4272&amp;col=7&amp;number=0.00098&amp;sourceID=14","0.00098")</f>
        <v>0.00098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HYPERLINK("http://141.218.60.56/~jnz1568/getInfo.php?workbook=18_08.xlsx&amp;sheet=U0&amp;row=4273&amp;col=6&amp;number=3.9&amp;sourceID=14","3.9")</f>
        <v>3.9</v>
      </c>
      <c r="G4273" s="4" t="str">
        <f>HYPERLINK("http://141.218.60.56/~jnz1568/getInfo.php?workbook=18_08.xlsx&amp;sheet=U0&amp;row=4273&amp;col=7&amp;number=0.000979&amp;sourceID=14","0.000979")</f>
        <v>0.000979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HYPERLINK("http://141.218.60.56/~jnz1568/getInfo.php?workbook=18_08.xlsx&amp;sheet=U0&amp;row=4274&amp;col=6&amp;number=4&amp;sourceID=14","4")</f>
        <v>4</v>
      </c>
      <c r="G4274" s="4" t="str">
        <f>HYPERLINK("http://141.218.60.56/~jnz1568/getInfo.php?workbook=18_08.xlsx&amp;sheet=U0&amp;row=4274&amp;col=7&amp;number=0.000979&amp;sourceID=14","0.000979")</f>
        <v>0.000979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HYPERLINK("http://141.218.60.56/~jnz1568/getInfo.php?workbook=18_08.xlsx&amp;sheet=U0&amp;row=4275&amp;col=6&amp;number=4.1&amp;sourceID=14","4.1")</f>
        <v>4.1</v>
      </c>
      <c r="G4275" s="4" t="str">
        <f>HYPERLINK("http://141.218.60.56/~jnz1568/getInfo.php?workbook=18_08.xlsx&amp;sheet=U0&amp;row=4275&amp;col=7&amp;number=0.000978&amp;sourceID=14","0.000978")</f>
        <v>0.000978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HYPERLINK("http://141.218.60.56/~jnz1568/getInfo.php?workbook=18_08.xlsx&amp;sheet=U0&amp;row=4276&amp;col=6&amp;number=4.2&amp;sourceID=14","4.2")</f>
        <v>4.2</v>
      </c>
      <c r="G4276" s="4" t="str">
        <f>HYPERLINK("http://141.218.60.56/~jnz1568/getInfo.php?workbook=18_08.xlsx&amp;sheet=U0&amp;row=4276&amp;col=7&amp;number=0.000978&amp;sourceID=14","0.000978")</f>
        <v>0.000978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HYPERLINK("http://141.218.60.56/~jnz1568/getInfo.php?workbook=18_08.xlsx&amp;sheet=U0&amp;row=4277&amp;col=6&amp;number=4.3&amp;sourceID=14","4.3")</f>
        <v>4.3</v>
      </c>
      <c r="G4277" s="4" t="str">
        <f>HYPERLINK("http://141.218.60.56/~jnz1568/getInfo.php?workbook=18_08.xlsx&amp;sheet=U0&amp;row=4277&amp;col=7&amp;number=0.000977&amp;sourceID=14","0.000977")</f>
        <v>0.000977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HYPERLINK("http://141.218.60.56/~jnz1568/getInfo.php?workbook=18_08.xlsx&amp;sheet=U0&amp;row=4278&amp;col=6&amp;number=4.4&amp;sourceID=14","4.4")</f>
        <v>4.4</v>
      </c>
      <c r="G4278" s="4" t="str">
        <f>HYPERLINK("http://141.218.60.56/~jnz1568/getInfo.php?workbook=18_08.xlsx&amp;sheet=U0&amp;row=4278&amp;col=7&amp;number=0.000976&amp;sourceID=14","0.000976")</f>
        <v>0.000976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HYPERLINK("http://141.218.60.56/~jnz1568/getInfo.php?workbook=18_08.xlsx&amp;sheet=U0&amp;row=4279&amp;col=6&amp;number=4.5&amp;sourceID=14","4.5")</f>
        <v>4.5</v>
      </c>
      <c r="G4279" s="4" t="str">
        <f>HYPERLINK("http://141.218.60.56/~jnz1568/getInfo.php?workbook=18_08.xlsx&amp;sheet=U0&amp;row=4279&amp;col=7&amp;number=0.000975&amp;sourceID=14","0.000975")</f>
        <v>0.000975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HYPERLINK("http://141.218.60.56/~jnz1568/getInfo.php?workbook=18_08.xlsx&amp;sheet=U0&amp;row=4280&amp;col=6&amp;number=4.6&amp;sourceID=14","4.6")</f>
        <v>4.6</v>
      </c>
      <c r="G4280" s="4" t="str">
        <f>HYPERLINK("http://141.218.60.56/~jnz1568/getInfo.php?workbook=18_08.xlsx&amp;sheet=U0&amp;row=4280&amp;col=7&amp;number=0.000973&amp;sourceID=14","0.000973")</f>
        <v>0.000973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HYPERLINK("http://141.218.60.56/~jnz1568/getInfo.php?workbook=18_08.xlsx&amp;sheet=U0&amp;row=4281&amp;col=6&amp;number=4.7&amp;sourceID=14","4.7")</f>
        <v>4.7</v>
      </c>
      <c r="G4281" s="4" t="str">
        <f>HYPERLINK("http://141.218.60.56/~jnz1568/getInfo.php?workbook=18_08.xlsx&amp;sheet=U0&amp;row=4281&amp;col=7&amp;number=0.000971&amp;sourceID=14","0.000971")</f>
        <v>0.000971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HYPERLINK("http://141.218.60.56/~jnz1568/getInfo.php?workbook=18_08.xlsx&amp;sheet=U0&amp;row=4282&amp;col=6&amp;number=4.8&amp;sourceID=14","4.8")</f>
        <v>4.8</v>
      </c>
      <c r="G4282" s="4" t="str">
        <f>HYPERLINK("http://141.218.60.56/~jnz1568/getInfo.php?workbook=18_08.xlsx&amp;sheet=U0&amp;row=4282&amp;col=7&amp;number=0.000969&amp;sourceID=14","0.000969")</f>
        <v>0.000969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HYPERLINK("http://141.218.60.56/~jnz1568/getInfo.php?workbook=18_08.xlsx&amp;sheet=U0&amp;row=4283&amp;col=6&amp;number=4.9&amp;sourceID=14","4.9")</f>
        <v>4.9</v>
      </c>
      <c r="G4283" s="4" t="str">
        <f>HYPERLINK("http://141.218.60.56/~jnz1568/getInfo.php?workbook=18_08.xlsx&amp;sheet=U0&amp;row=4283&amp;col=7&amp;number=0.000966&amp;sourceID=14","0.000966")</f>
        <v>0.000966</v>
      </c>
    </row>
    <row r="4284" spans="1:7">
      <c r="A4284" s="3">
        <v>18</v>
      </c>
      <c r="B4284" s="3">
        <v>8</v>
      </c>
      <c r="C4284" s="3" t="s">
        <v>65</v>
      </c>
      <c r="D4284" s="3">
        <v>9</v>
      </c>
      <c r="E4284" s="3">
        <v>1</v>
      </c>
      <c r="F4284" s="4" t="str">
        <f>HYPERLINK("http://141.218.60.56/~jnz1568/getInfo.php?workbook=18_08.xlsx&amp;sheet=U0&amp;row=4284&amp;col=6&amp;number=3&amp;sourceID=14","3")</f>
        <v>3</v>
      </c>
      <c r="G4284" s="4" t="str">
        <f>HYPERLINK("http://141.218.60.56/~jnz1568/getInfo.php?workbook=18_08.xlsx&amp;sheet=U0&amp;row=4284&amp;col=7&amp;number=0.000395&amp;sourceID=14","0.000395")</f>
        <v>0.000395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HYPERLINK("http://141.218.60.56/~jnz1568/getInfo.php?workbook=18_08.xlsx&amp;sheet=U0&amp;row=4285&amp;col=6&amp;number=3.1&amp;sourceID=14","3.1")</f>
        <v>3.1</v>
      </c>
      <c r="G4285" s="4" t="str">
        <f>HYPERLINK("http://141.218.60.56/~jnz1568/getInfo.php?workbook=18_08.xlsx&amp;sheet=U0&amp;row=4285&amp;col=7&amp;number=0.000395&amp;sourceID=14","0.000395")</f>
        <v>0.000395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HYPERLINK("http://141.218.60.56/~jnz1568/getInfo.php?workbook=18_08.xlsx&amp;sheet=U0&amp;row=4286&amp;col=6&amp;number=3.2&amp;sourceID=14","3.2")</f>
        <v>3.2</v>
      </c>
      <c r="G4286" s="4" t="str">
        <f>HYPERLINK("http://141.218.60.56/~jnz1568/getInfo.php?workbook=18_08.xlsx&amp;sheet=U0&amp;row=4286&amp;col=7&amp;number=0.000395&amp;sourceID=14","0.000395")</f>
        <v>0.000395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HYPERLINK("http://141.218.60.56/~jnz1568/getInfo.php?workbook=18_08.xlsx&amp;sheet=U0&amp;row=4287&amp;col=6&amp;number=3.3&amp;sourceID=14","3.3")</f>
        <v>3.3</v>
      </c>
      <c r="G4287" s="4" t="str">
        <f>HYPERLINK("http://141.218.60.56/~jnz1568/getInfo.php?workbook=18_08.xlsx&amp;sheet=U0&amp;row=4287&amp;col=7&amp;number=0.000395&amp;sourceID=14","0.000395")</f>
        <v>0.000395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HYPERLINK("http://141.218.60.56/~jnz1568/getInfo.php?workbook=18_08.xlsx&amp;sheet=U0&amp;row=4288&amp;col=6&amp;number=3.4&amp;sourceID=14","3.4")</f>
        <v>3.4</v>
      </c>
      <c r="G4288" s="4" t="str">
        <f>HYPERLINK("http://141.218.60.56/~jnz1568/getInfo.php?workbook=18_08.xlsx&amp;sheet=U0&amp;row=4288&amp;col=7&amp;number=0.000395&amp;sourceID=14","0.000395")</f>
        <v>0.000395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HYPERLINK("http://141.218.60.56/~jnz1568/getInfo.php?workbook=18_08.xlsx&amp;sheet=U0&amp;row=4289&amp;col=6&amp;number=3.5&amp;sourceID=14","3.5")</f>
        <v>3.5</v>
      </c>
      <c r="G4289" s="4" t="str">
        <f>HYPERLINK("http://141.218.60.56/~jnz1568/getInfo.php?workbook=18_08.xlsx&amp;sheet=U0&amp;row=4289&amp;col=7&amp;number=0.000395&amp;sourceID=14","0.000395")</f>
        <v>0.000395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HYPERLINK("http://141.218.60.56/~jnz1568/getInfo.php?workbook=18_08.xlsx&amp;sheet=U0&amp;row=4290&amp;col=6&amp;number=3.6&amp;sourceID=14","3.6")</f>
        <v>3.6</v>
      </c>
      <c r="G4290" s="4" t="str">
        <f>HYPERLINK("http://141.218.60.56/~jnz1568/getInfo.php?workbook=18_08.xlsx&amp;sheet=U0&amp;row=4290&amp;col=7&amp;number=0.000395&amp;sourceID=14","0.000395")</f>
        <v>0.000395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HYPERLINK("http://141.218.60.56/~jnz1568/getInfo.php?workbook=18_08.xlsx&amp;sheet=U0&amp;row=4291&amp;col=6&amp;number=3.7&amp;sourceID=14","3.7")</f>
        <v>3.7</v>
      </c>
      <c r="G4291" s="4" t="str">
        <f>HYPERLINK("http://141.218.60.56/~jnz1568/getInfo.php?workbook=18_08.xlsx&amp;sheet=U0&amp;row=4291&amp;col=7&amp;number=0.000395&amp;sourceID=14","0.000395")</f>
        <v>0.000395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HYPERLINK("http://141.218.60.56/~jnz1568/getInfo.php?workbook=18_08.xlsx&amp;sheet=U0&amp;row=4292&amp;col=6&amp;number=3.8&amp;sourceID=14","3.8")</f>
        <v>3.8</v>
      </c>
      <c r="G4292" s="4" t="str">
        <f>HYPERLINK("http://141.218.60.56/~jnz1568/getInfo.php?workbook=18_08.xlsx&amp;sheet=U0&amp;row=4292&amp;col=7&amp;number=0.000395&amp;sourceID=14","0.000395")</f>
        <v>0.000395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HYPERLINK("http://141.218.60.56/~jnz1568/getInfo.php?workbook=18_08.xlsx&amp;sheet=U0&amp;row=4293&amp;col=6&amp;number=3.9&amp;sourceID=14","3.9")</f>
        <v>3.9</v>
      </c>
      <c r="G4293" s="4" t="str">
        <f>HYPERLINK("http://141.218.60.56/~jnz1568/getInfo.php?workbook=18_08.xlsx&amp;sheet=U0&amp;row=4293&amp;col=7&amp;number=0.000394&amp;sourceID=14","0.000394")</f>
        <v>0.000394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HYPERLINK("http://141.218.60.56/~jnz1568/getInfo.php?workbook=18_08.xlsx&amp;sheet=U0&amp;row=4294&amp;col=6&amp;number=4&amp;sourceID=14","4")</f>
        <v>4</v>
      </c>
      <c r="G4294" s="4" t="str">
        <f>HYPERLINK("http://141.218.60.56/~jnz1568/getInfo.php?workbook=18_08.xlsx&amp;sheet=U0&amp;row=4294&amp;col=7&amp;number=0.000394&amp;sourceID=14","0.000394")</f>
        <v>0.000394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HYPERLINK("http://141.218.60.56/~jnz1568/getInfo.php?workbook=18_08.xlsx&amp;sheet=U0&amp;row=4295&amp;col=6&amp;number=4.1&amp;sourceID=14","4.1")</f>
        <v>4.1</v>
      </c>
      <c r="G4295" s="4" t="str">
        <f>HYPERLINK("http://141.218.60.56/~jnz1568/getInfo.php?workbook=18_08.xlsx&amp;sheet=U0&amp;row=4295&amp;col=7&amp;number=0.000394&amp;sourceID=14","0.000394")</f>
        <v>0.000394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HYPERLINK("http://141.218.60.56/~jnz1568/getInfo.php?workbook=18_08.xlsx&amp;sheet=U0&amp;row=4296&amp;col=6&amp;number=4.2&amp;sourceID=14","4.2")</f>
        <v>4.2</v>
      </c>
      <c r="G4296" s="4" t="str">
        <f>HYPERLINK("http://141.218.60.56/~jnz1568/getInfo.php?workbook=18_08.xlsx&amp;sheet=U0&amp;row=4296&amp;col=7&amp;number=0.000394&amp;sourceID=14","0.000394")</f>
        <v>0.000394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HYPERLINK("http://141.218.60.56/~jnz1568/getInfo.php?workbook=18_08.xlsx&amp;sheet=U0&amp;row=4297&amp;col=6&amp;number=4.3&amp;sourceID=14","4.3")</f>
        <v>4.3</v>
      </c>
      <c r="G4297" s="4" t="str">
        <f>HYPERLINK("http://141.218.60.56/~jnz1568/getInfo.php?workbook=18_08.xlsx&amp;sheet=U0&amp;row=4297&amp;col=7&amp;number=0.000394&amp;sourceID=14","0.000394")</f>
        <v>0.000394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HYPERLINK("http://141.218.60.56/~jnz1568/getInfo.php?workbook=18_08.xlsx&amp;sheet=U0&amp;row=4298&amp;col=6&amp;number=4.4&amp;sourceID=14","4.4")</f>
        <v>4.4</v>
      </c>
      <c r="G4298" s="4" t="str">
        <f>HYPERLINK("http://141.218.60.56/~jnz1568/getInfo.php?workbook=18_08.xlsx&amp;sheet=U0&amp;row=4298&amp;col=7&amp;number=0.000394&amp;sourceID=14","0.000394")</f>
        <v>0.000394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HYPERLINK("http://141.218.60.56/~jnz1568/getInfo.php?workbook=18_08.xlsx&amp;sheet=U0&amp;row=4299&amp;col=6&amp;number=4.5&amp;sourceID=14","4.5")</f>
        <v>4.5</v>
      </c>
      <c r="G4299" s="4" t="str">
        <f>HYPERLINK("http://141.218.60.56/~jnz1568/getInfo.php?workbook=18_08.xlsx&amp;sheet=U0&amp;row=4299&amp;col=7&amp;number=0.000394&amp;sourceID=14","0.000394")</f>
        <v>0.000394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HYPERLINK("http://141.218.60.56/~jnz1568/getInfo.php?workbook=18_08.xlsx&amp;sheet=U0&amp;row=4300&amp;col=6&amp;number=4.6&amp;sourceID=14","4.6")</f>
        <v>4.6</v>
      </c>
      <c r="G4300" s="4" t="str">
        <f>HYPERLINK("http://141.218.60.56/~jnz1568/getInfo.php?workbook=18_08.xlsx&amp;sheet=U0&amp;row=4300&amp;col=7&amp;number=0.000394&amp;sourceID=14","0.000394")</f>
        <v>0.000394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HYPERLINK("http://141.218.60.56/~jnz1568/getInfo.php?workbook=18_08.xlsx&amp;sheet=U0&amp;row=4301&amp;col=6&amp;number=4.7&amp;sourceID=14","4.7")</f>
        <v>4.7</v>
      </c>
      <c r="G4301" s="4" t="str">
        <f>HYPERLINK("http://141.218.60.56/~jnz1568/getInfo.php?workbook=18_08.xlsx&amp;sheet=U0&amp;row=4301&amp;col=7&amp;number=0.000393&amp;sourceID=14","0.000393")</f>
        <v>0.000393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HYPERLINK("http://141.218.60.56/~jnz1568/getInfo.php?workbook=18_08.xlsx&amp;sheet=U0&amp;row=4302&amp;col=6&amp;number=4.8&amp;sourceID=14","4.8")</f>
        <v>4.8</v>
      </c>
      <c r="G4302" s="4" t="str">
        <f>HYPERLINK("http://141.218.60.56/~jnz1568/getInfo.php?workbook=18_08.xlsx&amp;sheet=U0&amp;row=4302&amp;col=7&amp;number=0.000393&amp;sourceID=14","0.000393")</f>
        <v>0.000393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HYPERLINK("http://141.218.60.56/~jnz1568/getInfo.php?workbook=18_08.xlsx&amp;sheet=U0&amp;row=4303&amp;col=6&amp;number=4.9&amp;sourceID=14","4.9")</f>
        <v>4.9</v>
      </c>
      <c r="G4303" s="4" t="str">
        <f>HYPERLINK("http://141.218.60.56/~jnz1568/getInfo.php?workbook=18_08.xlsx&amp;sheet=U0&amp;row=4303&amp;col=7&amp;number=0.000392&amp;sourceID=14","0.000392")</f>
        <v>0.000392</v>
      </c>
    </row>
    <row r="4304" spans="1:7">
      <c r="A4304" s="3">
        <v>18</v>
      </c>
      <c r="B4304" s="3">
        <v>8</v>
      </c>
      <c r="C4304" s="3" t="s">
        <v>66</v>
      </c>
      <c r="D4304" s="3">
        <v>0</v>
      </c>
      <c r="E4304" s="3">
        <v>1</v>
      </c>
      <c r="F4304" s="4" t="str">
        <f>HYPERLINK("http://141.218.60.56/~jnz1568/getInfo.php?workbook=18_08.xlsx&amp;sheet=U0&amp;row=4304&amp;col=6&amp;number=3&amp;sourceID=14","3")</f>
        <v>3</v>
      </c>
      <c r="G4304" s="4" t="str">
        <f>HYPERLINK("http://141.218.60.56/~jnz1568/getInfo.php?workbook=18_08.xlsx&amp;sheet=U0&amp;row=4304&amp;col=7&amp;number=0.00173&amp;sourceID=14","0.00173")</f>
        <v>0.00173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HYPERLINK("http://141.218.60.56/~jnz1568/getInfo.php?workbook=18_08.xlsx&amp;sheet=U0&amp;row=4305&amp;col=6&amp;number=3.1&amp;sourceID=14","3.1")</f>
        <v>3.1</v>
      </c>
      <c r="G4305" s="4" t="str">
        <f>HYPERLINK("http://141.218.60.56/~jnz1568/getInfo.php?workbook=18_08.xlsx&amp;sheet=U0&amp;row=4305&amp;col=7&amp;number=0.00173&amp;sourceID=14","0.00173")</f>
        <v>0.00173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HYPERLINK("http://141.218.60.56/~jnz1568/getInfo.php?workbook=18_08.xlsx&amp;sheet=U0&amp;row=4306&amp;col=6&amp;number=3.2&amp;sourceID=14","3.2")</f>
        <v>3.2</v>
      </c>
      <c r="G4306" s="4" t="str">
        <f>HYPERLINK("http://141.218.60.56/~jnz1568/getInfo.php?workbook=18_08.xlsx&amp;sheet=U0&amp;row=4306&amp;col=7&amp;number=0.00173&amp;sourceID=14","0.00173")</f>
        <v>0.00173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HYPERLINK("http://141.218.60.56/~jnz1568/getInfo.php?workbook=18_08.xlsx&amp;sheet=U0&amp;row=4307&amp;col=6&amp;number=3.3&amp;sourceID=14","3.3")</f>
        <v>3.3</v>
      </c>
      <c r="G4307" s="4" t="str">
        <f>HYPERLINK("http://141.218.60.56/~jnz1568/getInfo.php?workbook=18_08.xlsx&amp;sheet=U0&amp;row=4307&amp;col=7&amp;number=0.00173&amp;sourceID=14","0.00173")</f>
        <v>0.00173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HYPERLINK("http://141.218.60.56/~jnz1568/getInfo.php?workbook=18_08.xlsx&amp;sheet=U0&amp;row=4308&amp;col=6&amp;number=3.4&amp;sourceID=14","3.4")</f>
        <v>3.4</v>
      </c>
      <c r="G4308" s="4" t="str">
        <f>HYPERLINK("http://141.218.60.56/~jnz1568/getInfo.php?workbook=18_08.xlsx&amp;sheet=U0&amp;row=4308&amp;col=7&amp;number=0.00173&amp;sourceID=14","0.00173")</f>
        <v>0.00173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HYPERLINK("http://141.218.60.56/~jnz1568/getInfo.php?workbook=18_08.xlsx&amp;sheet=U0&amp;row=4309&amp;col=6&amp;number=3.5&amp;sourceID=14","3.5")</f>
        <v>3.5</v>
      </c>
      <c r="G4309" s="4" t="str">
        <f>HYPERLINK("http://141.218.60.56/~jnz1568/getInfo.php?workbook=18_08.xlsx&amp;sheet=U0&amp;row=4309&amp;col=7&amp;number=0.00173&amp;sourceID=14","0.00173")</f>
        <v>0.00173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HYPERLINK("http://141.218.60.56/~jnz1568/getInfo.php?workbook=18_08.xlsx&amp;sheet=U0&amp;row=4310&amp;col=6&amp;number=3.6&amp;sourceID=14","3.6")</f>
        <v>3.6</v>
      </c>
      <c r="G4310" s="4" t="str">
        <f>HYPERLINK("http://141.218.60.56/~jnz1568/getInfo.php?workbook=18_08.xlsx&amp;sheet=U0&amp;row=4310&amp;col=7&amp;number=0.00173&amp;sourceID=14","0.00173")</f>
        <v>0.00173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HYPERLINK("http://141.218.60.56/~jnz1568/getInfo.php?workbook=18_08.xlsx&amp;sheet=U0&amp;row=4311&amp;col=6&amp;number=3.7&amp;sourceID=14","3.7")</f>
        <v>3.7</v>
      </c>
      <c r="G4311" s="4" t="str">
        <f>HYPERLINK("http://141.218.60.56/~jnz1568/getInfo.php?workbook=18_08.xlsx&amp;sheet=U0&amp;row=4311&amp;col=7&amp;number=0.00172&amp;sourceID=14","0.00172")</f>
        <v>0.00172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HYPERLINK("http://141.218.60.56/~jnz1568/getInfo.php?workbook=18_08.xlsx&amp;sheet=U0&amp;row=4312&amp;col=6&amp;number=3.8&amp;sourceID=14","3.8")</f>
        <v>3.8</v>
      </c>
      <c r="G4312" s="4" t="str">
        <f>HYPERLINK("http://141.218.60.56/~jnz1568/getInfo.php?workbook=18_08.xlsx&amp;sheet=U0&amp;row=4312&amp;col=7&amp;number=0.00172&amp;sourceID=14","0.00172")</f>
        <v>0.00172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HYPERLINK("http://141.218.60.56/~jnz1568/getInfo.php?workbook=18_08.xlsx&amp;sheet=U0&amp;row=4313&amp;col=6&amp;number=3.9&amp;sourceID=14","3.9")</f>
        <v>3.9</v>
      </c>
      <c r="G4313" s="4" t="str">
        <f>HYPERLINK("http://141.218.60.56/~jnz1568/getInfo.php?workbook=18_08.xlsx&amp;sheet=U0&amp;row=4313&amp;col=7&amp;number=0.00172&amp;sourceID=14","0.00172")</f>
        <v>0.00172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HYPERLINK("http://141.218.60.56/~jnz1568/getInfo.php?workbook=18_08.xlsx&amp;sheet=U0&amp;row=4314&amp;col=6&amp;number=4&amp;sourceID=14","4")</f>
        <v>4</v>
      </c>
      <c r="G4314" s="4" t="str">
        <f>HYPERLINK("http://141.218.60.56/~jnz1568/getInfo.php?workbook=18_08.xlsx&amp;sheet=U0&amp;row=4314&amp;col=7&amp;number=0.00172&amp;sourceID=14","0.00172")</f>
        <v>0.00172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HYPERLINK("http://141.218.60.56/~jnz1568/getInfo.php?workbook=18_08.xlsx&amp;sheet=U0&amp;row=4315&amp;col=6&amp;number=4.1&amp;sourceID=14","4.1")</f>
        <v>4.1</v>
      </c>
      <c r="G4315" s="4" t="str">
        <f>HYPERLINK("http://141.218.60.56/~jnz1568/getInfo.php?workbook=18_08.xlsx&amp;sheet=U0&amp;row=4315&amp;col=7&amp;number=0.00172&amp;sourceID=14","0.00172")</f>
        <v>0.00172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HYPERLINK("http://141.218.60.56/~jnz1568/getInfo.php?workbook=18_08.xlsx&amp;sheet=U0&amp;row=4316&amp;col=6&amp;number=4.2&amp;sourceID=14","4.2")</f>
        <v>4.2</v>
      </c>
      <c r="G4316" s="4" t="str">
        <f>HYPERLINK("http://141.218.60.56/~jnz1568/getInfo.php?workbook=18_08.xlsx&amp;sheet=U0&amp;row=4316&amp;col=7&amp;number=0.00172&amp;sourceID=14","0.00172")</f>
        <v>0.00172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HYPERLINK("http://141.218.60.56/~jnz1568/getInfo.php?workbook=18_08.xlsx&amp;sheet=U0&amp;row=4317&amp;col=6&amp;number=4.3&amp;sourceID=14","4.3")</f>
        <v>4.3</v>
      </c>
      <c r="G4317" s="4" t="str">
        <f>HYPERLINK("http://141.218.60.56/~jnz1568/getInfo.php?workbook=18_08.xlsx&amp;sheet=U0&amp;row=4317&amp;col=7&amp;number=0.00172&amp;sourceID=14","0.00172")</f>
        <v>0.00172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HYPERLINK("http://141.218.60.56/~jnz1568/getInfo.php?workbook=18_08.xlsx&amp;sheet=U0&amp;row=4318&amp;col=6&amp;number=4.4&amp;sourceID=14","4.4")</f>
        <v>4.4</v>
      </c>
      <c r="G4318" s="4" t="str">
        <f>HYPERLINK("http://141.218.60.56/~jnz1568/getInfo.php?workbook=18_08.xlsx&amp;sheet=U0&amp;row=4318&amp;col=7&amp;number=0.00172&amp;sourceID=14","0.00172")</f>
        <v>0.00172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HYPERLINK("http://141.218.60.56/~jnz1568/getInfo.php?workbook=18_08.xlsx&amp;sheet=U0&amp;row=4319&amp;col=6&amp;number=4.5&amp;sourceID=14","4.5")</f>
        <v>4.5</v>
      </c>
      <c r="G4319" s="4" t="str">
        <f>HYPERLINK("http://141.218.60.56/~jnz1568/getInfo.php?workbook=18_08.xlsx&amp;sheet=U0&amp;row=4319&amp;col=7&amp;number=0.00172&amp;sourceID=14","0.00172")</f>
        <v>0.00172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HYPERLINK("http://141.218.60.56/~jnz1568/getInfo.php?workbook=18_08.xlsx&amp;sheet=U0&amp;row=4320&amp;col=6&amp;number=4.6&amp;sourceID=14","4.6")</f>
        <v>4.6</v>
      </c>
      <c r="G4320" s="4" t="str">
        <f>HYPERLINK("http://141.218.60.56/~jnz1568/getInfo.php?workbook=18_08.xlsx&amp;sheet=U0&amp;row=4320&amp;col=7&amp;number=0.00172&amp;sourceID=14","0.00172")</f>
        <v>0.00172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HYPERLINK("http://141.218.60.56/~jnz1568/getInfo.php?workbook=18_08.xlsx&amp;sheet=U0&amp;row=4321&amp;col=6&amp;number=4.7&amp;sourceID=14","4.7")</f>
        <v>4.7</v>
      </c>
      <c r="G4321" s="4" t="str">
        <f>HYPERLINK("http://141.218.60.56/~jnz1568/getInfo.php?workbook=18_08.xlsx&amp;sheet=U0&amp;row=4321&amp;col=7&amp;number=0.00171&amp;sourceID=14","0.00171")</f>
        <v>0.00171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HYPERLINK("http://141.218.60.56/~jnz1568/getInfo.php?workbook=18_08.xlsx&amp;sheet=U0&amp;row=4322&amp;col=6&amp;number=4.8&amp;sourceID=14","4.8")</f>
        <v>4.8</v>
      </c>
      <c r="G4322" s="4" t="str">
        <f>HYPERLINK("http://141.218.60.56/~jnz1568/getInfo.php?workbook=18_08.xlsx&amp;sheet=U0&amp;row=4322&amp;col=7&amp;number=0.00171&amp;sourceID=14","0.00171")</f>
        <v>0.00171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HYPERLINK("http://141.218.60.56/~jnz1568/getInfo.php?workbook=18_08.xlsx&amp;sheet=U0&amp;row=4323&amp;col=6&amp;number=4.9&amp;sourceID=14","4.9")</f>
        <v>4.9</v>
      </c>
      <c r="G4323" s="4" t="str">
        <f>HYPERLINK("http://141.218.60.56/~jnz1568/getInfo.php?workbook=18_08.xlsx&amp;sheet=U0&amp;row=4323&amp;col=7&amp;number=0.00171&amp;sourceID=14","0.00171")</f>
        <v>0.00171</v>
      </c>
    </row>
    <row r="4324" spans="1:7">
      <c r="A4324" s="3">
        <v>18</v>
      </c>
      <c r="B4324" s="3">
        <v>8</v>
      </c>
      <c r="C4324" s="3" t="s">
        <v>66</v>
      </c>
      <c r="D4324" s="3">
        <v>1</v>
      </c>
      <c r="E4324" s="3">
        <v>1</v>
      </c>
      <c r="F4324" s="4" t="str">
        <f>HYPERLINK("http://141.218.60.56/~jnz1568/getInfo.php?workbook=18_08.xlsx&amp;sheet=U0&amp;row=4324&amp;col=6&amp;number=3&amp;sourceID=14","3")</f>
        <v>3</v>
      </c>
      <c r="G4324" s="4" t="str">
        <f>HYPERLINK("http://141.218.60.56/~jnz1568/getInfo.php?workbook=18_08.xlsx&amp;sheet=U0&amp;row=4324&amp;col=7&amp;number=0.00496&amp;sourceID=14","0.00496")</f>
        <v>0.00496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HYPERLINK("http://141.218.60.56/~jnz1568/getInfo.php?workbook=18_08.xlsx&amp;sheet=U0&amp;row=4325&amp;col=6&amp;number=3.1&amp;sourceID=14","3.1")</f>
        <v>3.1</v>
      </c>
      <c r="G4325" s="4" t="str">
        <f>HYPERLINK("http://141.218.60.56/~jnz1568/getInfo.php?workbook=18_08.xlsx&amp;sheet=U0&amp;row=4325&amp;col=7&amp;number=0.00496&amp;sourceID=14","0.00496")</f>
        <v>0.00496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HYPERLINK("http://141.218.60.56/~jnz1568/getInfo.php?workbook=18_08.xlsx&amp;sheet=U0&amp;row=4326&amp;col=6&amp;number=3.2&amp;sourceID=14","3.2")</f>
        <v>3.2</v>
      </c>
      <c r="G4326" s="4" t="str">
        <f>HYPERLINK("http://141.218.60.56/~jnz1568/getInfo.php?workbook=18_08.xlsx&amp;sheet=U0&amp;row=4326&amp;col=7&amp;number=0.00496&amp;sourceID=14","0.00496")</f>
        <v>0.00496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HYPERLINK("http://141.218.60.56/~jnz1568/getInfo.php?workbook=18_08.xlsx&amp;sheet=U0&amp;row=4327&amp;col=6&amp;number=3.3&amp;sourceID=14","3.3")</f>
        <v>3.3</v>
      </c>
      <c r="G4327" s="4" t="str">
        <f>HYPERLINK("http://141.218.60.56/~jnz1568/getInfo.php?workbook=18_08.xlsx&amp;sheet=U0&amp;row=4327&amp;col=7&amp;number=0.00495&amp;sourceID=14","0.00495")</f>
        <v>0.00495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HYPERLINK("http://141.218.60.56/~jnz1568/getInfo.php?workbook=18_08.xlsx&amp;sheet=U0&amp;row=4328&amp;col=6&amp;number=3.4&amp;sourceID=14","3.4")</f>
        <v>3.4</v>
      </c>
      <c r="G4328" s="4" t="str">
        <f>HYPERLINK("http://141.218.60.56/~jnz1568/getInfo.php?workbook=18_08.xlsx&amp;sheet=U0&amp;row=4328&amp;col=7&amp;number=0.00495&amp;sourceID=14","0.00495")</f>
        <v>0.00495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HYPERLINK("http://141.218.60.56/~jnz1568/getInfo.php?workbook=18_08.xlsx&amp;sheet=U0&amp;row=4329&amp;col=6&amp;number=3.5&amp;sourceID=14","3.5")</f>
        <v>3.5</v>
      </c>
      <c r="G4329" s="4" t="str">
        <f>HYPERLINK("http://141.218.60.56/~jnz1568/getInfo.php?workbook=18_08.xlsx&amp;sheet=U0&amp;row=4329&amp;col=7&amp;number=0.00495&amp;sourceID=14","0.00495")</f>
        <v>0.00495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HYPERLINK("http://141.218.60.56/~jnz1568/getInfo.php?workbook=18_08.xlsx&amp;sheet=U0&amp;row=4330&amp;col=6&amp;number=3.6&amp;sourceID=14","3.6")</f>
        <v>3.6</v>
      </c>
      <c r="G4330" s="4" t="str">
        <f>HYPERLINK("http://141.218.60.56/~jnz1568/getInfo.php?workbook=18_08.xlsx&amp;sheet=U0&amp;row=4330&amp;col=7&amp;number=0.00495&amp;sourceID=14","0.00495")</f>
        <v>0.00495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HYPERLINK("http://141.218.60.56/~jnz1568/getInfo.php?workbook=18_08.xlsx&amp;sheet=U0&amp;row=4331&amp;col=6&amp;number=3.7&amp;sourceID=14","3.7")</f>
        <v>3.7</v>
      </c>
      <c r="G4331" s="4" t="str">
        <f>HYPERLINK("http://141.218.60.56/~jnz1568/getInfo.php?workbook=18_08.xlsx&amp;sheet=U0&amp;row=4331&amp;col=7&amp;number=0.00495&amp;sourceID=14","0.00495")</f>
        <v>0.00495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HYPERLINK("http://141.218.60.56/~jnz1568/getInfo.php?workbook=18_08.xlsx&amp;sheet=U0&amp;row=4332&amp;col=6&amp;number=3.8&amp;sourceID=14","3.8")</f>
        <v>3.8</v>
      </c>
      <c r="G4332" s="4" t="str">
        <f>HYPERLINK("http://141.218.60.56/~jnz1568/getInfo.php?workbook=18_08.xlsx&amp;sheet=U0&amp;row=4332&amp;col=7&amp;number=0.00495&amp;sourceID=14","0.00495")</f>
        <v>0.00495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HYPERLINK("http://141.218.60.56/~jnz1568/getInfo.php?workbook=18_08.xlsx&amp;sheet=U0&amp;row=4333&amp;col=6&amp;number=3.9&amp;sourceID=14","3.9")</f>
        <v>3.9</v>
      </c>
      <c r="G4333" s="4" t="str">
        <f>HYPERLINK("http://141.218.60.56/~jnz1568/getInfo.php?workbook=18_08.xlsx&amp;sheet=U0&amp;row=4333&amp;col=7&amp;number=0.00495&amp;sourceID=14","0.00495")</f>
        <v>0.00495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HYPERLINK("http://141.218.60.56/~jnz1568/getInfo.php?workbook=18_08.xlsx&amp;sheet=U0&amp;row=4334&amp;col=6&amp;number=4&amp;sourceID=14","4")</f>
        <v>4</v>
      </c>
      <c r="G4334" s="4" t="str">
        <f>HYPERLINK("http://141.218.60.56/~jnz1568/getInfo.php?workbook=18_08.xlsx&amp;sheet=U0&amp;row=4334&amp;col=7&amp;number=0.00495&amp;sourceID=14","0.00495")</f>
        <v>0.00495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HYPERLINK("http://141.218.60.56/~jnz1568/getInfo.php?workbook=18_08.xlsx&amp;sheet=U0&amp;row=4335&amp;col=6&amp;number=4.1&amp;sourceID=14","4.1")</f>
        <v>4.1</v>
      </c>
      <c r="G4335" s="4" t="str">
        <f>HYPERLINK("http://141.218.60.56/~jnz1568/getInfo.php?workbook=18_08.xlsx&amp;sheet=U0&amp;row=4335&amp;col=7&amp;number=0.00494&amp;sourceID=14","0.00494")</f>
        <v>0.00494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HYPERLINK("http://141.218.60.56/~jnz1568/getInfo.php?workbook=18_08.xlsx&amp;sheet=U0&amp;row=4336&amp;col=6&amp;number=4.2&amp;sourceID=14","4.2")</f>
        <v>4.2</v>
      </c>
      <c r="G4336" s="4" t="str">
        <f>HYPERLINK("http://141.218.60.56/~jnz1568/getInfo.php?workbook=18_08.xlsx&amp;sheet=U0&amp;row=4336&amp;col=7&amp;number=0.00494&amp;sourceID=14","0.00494")</f>
        <v>0.00494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HYPERLINK("http://141.218.60.56/~jnz1568/getInfo.php?workbook=18_08.xlsx&amp;sheet=U0&amp;row=4337&amp;col=6&amp;number=4.3&amp;sourceID=14","4.3")</f>
        <v>4.3</v>
      </c>
      <c r="G4337" s="4" t="str">
        <f>HYPERLINK("http://141.218.60.56/~jnz1568/getInfo.php?workbook=18_08.xlsx&amp;sheet=U0&amp;row=4337&amp;col=7&amp;number=0.00493&amp;sourceID=14","0.00493")</f>
        <v>0.00493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HYPERLINK("http://141.218.60.56/~jnz1568/getInfo.php?workbook=18_08.xlsx&amp;sheet=U0&amp;row=4338&amp;col=6&amp;number=4.4&amp;sourceID=14","4.4")</f>
        <v>4.4</v>
      </c>
      <c r="G4338" s="4" t="str">
        <f>HYPERLINK("http://141.218.60.56/~jnz1568/getInfo.php?workbook=18_08.xlsx&amp;sheet=U0&amp;row=4338&amp;col=7&amp;number=0.00493&amp;sourceID=14","0.00493")</f>
        <v>0.00493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HYPERLINK("http://141.218.60.56/~jnz1568/getInfo.php?workbook=18_08.xlsx&amp;sheet=U0&amp;row=4339&amp;col=6&amp;number=4.5&amp;sourceID=14","4.5")</f>
        <v>4.5</v>
      </c>
      <c r="G4339" s="4" t="str">
        <f>HYPERLINK("http://141.218.60.56/~jnz1568/getInfo.php?workbook=18_08.xlsx&amp;sheet=U0&amp;row=4339&amp;col=7&amp;number=0.00492&amp;sourceID=14","0.00492")</f>
        <v>0.00492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HYPERLINK("http://141.218.60.56/~jnz1568/getInfo.php?workbook=18_08.xlsx&amp;sheet=U0&amp;row=4340&amp;col=6&amp;number=4.6&amp;sourceID=14","4.6")</f>
        <v>4.6</v>
      </c>
      <c r="G4340" s="4" t="str">
        <f>HYPERLINK("http://141.218.60.56/~jnz1568/getInfo.php?workbook=18_08.xlsx&amp;sheet=U0&amp;row=4340&amp;col=7&amp;number=0.00491&amp;sourceID=14","0.00491")</f>
        <v>0.00491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HYPERLINK("http://141.218.60.56/~jnz1568/getInfo.php?workbook=18_08.xlsx&amp;sheet=U0&amp;row=4341&amp;col=6&amp;number=4.7&amp;sourceID=14","4.7")</f>
        <v>4.7</v>
      </c>
      <c r="G4341" s="4" t="str">
        <f>HYPERLINK("http://141.218.60.56/~jnz1568/getInfo.php?workbook=18_08.xlsx&amp;sheet=U0&amp;row=4341&amp;col=7&amp;number=0.0049&amp;sourceID=14","0.0049")</f>
        <v>0.0049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HYPERLINK("http://141.218.60.56/~jnz1568/getInfo.php?workbook=18_08.xlsx&amp;sheet=U0&amp;row=4342&amp;col=6&amp;number=4.8&amp;sourceID=14","4.8")</f>
        <v>4.8</v>
      </c>
      <c r="G4342" s="4" t="str">
        <f>HYPERLINK("http://141.218.60.56/~jnz1568/getInfo.php?workbook=18_08.xlsx&amp;sheet=U0&amp;row=4342&amp;col=7&amp;number=0.00489&amp;sourceID=14","0.00489")</f>
        <v>0.00489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HYPERLINK("http://141.218.60.56/~jnz1568/getInfo.php?workbook=18_08.xlsx&amp;sheet=U0&amp;row=4343&amp;col=6&amp;number=4.9&amp;sourceID=14","4.9")</f>
        <v>4.9</v>
      </c>
      <c r="G4343" s="4" t="str">
        <f>HYPERLINK("http://141.218.60.56/~jnz1568/getInfo.php?workbook=18_08.xlsx&amp;sheet=U0&amp;row=4343&amp;col=7&amp;number=0.00487&amp;sourceID=14","0.00487")</f>
        <v>0.00487</v>
      </c>
    </row>
    <row r="4344" spans="1:7">
      <c r="A4344" s="3">
        <v>18</v>
      </c>
      <c r="B4344" s="3">
        <v>8</v>
      </c>
      <c r="C4344" s="3" t="s">
        <v>66</v>
      </c>
      <c r="D4344" s="3">
        <v>2</v>
      </c>
      <c r="E4344" s="3">
        <v>1</v>
      </c>
      <c r="F4344" s="4" t="str">
        <f>HYPERLINK("http://141.218.60.56/~jnz1568/getInfo.php?workbook=18_08.xlsx&amp;sheet=U0&amp;row=4344&amp;col=6&amp;number=3&amp;sourceID=14","3")</f>
        <v>3</v>
      </c>
      <c r="G4344" s="4" t="str">
        <f>HYPERLINK("http://141.218.60.56/~jnz1568/getInfo.php?workbook=18_08.xlsx&amp;sheet=U0&amp;row=4344&amp;col=7&amp;number=0.0192&amp;sourceID=14","0.0192")</f>
        <v>0.0192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HYPERLINK("http://141.218.60.56/~jnz1568/getInfo.php?workbook=18_08.xlsx&amp;sheet=U0&amp;row=4345&amp;col=6&amp;number=3.1&amp;sourceID=14","3.1")</f>
        <v>3.1</v>
      </c>
      <c r="G4345" s="4" t="str">
        <f>HYPERLINK("http://141.218.60.56/~jnz1568/getInfo.php?workbook=18_08.xlsx&amp;sheet=U0&amp;row=4345&amp;col=7&amp;number=0.0192&amp;sourceID=14","0.0192")</f>
        <v>0.0192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HYPERLINK("http://141.218.60.56/~jnz1568/getInfo.php?workbook=18_08.xlsx&amp;sheet=U0&amp;row=4346&amp;col=6&amp;number=3.2&amp;sourceID=14","3.2")</f>
        <v>3.2</v>
      </c>
      <c r="G4346" s="4" t="str">
        <f>HYPERLINK("http://141.218.60.56/~jnz1568/getInfo.php?workbook=18_08.xlsx&amp;sheet=U0&amp;row=4346&amp;col=7&amp;number=0.0192&amp;sourceID=14","0.0192")</f>
        <v>0.0192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HYPERLINK("http://141.218.60.56/~jnz1568/getInfo.php?workbook=18_08.xlsx&amp;sheet=U0&amp;row=4347&amp;col=6&amp;number=3.3&amp;sourceID=14","3.3")</f>
        <v>3.3</v>
      </c>
      <c r="G4347" s="4" t="str">
        <f>HYPERLINK("http://141.218.60.56/~jnz1568/getInfo.php?workbook=18_08.xlsx&amp;sheet=U0&amp;row=4347&amp;col=7&amp;number=0.0192&amp;sourceID=14","0.0192")</f>
        <v>0.0192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HYPERLINK("http://141.218.60.56/~jnz1568/getInfo.php?workbook=18_08.xlsx&amp;sheet=U0&amp;row=4348&amp;col=6&amp;number=3.4&amp;sourceID=14","3.4")</f>
        <v>3.4</v>
      </c>
      <c r="G4348" s="4" t="str">
        <f>HYPERLINK("http://141.218.60.56/~jnz1568/getInfo.php?workbook=18_08.xlsx&amp;sheet=U0&amp;row=4348&amp;col=7&amp;number=0.0192&amp;sourceID=14","0.0192")</f>
        <v>0.0192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HYPERLINK("http://141.218.60.56/~jnz1568/getInfo.php?workbook=18_08.xlsx&amp;sheet=U0&amp;row=4349&amp;col=6&amp;number=3.5&amp;sourceID=14","3.5")</f>
        <v>3.5</v>
      </c>
      <c r="G4349" s="4" t="str">
        <f>HYPERLINK("http://141.218.60.56/~jnz1568/getInfo.php?workbook=18_08.xlsx&amp;sheet=U0&amp;row=4349&amp;col=7&amp;number=0.0192&amp;sourceID=14","0.0192")</f>
        <v>0.0192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HYPERLINK("http://141.218.60.56/~jnz1568/getInfo.php?workbook=18_08.xlsx&amp;sheet=U0&amp;row=4350&amp;col=6&amp;number=3.6&amp;sourceID=14","3.6")</f>
        <v>3.6</v>
      </c>
      <c r="G4350" s="4" t="str">
        <f>HYPERLINK("http://141.218.60.56/~jnz1568/getInfo.php?workbook=18_08.xlsx&amp;sheet=U0&amp;row=4350&amp;col=7&amp;number=0.0192&amp;sourceID=14","0.0192")</f>
        <v>0.0192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HYPERLINK("http://141.218.60.56/~jnz1568/getInfo.php?workbook=18_08.xlsx&amp;sheet=U0&amp;row=4351&amp;col=6&amp;number=3.7&amp;sourceID=14","3.7")</f>
        <v>3.7</v>
      </c>
      <c r="G4351" s="4" t="str">
        <f>HYPERLINK("http://141.218.60.56/~jnz1568/getInfo.php?workbook=18_08.xlsx&amp;sheet=U0&amp;row=4351&amp;col=7&amp;number=0.0192&amp;sourceID=14","0.0192")</f>
        <v>0.0192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HYPERLINK("http://141.218.60.56/~jnz1568/getInfo.php?workbook=18_08.xlsx&amp;sheet=U0&amp;row=4352&amp;col=6&amp;number=3.8&amp;sourceID=14","3.8")</f>
        <v>3.8</v>
      </c>
      <c r="G4352" s="4" t="str">
        <f>HYPERLINK("http://141.218.60.56/~jnz1568/getInfo.php?workbook=18_08.xlsx&amp;sheet=U0&amp;row=4352&amp;col=7&amp;number=0.0192&amp;sourceID=14","0.0192")</f>
        <v>0.0192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HYPERLINK("http://141.218.60.56/~jnz1568/getInfo.php?workbook=18_08.xlsx&amp;sheet=U0&amp;row=4353&amp;col=6&amp;number=3.9&amp;sourceID=14","3.9")</f>
        <v>3.9</v>
      </c>
      <c r="G4353" s="4" t="str">
        <f>HYPERLINK("http://141.218.60.56/~jnz1568/getInfo.php?workbook=18_08.xlsx&amp;sheet=U0&amp;row=4353&amp;col=7&amp;number=0.0192&amp;sourceID=14","0.0192")</f>
        <v>0.0192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HYPERLINK("http://141.218.60.56/~jnz1568/getInfo.php?workbook=18_08.xlsx&amp;sheet=U0&amp;row=4354&amp;col=6&amp;number=4&amp;sourceID=14","4")</f>
        <v>4</v>
      </c>
      <c r="G4354" s="4" t="str">
        <f>HYPERLINK("http://141.218.60.56/~jnz1568/getInfo.php?workbook=18_08.xlsx&amp;sheet=U0&amp;row=4354&amp;col=7&amp;number=0.0192&amp;sourceID=14","0.0192")</f>
        <v>0.0192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HYPERLINK("http://141.218.60.56/~jnz1568/getInfo.php?workbook=18_08.xlsx&amp;sheet=U0&amp;row=4355&amp;col=6&amp;number=4.1&amp;sourceID=14","4.1")</f>
        <v>4.1</v>
      </c>
      <c r="G4355" s="4" t="str">
        <f>HYPERLINK("http://141.218.60.56/~jnz1568/getInfo.php?workbook=18_08.xlsx&amp;sheet=U0&amp;row=4355&amp;col=7&amp;number=0.0193&amp;sourceID=14","0.0193")</f>
        <v>0.0193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HYPERLINK("http://141.218.60.56/~jnz1568/getInfo.php?workbook=18_08.xlsx&amp;sheet=U0&amp;row=4356&amp;col=6&amp;number=4.2&amp;sourceID=14","4.2")</f>
        <v>4.2</v>
      </c>
      <c r="G4356" s="4" t="str">
        <f>HYPERLINK("http://141.218.60.56/~jnz1568/getInfo.php?workbook=18_08.xlsx&amp;sheet=U0&amp;row=4356&amp;col=7&amp;number=0.0193&amp;sourceID=14","0.0193")</f>
        <v>0.0193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HYPERLINK("http://141.218.60.56/~jnz1568/getInfo.php?workbook=18_08.xlsx&amp;sheet=U0&amp;row=4357&amp;col=6&amp;number=4.3&amp;sourceID=14","4.3")</f>
        <v>4.3</v>
      </c>
      <c r="G4357" s="4" t="str">
        <f>HYPERLINK("http://141.218.60.56/~jnz1568/getInfo.php?workbook=18_08.xlsx&amp;sheet=U0&amp;row=4357&amp;col=7&amp;number=0.0193&amp;sourceID=14","0.0193")</f>
        <v>0.0193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HYPERLINK("http://141.218.60.56/~jnz1568/getInfo.php?workbook=18_08.xlsx&amp;sheet=U0&amp;row=4358&amp;col=6&amp;number=4.4&amp;sourceID=14","4.4")</f>
        <v>4.4</v>
      </c>
      <c r="G4358" s="4" t="str">
        <f>HYPERLINK("http://141.218.60.56/~jnz1568/getInfo.php?workbook=18_08.xlsx&amp;sheet=U0&amp;row=4358&amp;col=7&amp;number=0.0193&amp;sourceID=14","0.0193")</f>
        <v>0.0193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HYPERLINK("http://141.218.60.56/~jnz1568/getInfo.php?workbook=18_08.xlsx&amp;sheet=U0&amp;row=4359&amp;col=6&amp;number=4.5&amp;sourceID=14","4.5")</f>
        <v>4.5</v>
      </c>
      <c r="G4359" s="4" t="str">
        <f>HYPERLINK("http://141.218.60.56/~jnz1568/getInfo.php?workbook=18_08.xlsx&amp;sheet=U0&amp;row=4359&amp;col=7&amp;number=0.0194&amp;sourceID=14","0.0194")</f>
        <v>0.0194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HYPERLINK("http://141.218.60.56/~jnz1568/getInfo.php?workbook=18_08.xlsx&amp;sheet=U0&amp;row=4360&amp;col=6&amp;number=4.6&amp;sourceID=14","4.6")</f>
        <v>4.6</v>
      </c>
      <c r="G4360" s="4" t="str">
        <f>HYPERLINK("http://141.218.60.56/~jnz1568/getInfo.php?workbook=18_08.xlsx&amp;sheet=U0&amp;row=4360&amp;col=7&amp;number=0.0194&amp;sourceID=14","0.0194")</f>
        <v>0.0194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HYPERLINK("http://141.218.60.56/~jnz1568/getInfo.php?workbook=18_08.xlsx&amp;sheet=U0&amp;row=4361&amp;col=6&amp;number=4.7&amp;sourceID=14","4.7")</f>
        <v>4.7</v>
      </c>
      <c r="G4361" s="4" t="str">
        <f>HYPERLINK("http://141.218.60.56/~jnz1568/getInfo.php?workbook=18_08.xlsx&amp;sheet=U0&amp;row=4361&amp;col=7&amp;number=0.0194&amp;sourceID=14","0.0194")</f>
        <v>0.0194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HYPERLINK("http://141.218.60.56/~jnz1568/getInfo.php?workbook=18_08.xlsx&amp;sheet=U0&amp;row=4362&amp;col=6&amp;number=4.8&amp;sourceID=14","4.8")</f>
        <v>4.8</v>
      </c>
      <c r="G4362" s="4" t="str">
        <f>HYPERLINK("http://141.218.60.56/~jnz1568/getInfo.php?workbook=18_08.xlsx&amp;sheet=U0&amp;row=4362&amp;col=7&amp;number=0.0195&amp;sourceID=14","0.0195")</f>
        <v>0.0195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HYPERLINK("http://141.218.60.56/~jnz1568/getInfo.php?workbook=18_08.xlsx&amp;sheet=U0&amp;row=4363&amp;col=6&amp;number=4.9&amp;sourceID=14","4.9")</f>
        <v>4.9</v>
      </c>
      <c r="G4363" s="4" t="str">
        <f>HYPERLINK("http://141.218.60.56/~jnz1568/getInfo.php?workbook=18_08.xlsx&amp;sheet=U0&amp;row=4363&amp;col=7&amp;number=0.0196&amp;sourceID=14","0.0196")</f>
        <v>0.0196</v>
      </c>
    </row>
    <row r="4364" spans="1:7">
      <c r="A4364" s="3">
        <v>18</v>
      </c>
      <c r="B4364" s="3">
        <v>8</v>
      </c>
      <c r="C4364" s="3" t="s">
        <v>66</v>
      </c>
      <c r="D4364" s="3">
        <v>3</v>
      </c>
      <c r="E4364" s="3">
        <v>1</v>
      </c>
      <c r="F4364" s="4" t="str">
        <f>HYPERLINK("http://141.218.60.56/~jnz1568/getInfo.php?workbook=18_08.xlsx&amp;sheet=U0&amp;row=4364&amp;col=6&amp;number=3&amp;sourceID=14","3")</f>
        <v>3</v>
      </c>
      <c r="G4364" s="4" t="str">
        <f>HYPERLINK("http://141.218.60.56/~jnz1568/getInfo.php?workbook=18_08.xlsx&amp;sheet=U0&amp;row=4364&amp;col=7&amp;number=0.051&amp;sourceID=14","0.051")</f>
        <v>0.051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HYPERLINK("http://141.218.60.56/~jnz1568/getInfo.php?workbook=18_08.xlsx&amp;sheet=U0&amp;row=4365&amp;col=6&amp;number=3.1&amp;sourceID=14","3.1")</f>
        <v>3.1</v>
      </c>
      <c r="G4365" s="4" t="str">
        <f>HYPERLINK("http://141.218.60.56/~jnz1568/getInfo.php?workbook=18_08.xlsx&amp;sheet=U0&amp;row=4365&amp;col=7&amp;number=0.051&amp;sourceID=14","0.051")</f>
        <v>0.051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HYPERLINK("http://141.218.60.56/~jnz1568/getInfo.php?workbook=18_08.xlsx&amp;sheet=U0&amp;row=4366&amp;col=6&amp;number=3.2&amp;sourceID=14","3.2")</f>
        <v>3.2</v>
      </c>
      <c r="G4366" s="4" t="str">
        <f>HYPERLINK("http://141.218.60.56/~jnz1568/getInfo.php?workbook=18_08.xlsx&amp;sheet=U0&amp;row=4366&amp;col=7&amp;number=0.051&amp;sourceID=14","0.051")</f>
        <v>0.051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HYPERLINK("http://141.218.60.56/~jnz1568/getInfo.php?workbook=18_08.xlsx&amp;sheet=U0&amp;row=4367&amp;col=6&amp;number=3.3&amp;sourceID=14","3.3")</f>
        <v>3.3</v>
      </c>
      <c r="G4367" s="4" t="str">
        <f>HYPERLINK("http://141.218.60.56/~jnz1568/getInfo.php?workbook=18_08.xlsx&amp;sheet=U0&amp;row=4367&amp;col=7&amp;number=0.051&amp;sourceID=14","0.051")</f>
        <v>0.051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HYPERLINK("http://141.218.60.56/~jnz1568/getInfo.php?workbook=18_08.xlsx&amp;sheet=U0&amp;row=4368&amp;col=6&amp;number=3.4&amp;sourceID=14","3.4")</f>
        <v>3.4</v>
      </c>
      <c r="G4368" s="4" t="str">
        <f>HYPERLINK("http://141.218.60.56/~jnz1568/getInfo.php?workbook=18_08.xlsx&amp;sheet=U0&amp;row=4368&amp;col=7&amp;number=0.051&amp;sourceID=14","0.051")</f>
        <v>0.051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HYPERLINK("http://141.218.60.56/~jnz1568/getInfo.php?workbook=18_08.xlsx&amp;sheet=U0&amp;row=4369&amp;col=6&amp;number=3.5&amp;sourceID=14","3.5")</f>
        <v>3.5</v>
      </c>
      <c r="G4369" s="4" t="str">
        <f>HYPERLINK("http://141.218.60.56/~jnz1568/getInfo.php?workbook=18_08.xlsx&amp;sheet=U0&amp;row=4369&amp;col=7&amp;number=0.051&amp;sourceID=14","0.051")</f>
        <v>0.051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HYPERLINK("http://141.218.60.56/~jnz1568/getInfo.php?workbook=18_08.xlsx&amp;sheet=U0&amp;row=4370&amp;col=6&amp;number=3.6&amp;sourceID=14","3.6")</f>
        <v>3.6</v>
      </c>
      <c r="G4370" s="4" t="str">
        <f>HYPERLINK("http://141.218.60.56/~jnz1568/getInfo.php?workbook=18_08.xlsx&amp;sheet=U0&amp;row=4370&amp;col=7&amp;number=0.051&amp;sourceID=14","0.051")</f>
        <v>0.051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HYPERLINK("http://141.218.60.56/~jnz1568/getInfo.php?workbook=18_08.xlsx&amp;sheet=U0&amp;row=4371&amp;col=6&amp;number=3.7&amp;sourceID=14","3.7")</f>
        <v>3.7</v>
      </c>
      <c r="G4371" s="4" t="str">
        <f>HYPERLINK("http://141.218.60.56/~jnz1568/getInfo.php?workbook=18_08.xlsx&amp;sheet=U0&amp;row=4371&amp;col=7&amp;number=0.051&amp;sourceID=14","0.051")</f>
        <v>0.051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HYPERLINK("http://141.218.60.56/~jnz1568/getInfo.php?workbook=18_08.xlsx&amp;sheet=U0&amp;row=4372&amp;col=6&amp;number=3.8&amp;sourceID=14","3.8")</f>
        <v>3.8</v>
      </c>
      <c r="G4372" s="4" t="str">
        <f>HYPERLINK("http://141.218.60.56/~jnz1568/getInfo.php?workbook=18_08.xlsx&amp;sheet=U0&amp;row=4372&amp;col=7&amp;number=0.0511&amp;sourceID=14","0.0511")</f>
        <v>0.0511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HYPERLINK("http://141.218.60.56/~jnz1568/getInfo.php?workbook=18_08.xlsx&amp;sheet=U0&amp;row=4373&amp;col=6&amp;number=3.9&amp;sourceID=14","3.9")</f>
        <v>3.9</v>
      </c>
      <c r="G4373" s="4" t="str">
        <f>HYPERLINK("http://141.218.60.56/~jnz1568/getInfo.php?workbook=18_08.xlsx&amp;sheet=U0&amp;row=4373&amp;col=7&amp;number=0.0511&amp;sourceID=14","0.0511")</f>
        <v>0.0511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HYPERLINK("http://141.218.60.56/~jnz1568/getInfo.php?workbook=18_08.xlsx&amp;sheet=U0&amp;row=4374&amp;col=6&amp;number=4&amp;sourceID=14","4")</f>
        <v>4</v>
      </c>
      <c r="G4374" s="4" t="str">
        <f>HYPERLINK("http://141.218.60.56/~jnz1568/getInfo.php?workbook=18_08.xlsx&amp;sheet=U0&amp;row=4374&amp;col=7&amp;number=0.0511&amp;sourceID=14","0.0511")</f>
        <v>0.0511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HYPERLINK("http://141.218.60.56/~jnz1568/getInfo.php?workbook=18_08.xlsx&amp;sheet=U0&amp;row=4375&amp;col=6&amp;number=4.1&amp;sourceID=14","4.1")</f>
        <v>4.1</v>
      </c>
      <c r="G4375" s="4" t="str">
        <f>HYPERLINK("http://141.218.60.56/~jnz1568/getInfo.php?workbook=18_08.xlsx&amp;sheet=U0&amp;row=4375&amp;col=7&amp;number=0.0511&amp;sourceID=14","0.0511")</f>
        <v>0.0511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HYPERLINK("http://141.218.60.56/~jnz1568/getInfo.php?workbook=18_08.xlsx&amp;sheet=U0&amp;row=4376&amp;col=6&amp;number=4.2&amp;sourceID=14","4.2")</f>
        <v>4.2</v>
      </c>
      <c r="G4376" s="4" t="str">
        <f>HYPERLINK("http://141.218.60.56/~jnz1568/getInfo.php?workbook=18_08.xlsx&amp;sheet=U0&amp;row=4376&amp;col=7&amp;number=0.0511&amp;sourceID=14","0.0511")</f>
        <v>0.0511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HYPERLINK("http://141.218.60.56/~jnz1568/getInfo.php?workbook=18_08.xlsx&amp;sheet=U0&amp;row=4377&amp;col=6&amp;number=4.3&amp;sourceID=14","4.3")</f>
        <v>4.3</v>
      </c>
      <c r="G4377" s="4" t="str">
        <f>HYPERLINK("http://141.218.60.56/~jnz1568/getInfo.php?workbook=18_08.xlsx&amp;sheet=U0&amp;row=4377&amp;col=7&amp;number=0.0511&amp;sourceID=14","0.0511")</f>
        <v>0.0511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HYPERLINK("http://141.218.60.56/~jnz1568/getInfo.php?workbook=18_08.xlsx&amp;sheet=U0&amp;row=4378&amp;col=6&amp;number=4.4&amp;sourceID=14","4.4")</f>
        <v>4.4</v>
      </c>
      <c r="G4378" s="4" t="str">
        <f>HYPERLINK("http://141.218.60.56/~jnz1568/getInfo.php?workbook=18_08.xlsx&amp;sheet=U0&amp;row=4378&amp;col=7&amp;number=0.0511&amp;sourceID=14","0.0511")</f>
        <v>0.0511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HYPERLINK("http://141.218.60.56/~jnz1568/getInfo.php?workbook=18_08.xlsx&amp;sheet=U0&amp;row=4379&amp;col=6&amp;number=4.5&amp;sourceID=14","4.5")</f>
        <v>4.5</v>
      </c>
      <c r="G4379" s="4" t="str">
        <f>HYPERLINK("http://141.218.60.56/~jnz1568/getInfo.php?workbook=18_08.xlsx&amp;sheet=U0&amp;row=4379&amp;col=7&amp;number=0.0511&amp;sourceID=14","0.0511")</f>
        <v>0.0511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HYPERLINK("http://141.218.60.56/~jnz1568/getInfo.php?workbook=18_08.xlsx&amp;sheet=U0&amp;row=4380&amp;col=6&amp;number=4.6&amp;sourceID=14","4.6")</f>
        <v>4.6</v>
      </c>
      <c r="G4380" s="4" t="str">
        <f>HYPERLINK("http://141.218.60.56/~jnz1568/getInfo.php?workbook=18_08.xlsx&amp;sheet=U0&amp;row=4380&amp;col=7&amp;number=0.0511&amp;sourceID=14","0.0511")</f>
        <v>0.0511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HYPERLINK("http://141.218.60.56/~jnz1568/getInfo.php?workbook=18_08.xlsx&amp;sheet=U0&amp;row=4381&amp;col=6&amp;number=4.7&amp;sourceID=14","4.7")</f>
        <v>4.7</v>
      </c>
      <c r="G4381" s="4" t="str">
        <f>HYPERLINK("http://141.218.60.56/~jnz1568/getInfo.php?workbook=18_08.xlsx&amp;sheet=U0&amp;row=4381&amp;col=7&amp;number=0.0511&amp;sourceID=14","0.0511")</f>
        <v>0.0511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HYPERLINK("http://141.218.60.56/~jnz1568/getInfo.php?workbook=18_08.xlsx&amp;sheet=U0&amp;row=4382&amp;col=6&amp;number=4.8&amp;sourceID=14","4.8")</f>
        <v>4.8</v>
      </c>
      <c r="G4382" s="4" t="str">
        <f>HYPERLINK("http://141.218.60.56/~jnz1568/getInfo.php?workbook=18_08.xlsx&amp;sheet=U0&amp;row=4382&amp;col=7&amp;number=0.0512&amp;sourceID=14","0.0512")</f>
        <v>0.0512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HYPERLINK("http://141.218.60.56/~jnz1568/getInfo.php?workbook=18_08.xlsx&amp;sheet=U0&amp;row=4383&amp;col=6&amp;number=4.9&amp;sourceID=14","4.9")</f>
        <v>4.9</v>
      </c>
      <c r="G4383" s="4" t="str">
        <f>HYPERLINK("http://141.218.60.56/~jnz1568/getInfo.php?workbook=18_08.xlsx&amp;sheet=U0&amp;row=4383&amp;col=7&amp;number=0.0512&amp;sourceID=14","0.0512")</f>
        <v>0.0512</v>
      </c>
    </row>
    <row r="4384" spans="1:7">
      <c r="A4384" s="3">
        <v>18</v>
      </c>
      <c r="B4384" s="3">
        <v>8</v>
      </c>
      <c r="C4384" s="3" t="s">
        <v>66</v>
      </c>
      <c r="D4384" s="3">
        <v>4</v>
      </c>
      <c r="E4384" s="3">
        <v>1</v>
      </c>
      <c r="F4384" s="4" t="str">
        <f>HYPERLINK("http://141.218.60.56/~jnz1568/getInfo.php?workbook=18_08.xlsx&amp;sheet=U0&amp;row=4384&amp;col=6&amp;number=3&amp;sourceID=14","3")</f>
        <v>3</v>
      </c>
      <c r="G4384" s="4" t="str">
        <f>HYPERLINK("http://141.218.60.56/~jnz1568/getInfo.php?workbook=18_08.xlsx&amp;sheet=U0&amp;row=4384&amp;col=7&amp;number=0.00244&amp;sourceID=14","0.00244")</f>
        <v>0.00244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HYPERLINK("http://141.218.60.56/~jnz1568/getInfo.php?workbook=18_08.xlsx&amp;sheet=U0&amp;row=4385&amp;col=6&amp;number=3.1&amp;sourceID=14","3.1")</f>
        <v>3.1</v>
      </c>
      <c r="G4385" s="4" t="str">
        <f>HYPERLINK("http://141.218.60.56/~jnz1568/getInfo.php?workbook=18_08.xlsx&amp;sheet=U0&amp;row=4385&amp;col=7&amp;number=0.00244&amp;sourceID=14","0.00244")</f>
        <v>0.00244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HYPERLINK("http://141.218.60.56/~jnz1568/getInfo.php?workbook=18_08.xlsx&amp;sheet=U0&amp;row=4386&amp;col=6&amp;number=3.2&amp;sourceID=14","3.2")</f>
        <v>3.2</v>
      </c>
      <c r="G4386" s="4" t="str">
        <f>HYPERLINK("http://141.218.60.56/~jnz1568/getInfo.php?workbook=18_08.xlsx&amp;sheet=U0&amp;row=4386&amp;col=7&amp;number=0.00244&amp;sourceID=14","0.00244")</f>
        <v>0.00244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HYPERLINK("http://141.218.60.56/~jnz1568/getInfo.php?workbook=18_08.xlsx&amp;sheet=U0&amp;row=4387&amp;col=6&amp;number=3.3&amp;sourceID=14","3.3")</f>
        <v>3.3</v>
      </c>
      <c r="G4387" s="4" t="str">
        <f>HYPERLINK("http://141.218.60.56/~jnz1568/getInfo.php?workbook=18_08.xlsx&amp;sheet=U0&amp;row=4387&amp;col=7&amp;number=0.00244&amp;sourceID=14","0.00244")</f>
        <v>0.00244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HYPERLINK("http://141.218.60.56/~jnz1568/getInfo.php?workbook=18_08.xlsx&amp;sheet=U0&amp;row=4388&amp;col=6&amp;number=3.4&amp;sourceID=14","3.4")</f>
        <v>3.4</v>
      </c>
      <c r="G4388" s="4" t="str">
        <f>HYPERLINK("http://141.218.60.56/~jnz1568/getInfo.php?workbook=18_08.xlsx&amp;sheet=U0&amp;row=4388&amp;col=7&amp;number=0.00244&amp;sourceID=14","0.00244")</f>
        <v>0.00244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HYPERLINK("http://141.218.60.56/~jnz1568/getInfo.php?workbook=18_08.xlsx&amp;sheet=U0&amp;row=4389&amp;col=6&amp;number=3.5&amp;sourceID=14","3.5")</f>
        <v>3.5</v>
      </c>
      <c r="G4389" s="4" t="str">
        <f>HYPERLINK("http://141.218.60.56/~jnz1568/getInfo.php?workbook=18_08.xlsx&amp;sheet=U0&amp;row=4389&amp;col=7&amp;number=0.00244&amp;sourceID=14","0.00244")</f>
        <v>0.00244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HYPERLINK("http://141.218.60.56/~jnz1568/getInfo.php?workbook=18_08.xlsx&amp;sheet=U0&amp;row=4390&amp;col=6&amp;number=3.6&amp;sourceID=14","3.6")</f>
        <v>3.6</v>
      </c>
      <c r="G4390" s="4" t="str">
        <f>HYPERLINK("http://141.218.60.56/~jnz1568/getInfo.php?workbook=18_08.xlsx&amp;sheet=U0&amp;row=4390&amp;col=7&amp;number=0.00244&amp;sourceID=14","0.00244")</f>
        <v>0.00244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HYPERLINK("http://141.218.60.56/~jnz1568/getInfo.php?workbook=18_08.xlsx&amp;sheet=U0&amp;row=4391&amp;col=6&amp;number=3.7&amp;sourceID=14","3.7")</f>
        <v>3.7</v>
      </c>
      <c r="G4391" s="4" t="str">
        <f>HYPERLINK("http://141.218.60.56/~jnz1568/getInfo.php?workbook=18_08.xlsx&amp;sheet=U0&amp;row=4391&amp;col=7&amp;number=0.00244&amp;sourceID=14","0.00244")</f>
        <v>0.00244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HYPERLINK("http://141.218.60.56/~jnz1568/getInfo.php?workbook=18_08.xlsx&amp;sheet=U0&amp;row=4392&amp;col=6&amp;number=3.8&amp;sourceID=14","3.8")</f>
        <v>3.8</v>
      </c>
      <c r="G4392" s="4" t="str">
        <f>HYPERLINK("http://141.218.60.56/~jnz1568/getInfo.php?workbook=18_08.xlsx&amp;sheet=U0&amp;row=4392&amp;col=7&amp;number=0.00244&amp;sourceID=14","0.00244")</f>
        <v>0.00244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HYPERLINK("http://141.218.60.56/~jnz1568/getInfo.php?workbook=18_08.xlsx&amp;sheet=U0&amp;row=4393&amp;col=6&amp;number=3.9&amp;sourceID=14","3.9")</f>
        <v>3.9</v>
      </c>
      <c r="G4393" s="4" t="str">
        <f>HYPERLINK("http://141.218.60.56/~jnz1568/getInfo.php?workbook=18_08.xlsx&amp;sheet=U0&amp;row=4393&amp;col=7&amp;number=0.00244&amp;sourceID=14","0.00244")</f>
        <v>0.00244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HYPERLINK("http://141.218.60.56/~jnz1568/getInfo.php?workbook=18_08.xlsx&amp;sheet=U0&amp;row=4394&amp;col=6&amp;number=4&amp;sourceID=14","4")</f>
        <v>4</v>
      </c>
      <c r="G4394" s="4" t="str">
        <f>HYPERLINK("http://141.218.60.56/~jnz1568/getInfo.php?workbook=18_08.xlsx&amp;sheet=U0&amp;row=4394&amp;col=7&amp;number=0.00244&amp;sourceID=14","0.00244")</f>
        <v>0.00244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HYPERLINK("http://141.218.60.56/~jnz1568/getInfo.php?workbook=18_08.xlsx&amp;sheet=U0&amp;row=4395&amp;col=6&amp;number=4.1&amp;sourceID=14","4.1")</f>
        <v>4.1</v>
      </c>
      <c r="G4395" s="4" t="str">
        <f>HYPERLINK("http://141.218.60.56/~jnz1568/getInfo.php?workbook=18_08.xlsx&amp;sheet=U0&amp;row=4395&amp;col=7&amp;number=0.00244&amp;sourceID=14","0.00244")</f>
        <v>0.00244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HYPERLINK("http://141.218.60.56/~jnz1568/getInfo.php?workbook=18_08.xlsx&amp;sheet=U0&amp;row=4396&amp;col=6&amp;number=4.2&amp;sourceID=14","4.2")</f>
        <v>4.2</v>
      </c>
      <c r="G4396" s="4" t="str">
        <f>HYPERLINK("http://141.218.60.56/~jnz1568/getInfo.php?workbook=18_08.xlsx&amp;sheet=U0&amp;row=4396&amp;col=7&amp;number=0.00244&amp;sourceID=14","0.00244")</f>
        <v>0.00244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HYPERLINK("http://141.218.60.56/~jnz1568/getInfo.php?workbook=18_08.xlsx&amp;sheet=U0&amp;row=4397&amp;col=6&amp;number=4.3&amp;sourceID=14","4.3")</f>
        <v>4.3</v>
      </c>
      <c r="G4397" s="4" t="str">
        <f>HYPERLINK("http://141.218.60.56/~jnz1568/getInfo.php?workbook=18_08.xlsx&amp;sheet=U0&amp;row=4397&amp;col=7&amp;number=0.00244&amp;sourceID=14","0.00244")</f>
        <v>0.00244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HYPERLINK("http://141.218.60.56/~jnz1568/getInfo.php?workbook=18_08.xlsx&amp;sheet=U0&amp;row=4398&amp;col=6&amp;number=4.4&amp;sourceID=14","4.4")</f>
        <v>4.4</v>
      </c>
      <c r="G4398" s="4" t="str">
        <f>HYPERLINK("http://141.218.60.56/~jnz1568/getInfo.php?workbook=18_08.xlsx&amp;sheet=U0&amp;row=4398&amp;col=7&amp;number=0.00244&amp;sourceID=14","0.00244")</f>
        <v>0.00244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HYPERLINK("http://141.218.60.56/~jnz1568/getInfo.php?workbook=18_08.xlsx&amp;sheet=U0&amp;row=4399&amp;col=6&amp;number=4.5&amp;sourceID=14","4.5")</f>
        <v>4.5</v>
      </c>
      <c r="G4399" s="4" t="str">
        <f>HYPERLINK("http://141.218.60.56/~jnz1568/getInfo.php?workbook=18_08.xlsx&amp;sheet=U0&amp;row=4399&amp;col=7&amp;number=0.00244&amp;sourceID=14","0.00244")</f>
        <v>0.00244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HYPERLINK("http://141.218.60.56/~jnz1568/getInfo.php?workbook=18_08.xlsx&amp;sheet=U0&amp;row=4400&amp;col=6&amp;number=4.6&amp;sourceID=14","4.6")</f>
        <v>4.6</v>
      </c>
      <c r="G4400" s="4" t="str">
        <f>HYPERLINK("http://141.218.60.56/~jnz1568/getInfo.php?workbook=18_08.xlsx&amp;sheet=U0&amp;row=4400&amp;col=7&amp;number=0.00244&amp;sourceID=14","0.00244")</f>
        <v>0.00244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HYPERLINK("http://141.218.60.56/~jnz1568/getInfo.php?workbook=18_08.xlsx&amp;sheet=U0&amp;row=4401&amp;col=6&amp;number=4.7&amp;sourceID=14","4.7")</f>
        <v>4.7</v>
      </c>
      <c r="G4401" s="4" t="str">
        <f>HYPERLINK("http://141.218.60.56/~jnz1568/getInfo.php?workbook=18_08.xlsx&amp;sheet=U0&amp;row=4401&amp;col=7&amp;number=0.00244&amp;sourceID=14","0.00244")</f>
        <v>0.00244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HYPERLINK("http://141.218.60.56/~jnz1568/getInfo.php?workbook=18_08.xlsx&amp;sheet=U0&amp;row=4402&amp;col=6&amp;number=4.8&amp;sourceID=14","4.8")</f>
        <v>4.8</v>
      </c>
      <c r="G4402" s="4" t="str">
        <f>HYPERLINK("http://141.218.60.56/~jnz1568/getInfo.php?workbook=18_08.xlsx&amp;sheet=U0&amp;row=4402&amp;col=7&amp;number=0.00244&amp;sourceID=14","0.00244")</f>
        <v>0.00244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HYPERLINK("http://141.218.60.56/~jnz1568/getInfo.php?workbook=18_08.xlsx&amp;sheet=U0&amp;row=4403&amp;col=6&amp;number=4.9&amp;sourceID=14","4.9")</f>
        <v>4.9</v>
      </c>
      <c r="G4403" s="4" t="str">
        <f>HYPERLINK("http://141.218.60.56/~jnz1568/getInfo.php?workbook=18_08.xlsx&amp;sheet=U0&amp;row=4403&amp;col=7&amp;number=0.00244&amp;sourceID=14","0.00244")</f>
        <v>0.00244</v>
      </c>
    </row>
    <row r="4404" spans="1:7">
      <c r="A4404" s="3">
        <v>18</v>
      </c>
      <c r="B4404" s="3">
        <v>8</v>
      </c>
      <c r="C4404" s="3" t="s">
        <v>66</v>
      </c>
      <c r="D4404" s="3">
        <v>5</v>
      </c>
      <c r="E4404" s="3">
        <v>1</v>
      </c>
      <c r="F4404" s="4" t="str">
        <f>HYPERLINK("http://141.218.60.56/~jnz1568/getInfo.php?workbook=18_08.xlsx&amp;sheet=U0&amp;row=4404&amp;col=6&amp;number=3&amp;sourceID=14","3")</f>
        <v>3</v>
      </c>
      <c r="G4404" s="4" t="str">
        <f>HYPERLINK("http://141.218.60.56/~jnz1568/getInfo.php?workbook=18_08.xlsx&amp;sheet=U0&amp;row=4404&amp;col=7&amp;number=0.00187&amp;sourceID=14","0.00187")</f>
        <v>0.00187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HYPERLINK("http://141.218.60.56/~jnz1568/getInfo.php?workbook=18_08.xlsx&amp;sheet=U0&amp;row=4405&amp;col=6&amp;number=3.1&amp;sourceID=14","3.1")</f>
        <v>3.1</v>
      </c>
      <c r="G4405" s="4" t="str">
        <f>HYPERLINK("http://141.218.60.56/~jnz1568/getInfo.php?workbook=18_08.xlsx&amp;sheet=U0&amp;row=4405&amp;col=7&amp;number=0.00187&amp;sourceID=14","0.00187")</f>
        <v>0.00187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HYPERLINK("http://141.218.60.56/~jnz1568/getInfo.php?workbook=18_08.xlsx&amp;sheet=U0&amp;row=4406&amp;col=6&amp;number=3.2&amp;sourceID=14","3.2")</f>
        <v>3.2</v>
      </c>
      <c r="G4406" s="4" t="str">
        <f>HYPERLINK("http://141.218.60.56/~jnz1568/getInfo.php?workbook=18_08.xlsx&amp;sheet=U0&amp;row=4406&amp;col=7&amp;number=0.00187&amp;sourceID=14","0.00187")</f>
        <v>0.00187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HYPERLINK("http://141.218.60.56/~jnz1568/getInfo.php?workbook=18_08.xlsx&amp;sheet=U0&amp;row=4407&amp;col=6&amp;number=3.3&amp;sourceID=14","3.3")</f>
        <v>3.3</v>
      </c>
      <c r="G4407" s="4" t="str">
        <f>HYPERLINK("http://141.218.60.56/~jnz1568/getInfo.php?workbook=18_08.xlsx&amp;sheet=U0&amp;row=4407&amp;col=7&amp;number=0.00187&amp;sourceID=14","0.00187")</f>
        <v>0.00187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HYPERLINK("http://141.218.60.56/~jnz1568/getInfo.php?workbook=18_08.xlsx&amp;sheet=U0&amp;row=4408&amp;col=6&amp;number=3.4&amp;sourceID=14","3.4")</f>
        <v>3.4</v>
      </c>
      <c r="G4408" s="4" t="str">
        <f>HYPERLINK("http://141.218.60.56/~jnz1568/getInfo.php?workbook=18_08.xlsx&amp;sheet=U0&amp;row=4408&amp;col=7&amp;number=0.00187&amp;sourceID=14","0.00187")</f>
        <v>0.00187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HYPERLINK("http://141.218.60.56/~jnz1568/getInfo.php?workbook=18_08.xlsx&amp;sheet=U0&amp;row=4409&amp;col=6&amp;number=3.5&amp;sourceID=14","3.5")</f>
        <v>3.5</v>
      </c>
      <c r="G4409" s="4" t="str">
        <f>HYPERLINK("http://141.218.60.56/~jnz1568/getInfo.php?workbook=18_08.xlsx&amp;sheet=U0&amp;row=4409&amp;col=7&amp;number=0.00187&amp;sourceID=14","0.00187")</f>
        <v>0.00187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HYPERLINK("http://141.218.60.56/~jnz1568/getInfo.php?workbook=18_08.xlsx&amp;sheet=U0&amp;row=4410&amp;col=6&amp;number=3.6&amp;sourceID=14","3.6")</f>
        <v>3.6</v>
      </c>
      <c r="G4410" s="4" t="str">
        <f>HYPERLINK("http://141.218.60.56/~jnz1568/getInfo.php?workbook=18_08.xlsx&amp;sheet=U0&amp;row=4410&amp;col=7&amp;number=0.00187&amp;sourceID=14","0.00187")</f>
        <v>0.00187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HYPERLINK("http://141.218.60.56/~jnz1568/getInfo.php?workbook=18_08.xlsx&amp;sheet=U0&amp;row=4411&amp;col=6&amp;number=3.7&amp;sourceID=14","3.7")</f>
        <v>3.7</v>
      </c>
      <c r="G4411" s="4" t="str">
        <f>HYPERLINK("http://141.218.60.56/~jnz1568/getInfo.php?workbook=18_08.xlsx&amp;sheet=U0&amp;row=4411&amp;col=7&amp;number=0.00187&amp;sourceID=14","0.00187")</f>
        <v>0.00187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HYPERLINK("http://141.218.60.56/~jnz1568/getInfo.php?workbook=18_08.xlsx&amp;sheet=U0&amp;row=4412&amp;col=6&amp;number=3.8&amp;sourceID=14","3.8")</f>
        <v>3.8</v>
      </c>
      <c r="G4412" s="4" t="str">
        <f>HYPERLINK("http://141.218.60.56/~jnz1568/getInfo.php?workbook=18_08.xlsx&amp;sheet=U0&amp;row=4412&amp;col=7&amp;number=0.00186&amp;sourceID=14","0.00186")</f>
        <v>0.00186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HYPERLINK("http://141.218.60.56/~jnz1568/getInfo.php?workbook=18_08.xlsx&amp;sheet=U0&amp;row=4413&amp;col=6&amp;number=3.9&amp;sourceID=14","3.9")</f>
        <v>3.9</v>
      </c>
      <c r="G4413" s="4" t="str">
        <f>HYPERLINK("http://141.218.60.56/~jnz1568/getInfo.php?workbook=18_08.xlsx&amp;sheet=U0&amp;row=4413&amp;col=7&amp;number=0.00186&amp;sourceID=14","0.00186")</f>
        <v>0.00186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HYPERLINK("http://141.218.60.56/~jnz1568/getInfo.php?workbook=18_08.xlsx&amp;sheet=U0&amp;row=4414&amp;col=6&amp;number=4&amp;sourceID=14","4")</f>
        <v>4</v>
      </c>
      <c r="G4414" s="4" t="str">
        <f>HYPERLINK("http://141.218.60.56/~jnz1568/getInfo.php?workbook=18_08.xlsx&amp;sheet=U0&amp;row=4414&amp;col=7&amp;number=0.00186&amp;sourceID=14","0.00186")</f>
        <v>0.00186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HYPERLINK("http://141.218.60.56/~jnz1568/getInfo.php?workbook=18_08.xlsx&amp;sheet=U0&amp;row=4415&amp;col=6&amp;number=4.1&amp;sourceID=14","4.1")</f>
        <v>4.1</v>
      </c>
      <c r="G4415" s="4" t="str">
        <f>HYPERLINK("http://141.218.60.56/~jnz1568/getInfo.php?workbook=18_08.xlsx&amp;sheet=U0&amp;row=4415&amp;col=7&amp;number=0.00186&amp;sourceID=14","0.00186")</f>
        <v>0.00186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HYPERLINK("http://141.218.60.56/~jnz1568/getInfo.php?workbook=18_08.xlsx&amp;sheet=U0&amp;row=4416&amp;col=6&amp;number=4.2&amp;sourceID=14","4.2")</f>
        <v>4.2</v>
      </c>
      <c r="G4416" s="4" t="str">
        <f>HYPERLINK("http://141.218.60.56/~jnz1568/getInfo.php?workbook=18_08.xlsx&amp;sheet=U0&amp;row=4416&amp;col=7&amp;number=0.00186&amp;sourceID=14","0.00186")</f>
        <v>0.00186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HYPERLINK("http://141.218.60.56/~jnz1568/getInfo.php?workbook=18_08.xlsx&amp;sheet=U0&amp;row=4417&amp;col=6&amp;number=4.3&amp;sourceID=14","4.3")</f>
        <v>4.3</v>
      </c>
      <c r="G4417" s="4" t="str">
        <f>HYPERLINK("http://141.218.60.56/~jnz1568/getInfo.php?workbook=18_08.xlsx&amp;sheet=U0&amp;row=4417&amp;col=7&amp;number=0.00186&amp;sourceID=14","0.00186")</f>
        <v>0.00186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HYPERLINK("http://141.218.60.56/~jnz1568/getInfo.php?workbook=18_08.xlsx&amp;sheet=U0&amp;row=4418&amp;col=6&amp;number=4.4&amp;sourceID=14","4.4")</f>
        <v>4.4</v>
      </c>
      <c r="G4418" s="4" t="str">
        <f>HYPERLINK("http://141.218.60.56/~jnz1568/getInfo.php?workbook=18_08.xlsx&amp;sheet=U0&amp;row=4418&amp;col=7&amp;number=0.00186&amp;sourceID=14","0.00186")</f>
        <v>0.00186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HYPERLINK("http://141.218.60.56/~jnz1568/getInfo.php?workbook=18_08.xlsx&amp;sheet=U0&amp;row=4419&amp;col=6&amp;number=4.5&amp;sourceID=14","4.5")</f>
        <v>4.5</v>
      </c>
      <c r="G4419" s="4" t="str">
        <f>HYPERLINK("http://141.218.60.56/~jnz1568/getInfo.php?workbook=18_08.xlsx&amp;sheet=U0&amp;row=4419&amp;col=7&amp;number=0.00186&amp;sourceID=14","0.00186")</f>
        <v>0.00186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HYPERLINK("http://141.218.60.56/~jnz1568/getInfo.php?workbook=18_08.xlsx&amp;sheet=U0&amp;row=4420&amp;col=6&amp;number=4.6&amp;sourceID=14","4.6")</f>
        <v>4.6</v>
      </c>
      <c r="G4420" s="4" t="str">
        <f>HYPERLINK("http://141.218.60.56/~jnz1568/getInfo.php?workbook=18_08.xlsx&amp;sheet=U0&amp;row=4420&amp;col=7&amp;number=0.00185&amp;sourceID=14","0.00185")</f>
        <v>0.00185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HYPERLINK("http://141.218.60.56/~jnz1568/getInfo.php?workbook=18_08.xlsx&amp;sheet=U0&amp;row=4421&amp;col=6&amp;number=4.7&amp;sourceID=14","4.7")</f>
        <v>4.7</v>
      </c>
      <c r="G4421" s="4" t="str">
        <f>HYPERLINK("http://141.218.60.56/~jnz1568/getInfo.php?workbook=18_08.xlsx&amp;sheet=U0&amp;row=4421&amp;col=7&amp;number=0.00185&amp;sourceID=14","0.00185")</f>
        <v>0.00185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HYPERLINK("http://141.218.60.56/~jnz1568/getInfo.php?workbook=18_08.xlsx&amp;sheet=U0&amp;row=4422&amp;col=6&amp;number=4.8&amp;sourceID=14","4.8")</f>
        <v>4.8</v>
      </c>
      <c r="G4422" s="4" t="str">
        <f>HYPERLINK("http://141.218.60.56/~jnz1568/getInfo.php?workbook=18_08.xlsx&amp;sheet=U0&amp;row=4422&amp;col=7&amp;number=0.00184&amp;sourceID=14","0.00184")</f>
        <v>0.00184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HYPERLINK("http://141.218.60.56/~jnz1568/getInfo.php?workbook=18_08.xlsx&amp;sheet=U0&amp;row=4423&amp;col=6&amp;number=4.9&amp;sourceID=14","4.9")</f>
        <v>4.9</v>
      </c>
      <c r="G4423" s="4" t="str">
        <f>HYPERLINK("http://141.218.60.56/~jnz1568/getInfo.php?workbook=18_08.xlsx&amp;sheet=U0&amp;row=4423&amp;col=7&amp;number=0.00184&amp;sourceID=14","0.00184")</f>
        <v>0.00184</v>
      </c>
    </row>
    <row r="4424" spans="1:7">
      <c r="A4424" s="3">
        <v>18</v>
      </c>
      <c r="B4424" s="3">
        <v>8</v>
      </c>
      <c r="C4424" s="3" t="s">
        <v>66</v>
      </c>
      <c r="D4424" s="3">
        <v>6</v>
      </c>
      <c r="E4424" s="3">
        <v>1</v>
      </c>
      <c r="F4424" s="4" t="str">
        <f>HYPERLINK("http://141.218.60.56/~jnz1568/getInfo.php?workbook=18_08.xlsx&amp;sheet=U0&amp;row=4424&amp;col=6&amp;number=3&amp;sourceID=14","3")</f>
        <v>3</v>
      </c>
      <c r="G4424" s="4" t="str">
        <f>HYPERLINK("http://141.218.60.56/~jnz1568/getInfo.php?workbook=18_08.xlsx&amp;sheet=U0&amp;row=4424&amp;col=7&amp;number=0.00191&amp;sourceID=14","0.00191")</f>
        <v>0.00191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HYPERLINK("http://141.218.60.56/~jnz1568/getInfo.php?workbook=18_08.xlsx&amp;sheet=U0&amp;row=4425&amp;col=6&amp;number=3.1&amp;sourceID=14","3.1")</f>
        <v>3.1</v>
      </c>
      <c r="G4425" s="4" t="str">
        <f>HYPERLINK("http://141.218.60.56/~jnz1568/getInfo.php?workbook=18_08.xlsx&amp;sheet=U0&amp;row=4425&amp;col=7&amp;number=0.00191&amp;sourceID=14","0.00191")</f>
        <v>0.00191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HYPERLINK("http://141.218.60.56/~jnz1568/getInfo.php?workbook=18_08.xlsx&amp;sheet=U0&amp;row=4426&amp;col=6&amp;number=3.2&amp;sourceID=14","3.2")</f>
        <v>3.2</v>
      </c>
      <c r="G4426" s="4" t="str">
        <f>HYPERLINK("http://141.218.60.56/~jnz1568/getInfo.php?workbook=18_08.xlsx&amp;sheet=U0&amp;row=4426&amp;col=7&amp;number=0.00191&amp;sourceID=14","0.00191")</f>
        <v>0.00191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HYPERLINK("http://141.218.60.56/~jnz1568/getInfo.php?workbook=18_08.xlsx&amp;sheet=U0&amp;row=4427&amp;col=6&amp;number=3.3&amp;sourceID=14","3.3")</f>
        <v>3.3</v>
      </c>
      <c r="G4427" s="4" t="str">
        <f>HYPERLINK("http://141.218.60.56/~jnz1568/getInfo.php?workbook=18_08.xlsx&amp;sheet=U0&amp;row=4427&amp;col=7&amp;number=0.00191&amp;sourceID=14","0.00191")</f>
        <v>0.00191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HYPERLINK("http://141.218.60.56/~jnz1568/getInfo.php?workbook=18_08.xlsx&amp;sheet=U0&amp;row=4428&amp;col=6&amp;number=3.4&amp;sourceID=14","3.4")</f>
        <v>3.4</v>
      </c>
      <c r="G4428" s="4" t="str">
        <f>HYPERLINK("http://141.218.60.56/~jnz1568/getInfo.php?workbook=18_08.xlsx&amp;sheet=U0&amp;row=4428&amp;col=7&amp;number=0.00191&amp;sourceID=14","0.00191")</f>
        <v>0.00191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HYPERLINK("http://141.218.60.56/~jnz1568/getInfo.php?workbook=18_08.xlsx&amp;sheet=U0&amp;row=4429&amp;col=6&amp;number=3.5&amp;sourceID=14","3.5")</f>
        <v>3.5</v>
      </c>
      <c r="G4429" s="4" t="str">
        <f>HYPERLINK("http://141.218.60.56/~jnz1568/getInfo.php?workbook=18_08.xlsx&amp;sheet=U0&amp;row=4429&amp;col=7&amp;number=0.00191&amp;sourceID=14","0.00191")</f>
        <v>0.00191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HYPERLINK("http://141.218.60.56/~jnz1568/getInfo.php?workbook=18_08.xlsx&amp;sheet=U0&amp;row=4430&amp;col=6&amp;number=3.6&amp;sourceID=14","3.6")</f>
        <v>3.6</v>
      </c>
      <c r="G4430" s="4" t="str">
        <f>HYPERLINK("http://141.218.60.56/~jnz1568/getInfo.php?workbook=18_08.xlsx&amp;sheet=U0&amp;row=4430&amp;col=7&amp;number=0.00191&amp;sourceID=14","0.00191")</f>
        <v>0.00191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HYPERLINK("http://141.218.60.56/~jnz1568/getInfo.php?workbook=18_08.xlsx&amp;sheet=U0&amp;row=4431&amp;col=6&amp;number=3.7&amp;sourceID=14","3.7")</f>
        <v>3.7</v>
      </c>
      <c r="G4431" s="4" t="str">
        <f>HYPERLINK("http://141.218.60.56/~jnz1568/getInfo.php?workbook=18_08.xlsx&amp;sheet=U0&amp;row=4431&amp;col=7&amp;number=0.00191&amp;sourceID=14","0.00191")</f>
        <v>0.00191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HYPERLINK("http://141.218.60.56/~jnz1568/getInfo.php?workbook=18_08.xlsx&amp;sheet=U0&amp;row=4432&amp;col=6&amp;number=3.8&amp;sourceID=14","3.8")</f>
        <v>3.8</v>
      </c>
      <c r="G4432" s="4" t="str">
        <f>HYPERLINK("http://141.218.60.56/~jnz1568/getInfo.php?workbook=18_08.xlsx&amp;sheet=U0&amp;row=4432&amp;col=7&amp;number=0.00191&amp;sourceID=14","0.00191")</f>
        <v>0.00191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HYPERLINK("http://141.218.60.56/~jnz1568/getInfo.php?workbook=18_08.xlsx&amp;sheet=U0&amp;row=4433&amp;col=6&amp;number=3.9&amp;sourceID=14","3.9")</f>
        <v>3.9</v>
      </c>
      <c r="G4433" s="4" t="str">
        <f>HYPERLINK("http://141.218.60.56/~jnz1568/getInfo.php?workbook=18_08.xlsx&amp;sheet=U0&amp;row=4433&amp;col=7&amp;number=0.00191&amp;sourceID=14","0.00191")</f>
        <v>0.00191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HYPERLINK("http://141.218.60.56/~jnz1568/getInfo.php?workbook=18_08.xlsx&amp;sheet=U0&amp;row=4434&amp;col=6&amp;number=4&amp;sourceID=14","4")</f>
        <v>4</v>
      </c>
      <c r="G4434" s="4" t="str">
        <f>HYPERLINK("http://141.218.60.56/~jnz1568/getInfo.php?workbook=18_08.xlsx&amp;sheet=U0&amp;row=4434&amp;col=7&amp;number=0.00191&amp;sourceID=14","0.00191")</f>
        <v>0.00191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HYPERLINK("http://141.218.60.56/~jnz1568/getInfo.php?workbook=18_08.xlsx&amp;sheet=U0&amp;row=4435&amp;col=6&amp;number=4.1&amp;sourceID=14","4.1")</f>
        <v>4.1</v>
      </c>
      <c r="G4435" s="4" t="str">
        <f>HYPERLINK("http://141.218.60.56/~jnz1568/getInfo.php?workbook=18_08.xlsx&amp;sheet=U0&amp;row=4435&amp;col=7&amp;number=0.00191&amp;sourceID=14","0.00191")</f>
        <v>0.00191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HYPERLINK("http://141.218.60.56/~jnz1568/getInfo.php?workbook=18_08.xlsx&amp;sheet=U0&amp;row=4436&amp;col=6&amp;number=4.2&amp;sourceID=14","4.2")</f>
        <v>4.2</v>
      </c>
      <c r="G4436" s="4" t="str">
        <f>HYPERLINK("http://141.218.60.56/~jnz1568/getInfo.php?workbook=18_08.xlsx&amp;sheet=U0&amp;row=4436&amp;col=7&amp;number=0.00191&amp;sourceID=14","0.00191")</f>
        <v>0.00191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HYPERLINK("http://141.218.60.56/~jnz1568/getInfo.php?workbook=18_08.xlsx&amp;sheet=U0&amp;row=4437&amp;col=6&amp;number=4.3&amp;sourceID=14","4.3")</f>
        <v>4.3</v>
      </c>
      <c r="G4437" s="4" t="str">
        <f>HYPERLINK("http://141.218.60.56/~jnz1568/getInfo.php?workbook=18_08.xlsx&amp;sheet=U0&amp;row=4437&amp;col=7&amp;number=0.00191&amp;sourceID=14","0.00191")</f>
        <v>0.00191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HYPERLINK("http://141.218.60.56/~jnz1568/getInfo.php?workbook=18_08.xlsx&amp;sheet=U0&amp;row=4438&amp;col=6&amp;number=4.4&amp;sourceID=14","4.4")</f>
        <v>4.4</v>
      </c>
      <c r="G4438" s="4" t="str">
        <f>HYPERLINK("http://141.218.60.56/~jnz1568/getInfo.php?workbook=18_08.xlsx&amp;sheet=U0&amp;row=4438&amp;col=7&amp;number=0.0019&amp;sourceID=14","0.0019")</f>
        <v>0.0019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HYPERLINK("http://141.218.60.56/~jnz1568/getInfo.php?workbook=18_08.xlsx&amp;sheet=U0&amp;row=4439&amp;col=6&amp;number=4.5&amp;sourceID=14","4.5")</f>
        <v>4.5</v>
      </c>
      <c r="G4439" s="4" t="str">
        <f>HYPERLINK("http://141.218.60.56/~jnz1568/getInfo.php?workbook=18_08.xlsx&amp;sheet=U0&amp;row=4439&amp;col=7&amp;number=0.0019&amp;sourceID=14","0.0019")</f>
        <v>0.0019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HYPERLINK("http://141.218.60.56/~jnz1568/getInfo.php?workbook=18_08.xlsx&amp;sheet=U0&amp;row=4440&amp;col=6&amp;number=4.6&amp;sourceID=14","4.6")</f>
        <v>4.6</v>
      </c>
      <c r="G4440" s="4" t="str">
        <f>HYPERLINK("http://141.218.60.56/~jnz1568/getInfo.php?workbook=18_08.xlsx&amp;sheet=U0&amp;row=4440&amp;col=7&amp;number=0.0019&amp;sourceID=14","0.0019")</f>
        <v>0.0019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HYPERLINK("http://141.218.60.56/~jnz1568/getInfo.php?workbook=18_08.xlsx&amp;sheet=U0&amp;row=4441&amp;col=6&amp;number=4.7&amp;sourceID=14","4.7")</f>
        <v>4.7</v>
      </c>
      <c r="G4441" s="4" t="str">
        <f>HYPERLINK("http://141.218.60.56/~jnz1568/getInfo.php?workbook=18_08.xlsx&amp;sheet=U0&amp;row=4441&amp;col=7&amp;number=0.00189&amp;sourceID=14","0.00189")</f>
        <v>0.00189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HYPERLINK("http://141.218.60.56/~jnz1568/getInfo.php?workbook=18_08.xlsx&amp;sheet=U0&amp;row=4442&amp;col=6&amp;number=4.8&amp;sourceID=14","4.8")</f>
        <v>4.8</v>
      </c>
      <c r="G4442" s="4" t="str">
        <f>HYPERLINK("http://141.218.60.56/~jnz1568/getInfo.php?workbook=18_08.xlsx&amp;sheet=U0&amp;row=4442&amp;col=7&amp;number=0.00189&amp;sourceID=14","0.00189")</f>
        <v>0.00189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HYPERLINK("http://141.218.60.56/~jnz1568/getInfo.php?workbook=18_08.xlsx&amp;sheet=U0&amp;row=4443&amp;col=6&amp;number=4.9&amp;sourceID=14","4.9")</f>
        <v>4.9</v>
      </c>
      <c r="G4443" s="4" t="str">
        <f>HYPERLINK("http://141.218.60.56/~jnz1568/getInfo.php?workbook=18_08.xlsx&amp;sheet=U0&amp;row=4443&amp;col=7&amp;number=0.00188&amp;sourceID=14","0.00188")</f>
        <v>0.00188</v>
      </c>
    </row>
    <row r="4444" spans="1:7">
      <c r="A4444" s="3">
        <v>18</v>
      </c>
      <c r="B4444" s="3">
        <v>8</v>
      </c>
      <c r="C4444" s="3" t="s">
        <v>66</v>
      </c>
      <c r="D4444" s="3">
        <v>7</v>
      </c>
      <c r="E4444" s="3">
        <v>1</v>
      </c>
      <c r="F4444" s="4" t="str">
        <f>HYPERLINK("http://141.218.60.56/~jnz1568/getInfo.php?workbook=18_08.xlsx&amp;sheet=U0&amp;row=4444&amp;col=6&amp;number=3&amp;sourceID=14","3")</f>
        <v>3</v>
      </c>
      <c r="G4444" s="4" t="str">
        <f>HYPERLINK("http://141.218.60.56/~jnz1568/getInfo.php?workbook=18_08.xlsx&amp;sheet=U0&amp;row=4444&amp;col=7&amp;number=0.00135&amp;sourceID=14","0.00135")</f>
        <v>0.00135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HYPERLINK("http://141.218.60.56/~jnz1568/getInfo.php?workbook=18_08.xlsx&amp;sheet=U0&amp;row=4445&amp;col=6&amp;number=3.1&amp;sourceID=14","3.1")</f>
        <v>3.1</v>
      </c>
      <c r="G4445" s="4" t="str">
        <f>HYPERLINK("http://141.218.60.56/~jnz1568/getInfo.php?workbook=18_08.xlsx&amp;sheet=U0&amp;row=4445&amp;col=7&amp;number=0.00135&amp;sourceID=14","0.00135")</f>
        <v>0.00135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HYPERLINK("http://141.218.60.56/~jnz1568/getInfo.php?workbook=18_08.xlsx&amp;sheet=U0&amp;row=4446&amp;col=6&amp;number=3.2&amp;sourceID=14","3.2")</f>
        <v>3.2</v>
      </c>
      <c r="G4446" s="4" t="str">
        <f>HYPERLINK("http://141.218.60.56/~jnz1568/getInfo.php?workbook=18_08.xlsx&amp;sheet=U0&amp;row=4446&amp;col=7&amp;number=0.00135&amp;sourceID=14","0.00135")</f>
        <v>0.00135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HYPERLINK("http://141.218.60.56/~jnz1568/getInfo.php?workbook=18_08.xlsx&amp;sheet=U0&amp;row=4447&amp;col=6&amp;number=3.3&amp;sourceID=14","3.3")</f>
        <v>3.3</v>
      </c>
      <c r="G4447" s="4" t="str">
        <f>HYPERLINK("http://141.218.60.56/~jnz1568/getInfo.php?workbook=18_08.xlsx&amp;sheet=U0&amp;row=4447&amp;col=7&amp;number=0.00135&amp;sourceID=14","0.00135")</f>
        <v>0.00135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HYPERLINK("http://141.218.60.56/~jnz1568/getInfo.php?workbook=18_08.xlsx&amp;sheet=U0&amp;row=4448&amp;col=6&amp;number=3.4&amp;sourceID=14","3.4")</f>
        <v>3.4</v>
      </c>
      <c r="G4448" s="4" t="str">
        <f>HYPERLINK("http://141.218.60.56/~jnz1568/getInfo.php?workbook=18_08.xlsx&amp;sheet=U0&amp;row=4448&amp;col=7&amp;number=0.00135&amp;sourceID=14","0.00135")</f>
        <v>0.00135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HYPERLINK("http://141.218.60.56/~jnz1568/getInfo.php?workbook=18_08.xlsx&amp;sheet=U0&amp;row=4449&amp;col=6&amp;number=3.5&amp;sourceID=14","3.5")</f>
        <v>3.5</v>
      </c>
      <c r="G4449" s="4" t="str">
        <f>HYPERLINK("http://141.218.60.56/~jnz1568/getInfo.php?workbook=18_08.xlsx&amp;sheet=U0&amp;row=4449&amp;col=7&amp;number=0.00135&amp;sourceID=14","0.00135")</f>
        <v>0.00135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HYPERLINK("http://141.218.60.56/~jnz1568/getInfo.php?workbook=18_08.xlsx&amp;sheet=U0&amp;row=4450&amp;col=6&amp;number=3.6&amp;sourceID=14","3.6")</f>
        <v>3.6</v>
      </c>
      <c r="G4450" s="4" t="str">
        <f>HYPERLINK("http://141.218.60.56/~jnz1568/getInfo.php?workbook=18_08.xlsx&amp;sheet=U0&amp;row=4450&amp;col=7&amp;number=0.00135&amp;sourceID=14","0.00135")</f>
        <v>0.00135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HYPERLINK("http://141.218.60.56/~jnz1568/getInfo.php?workbook=18_08.xlsx&amp;sheet=U0&amp;row=4451&amp;col=6&amp;number=3.7&amp;sourceID=14","3.7")</f>
        <v>3.7</v>
      </c>
      <c r="G4451" s="4" t="str">
        <f>HYPERLINK("http://141.218.60.56/~jnz1568/getInfo.php?workbook=18_08.xlsx&amp;sheet=U0&amp;row=4451&amp;col=7&amp;number=0.00135&amp;sourceID=14","0.00135")</f>
        <v>0.00135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HYPERLINK("http://141.218.60.56/~jnz1568/getInfo.php?workbook=18_08.xlsx&amp;sheet=U0&amp;row=4452&amp;col=6&amp;number=3.8&amp;sourceID=14","3.8")</f>
        <v>3.8</v>
      </c>
      <c r="G4452" s="4" t="str">
        <f>HYPERLINK("http://141.218.60.56/~jnz1568/getInfo.php?workbook=18_08.xlsx&amp;sheet=U0&amp;row=4452&amp;col=7&amp;number=0.00135&amp;sourceID=14","0.00135")</f>
        <v>0.00135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HYPERLINK("http://141.218.60.56/~jnz1568/getInfo.php?workbook=18_08.xlsx&amp;sheet=U0&amp;row=4453&amp;col=6&amp;number=3.9&amp;sourceID=14","3.9")</f>
        <v>3.9</v>
      </c>
      <c r="G4453" s="4" t="str">
        <f>HYPERLINK("http://141.218.60.56/~jnz1568/getInfo.php?workbook=18_08.xlsx&amp;sheet=U0&amp;row=4453&amp;col=7&amp;number=0.00135&amp;sourceID=14","0.00135")</f>
        <v>0.00135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HYPERLINK("http://141.218.60.56/~jnz1568/getInfo.php?workbook=18_08.xlsx&amp;sheet=U0&amp;row=4454&amp;col=6&amp;number=4&amp;sourceID=14","4")</f>
        <v>4</v>
      </c>
      <c r="G4454" s="4" t="str">
        <f>HYPERLINK("http://141.218.60.56/~jnz1568/getInfo.php?workbook=18_08.xlsx&amp;sheet=U0&amp;row=4454&amp;col=7&amp;number=0.00135&amp;sourceID=14","0.00135")</f>
        <v>0.00135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HYPERLINK("http://141.218.60.56/~jnz1568/getInfo.php?workbook=18_08.xlsx&amp;sheet=U0&amp;row=4455&amp;col=6&amp;number=4.1&amp;sourceID=14","4.1")</f>
        <v>4.1</v>
      </c>
      <c r="G4455" s="4" t="str">
        <f>HYPERLINK("http://141.218.60.56/~jnz1568/getInfo.php?workbook=18_08.xlsx&amp;sheet=U0&amp;row=4455&amp;col=7&amp;number=0.00135&amp;sourceID=14","0.00135")</f>
        <v>0.00135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HYPERLINK("http://141.218.60.56/~jnz1568/getInfo.php?workbook=18_08.xlsx&amp;sheet=U0&amp;row=4456&amp;col=6&amp;number=4.2&amp;sourceID=14","4.2")</f>
        <v>4.2</v>
      </c>
      <c r="G4456" s="4" t="str">
        <f>HYPERLINK("http://141.218.60.56/~jnz1568/getInfo.php?workbook=18_08.xlsx&amp;sheet=U0&amp;row=4456&amp;col=7&amp;number=0.00135&amp;sourceID=14","0.00135")</f>
        <v>0.00135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HYPERLINK("http://141.218.60.56/~jnz1568/getInfo.php?workbook=18_08.xlsx&amp;sheet=U0&amp;row=4457&amp;col=6&amp;number=4.3&amp;sourceID=14","4.3")</f>
        <v>4.3</v>
      </c>
      <c r="G4457" s="4" t="str">
        <f>HYPERLINK("http://141.218.60.56/~jnz1568/getInfo.php?workbook=18_08.xlsx&amp;sheet=U0&amp;row=4457&amp;col=7&amp;number=0.00135&amp;sourceID=14","0.00135")</f>
        <v>0.00135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HYPERLINK("http://141.218.60.56/~jnz1568/getInfo.php?workbook=18_08.xlsx&amp;sheet=U0&amp;row=4458&amp;col=6&amp;number=4.4&amp;sourceID=14","4.4")</f>
        <v>4.4</v>
      </c>
      <c r="G4458" s="4" t="str">
        <f>HYPERLINK("http://141.218.60.56/~jnz1568/getInfo.php?workbook=18_08.xlsx&amp;sheet=U0&amp;row=4458&amp;col=7&amp;number=0.00134&amp;sourceID=14","0.00134")</f>
        <v>0.00134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HYPERLINK("http://141.218.60.56/~jnz1568/getInfo.php?workbook=18_08.xlsx&amp;sheet=U0&amp;row=4459&amp;col=6&amp;number=4.5&amp;sourceID=14","4.5")</f>
        <v>4.5</v>
      </c>
      <c r="G4459" s="4" t="str">
        <f>HYPERLINK("http://141.218.60.56/~jnz1568/getInfo.php?workbook=18_08.xlsx&amp;sheet=U0&amp;row=4459&amp;col=7&amp;number=0.00134&amp;sourceID=14","0.00134")</f>
        <v>0.00134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HYPERLINK("http://141.218.60.56/~jnz1568/getInfo.php?workbook=18_08.xlsx&amp;sheet=U0&amp;row=4460&amp;col=6&amp;number=4.6&amp;sourceID=14","4.6")</f>
        <v>4.6</v>
      </c>
      <c r="G4460" s="4" t="str">
        <f>HYPERLINK("http://141.218.60.56/~jnz1568/getInfo.php?workbook=18_08.xlsx&amp;sheet=U0&amp;row=4460&amp;col=7&amp;number=0.00134&amp;sourceID=14","0.00134")</f>
        <v>0.00134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HYPERLINK("http://141.218.60.56/~jnz1568/getInfo.php?workbook=18_08.xlsx&amp;sheet=U0&amp;row=4461&amp;col=6&amp;number=4.7&amp;sourceID=14","4.7")</f>
        <v>4.7</v>
      </c>
      <c r="G4461" s="4" t="str">
        <f>HYPERLINK("http://141.218.60.56/~jnz1568/getInfo.php?workbook=18_08.xlsx&amp;sheet=U0&amp;row=4461&amp;col=7&amp;number=0.00134&amp;sourceID=14","0.00134")</f>
        <v>0.00134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HYPERLINK("http://141.218.60.56/~jnz1568/getInfo.php?workbook=18_08.xlsx&amp;sheet=U0&amp;row=4462&amp;col=6&amp;number=4.8&amp;sourceID=14","4.8")</f>
        <v>4.8</v>
      </c>
      <c r="G4462" s="4" t="str">
        <f>HYPERLINK("http://141.218.60.56/~jnz1568/getInfo.php?workbook=18_08.xlsx&amp;sheet=U0&amp;row=4462&amp;col=7&amp;number=0.00134&amp;sourceID=14","0.00134")</f>
        <v>0.00134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HYPERLINK("http://141.218.60.56/~jnz1568/getInfo.php?workbook=18_08.xlsx&amp;sheet=U0&amp;row=4463&amp;col=6&amp;number=4.9&amp;sourceID=14","4.9")</f>
        <v>4.9</v>
      </c>
      <c r="G4463" s="4" t="str">
        <f>HYPERLINK("http://141.218.60.56/~jnz1568/getInfo.php?workbook=18_08.xlsx&amp;sheet=U0&amp;row=4463&amp;col=7&amp;number=0.00134&amp;sourceID=14","0.00134")</f>
        <v>0.00134</v>
      </c>
    </row>
    <row r="4464" spans="1:7">
      <c r="A4464" s="3">
        <v>18</v>
      </c>
      <c r="B4464" s="3">
        <v>8</v>
      </c>
      <c r="C4464" s="3" t="s">
        <v>66</v>
      </c>
      <c r="D4464" s="3">
        <v>8</v>
      </c>
      <c r="E4464" s="3">
        <v>1</v>
      </c>
      <c r="F4464" s="4" t="str">
        <f>HYPERLINK("http://141.218.60.56/~jnz1568/getInfo.php?workbook=18_08.xlsx&amp;sheet=U0&amp;row=4464&amp;col=6&amp;number=3&amp;sourceID=14","3")</f>
        <v>3</v>
      </c>
      <c r="G4464" s="4" t="str">
        <f>HYPERLINK("http://141.218.60.56/~jnz1568/getInfo.php?workbook=18_08.xlsx&amp;sheet=U0&amp;row=4464&amp;col=7&amp;number=0.000758&amp;sourceID=14","0.000758")</f>
        <v>0.000758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HYPERLINK("http://141.218.60.56/~jnz1568/getInfo.php?workbook=18_08.xlsx&amp;sheet=U0&amp;row=4465&amp;col=6&amp;number=3.1&amp;sourceID=14","3.1")</f>
        <v>3.1</v>
      </c>
      <c r="G4465" s="4" t="str">
        <f>HYPERLINK("http://141.218.60.56/~jnz1568/getInfo.php?workbook=18_08.xlsx&amp;sheet=U0&amp;row=4465&amp;col=7&amp;number=0.000758&amp;sourceID=14","0.000758")</f>
        <v>0.000758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HYPERLINK("http://141.218.60.56/~jnz1568/getInfo.php?workbook=18_08.xlsx&amp;sheet=U0&amp;row=4466&amp;col=6&amp;number=3.2&amp;sourceID=14","3.2")</f>
        <v>3.2</v>
      </c>
      <c r="G4466" s="4" t="str">
        <f>HYPERLINK("http://141.218.60.56/~jnz1568/getInfo.php?workbook=18_08.xlsx&amp;sheet=U0&amp;row=4466&amp;col=7&amp;number=0.000758&amp;sourceID=14","0.000758")</f>
        <v>0.000758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HYPERLINK("http://141.218.60.56/~jnz1568/getInfo.php?workbook=18_08.xlsx&amp;sheet=U0&amp;row=4467&amp;col=6&amp;number=3.3&amp;sourceID=14","3.3")</f>
        <v>3.3</v>
      </c>
      <c r="G4467" s="4" t="str">
        <f>HYPERLINK("http://141.218.60.56/~jnz1568/getInfo.php?workbook=18_08.xlsx&amp;sheet=U0&amp;row=4467&amp;col=7&amp;number=0.000758&amp;sourceID=14","0.000758")</f>
        <v>0.000758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HYPERLINK("http://141.218.60.56/~jnz1568/getInfo.php?workbook=18_08.xlsx&amp;sheet=U0&amp;row=4468&amp;col=6&amp;number=3.4&amp;sourceID=14","3.4")</f>
        <v>3.4</v>
      </c>
      <c r="G4468" s="4" t="str">
        <f>HYPERLINK("http://141.218.60.56/~jnz1568/getInfo.php?workbook=18_08.xlsx&amp;sheet=U0&amp;row=4468&amp;col=7&amp;number=0.000758&amp;sourceID=14","0.000758")</f>
        <v>0.000758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HYPERLINK("http://141.218.60.56/~jnz1568/getInfo.php?workbook=18_08.xlsx&amp;sheet=U0&amp;row=4469&amp;col=6&amp;number=3.5&amp;sourceID=14","3.5")</f>
        <v>3.5</v>
      </c>
      <c r="G4469" s="4" t="str">
        <f>HYPERLINK("http://141.218.60.56/~jnz1568/getInfo.php?workbook=18_08.xlsx&amp;sheet=U0&amp;row=4469&amp;col=7&amp;number=0.000758&amp;sourceID=14","0.000758")</f>
        <v>0.000758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HYPERLINK("http://141.218.60.56/~jnz1568/getInfo.php?workbook=18_08.xlsx&amp;sheet=U0&amp;row=4470&amp;col=6&amp;number=3.6&amp;sourceID=14","3.6")</f>
        <v>3.6</v>
      </c>
      <c r="G4470" s="4" t="str">
        <f>HYPERLINK("http://141.218.60.56/~jnz1568/getInfo.php?workbook=18_08.xlsx&amp;sheet=U0&amp;row=4470&amp;col=7&amp;number=0.000758&amp;sourceID=14","0.000758")</f>
        <v>0.000758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HYPERLINK("http://141.218.60.56/~jnz1568/getInfo.php?workbook=18_08.xlsx&amp;sheet=U0&amp;row=4471&amp;col=6&amp;number=3.7&amp;sourceID=14","3.7")</f>
        <v>3.7</v>
      </c>
      <c r="G4471" s="4" t="str">
        <f>HYPERLINK("http://141.218.60.56/~jnz1568/getInfo.php?workbook=18_08.xlsx&amp;sheet=U0&amp;row=4471&amp;col=7&amp;number=0.000758&amp;sourceID=14","0.000758")</f>
        <v>0.000758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HYPERLINK("http://141.218.60.56/~jnz1568/getInfo.php?workbook=18_08.xlsx&amp;sheet=U0&amp;row=4472&amp;col=6&amp;number=3.8&amp;sourceID=14","3.8")</f>
        <v>3.8</v>
      </c>
      <c r="G4472" s="4" t="str">
        <f>HYPERLINK("http://141.218.60.56/~jnz1568/getInfo.php?workbook=18_08.xlsx&amp;sheet=U0&amp;row=4472&amp;col=7&amp;number=0.000757&amp;sourceID=14","0.000757")</f>
        <v>0.000757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HYPERLINK("http://141.218.60.56/~jnz1568/getInfo.php?workbook=18_08.xlsx&amp;sheet=U0&amp;row=4473&amp;col=6&amp;number=3.9&amp;sourceID=14","3.9")</f>
        <v>3.9</v>
      </c>
      <c r="G4473" s="4" t="str">
        <f>HYPERLINK("http://141.218.60.56/~jnz1568/getInfo.php?workbook=18_08.xlsx&amp;sheet=U0&amp;row=4473&amp;col=7&amp;number=0.000757&amp;sourceID=14","0.000757")</f>
        <v>0.000757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HYPERLINK("http://141.218.60.56/~jnz1568/getInfo.php?workbook=18_08.xlsx&amp;sheet=U0&amp;row=4474&amp;col=6&amp;number=4&amp;sourceID=14","4")</f>
        <v>4</v>
      </c>
      <c r="G4474" s="4" t="str">
        <f>HYPERLINK("http://141.218.60.56/~jnz1568/getInfo.php?workbook=18_08.xlsx&amp;sheet=U0&amp;row=4474&amp;col=7&amp;number=0.000757&amp;sourceID=14","0.000757")</f>
        <v>0.000757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HYPERLINK("http://141.218.60.56/~jnz1568/getInfo.php?workbook=18_08.xlsx&amp;sheet=U0&amp;row=4475&amp;col=6&amp;number=4.1&amp;sourceID=14","4.1")</f>
        <v>4.1</v>
      </c>
      <c r="G4475" s="4" t="str">
        <f>HYPERLINK("http://141.218.60.56/~jnz1568/getInfo.php?workbook=18_08.xlsx&amp;sheet=U0&amp;row=4475&amp;col=7&amp;number=0.000756&amp;sourceID=14","0.000756")</f>
        <v>0.000756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HYPERLINK("http://141.218.60.56/~jnz1568/getInfo.php?workbook=18_08.xlsx&amp;sheet=U0&amp;row=4476&amp;col=6&amp;number=4.2&amp;sourceID=14","4.2")</f>
        <v>4.2</v>
      </c>
      <c r="G4476" s="4" t="str">
        <f>HYPERLINK("http://141.218.60.56/~jnz1568/getInfo.php?workbook=18_08.xlsx&amp;sheet=U0&amp;row=4476&amp;col=7&amp;number=0.000755&amp;sourceID=14","0.000755")</f>
        <v>0.000755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HYPERLINK("http://141.218.60.56/~jnz1568/getInfo.php?workbook=18_08.xlsx&amp;sheet=U0&amp;row=4477&amp;col=6&amp;number=4.3&amp;sourceID=14","4.3")</f>
        <v>4.3</v>
      </c>
      <c r="G4477" s="4" t="str">
        <f>HYPERLINK("http://141.218.60.56/~jnz1568/getInfo.php?workbook=18_08.xlsx&amp;sheet=U0&amp;row=4477&amp;col=7&amp;number=0.000754&amp;sourceID=14","0.000754")</f>
        <v>0.000754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HYPERLINK("http://141.218.60.56/~jnz1568/getInfo.php?workbook=18_08.xlsx&amp;sheet=U0&amp;row=4478&amp;col=6&amp;number=4.4&amp;sourceID=14","4.4")</f>
        <v>4.4</v>
      </c>
      <c r="G4478" s="4" t="str">
        <f>HYPERLINK("http://141.218.60.56/~jnz1568/getInfo.php?workbook=18_08.xlsx&amp;sheet=U0&amp;row=4478&amp;col=7&amp;number=0.000753&amp;sourceID=14","0.000753")</f>
        <v>0.000753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HYPERLINK("http://141.218.60.56/~jnz1568/getInfo.php?workbook=18_08.xlsx&amp;sheet=U0&amp;row=4479&amp;col=6&amp;number=4.5&amp;sourceID=14","4.5")</f>
        <v>4.5</v>
      </c>
      <c r="G4479" s="4" t="str">
        <f>HYPERLINK("http://141.218.60.56/~jnz1568/getInfo.php?workbook=18_08.xlsx&amp;sheet=U0&amp;row=4479&amp;col=7&amp;number=0.000752&amp;sourceID=14","0.000752")</f>
        <v>0.000752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HYPERLINK("http://141.218.60.56/~jnz1568/getInfo.php?workbook=18_08.xlsx&amp;sheet=U0&amp;row=4480&amp;col=6&amp;number=4.6&amp;sourceID=14","4.6")</f>
        <v>4.6</v>
      </c>
      <c r="G4480" s="4" t="str">
        <f>HYPERLINK("http://141.218.60.56/~jnz1568/getInfo.php?workbook=18_08.xlsx&amp;sheet=U0&amp;row=4480&amp;col=7&amp;number=0.00075&amp;sourceID=14","0.00075")</f>
        <v>0.00075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HYPERLINK("http://141.218.60.56/~jnz1568/getInfo.php?workbook=18_08.xlsx&amp;sheet=U0&amp;row=4481&amp;col=6&amp;number=4.7&amp;sourceID=14","4.7")</f>
        <v>4.7</v>
      </c>
      <c r="G4481" s="4" t="str">
        <f>HYPERLINK("http://141.218.60.56/~jnz1568/getInfo.php?workbook=18_08.xlsx&amp;sheet=U0&amp;row=4481&amp;col=7&amp;number=0.000748&amp;sourceID=14","0.000748")</f>
        <v>0.000748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HYPERLINK("http://141.218.60.56/~jnz1568/getInfo.php?workbook=18_08.xlsx&amp;sheet=U0&amp;row=4482&amp;col=6&amp;number=4.8&amp;sourceID=14","4.8")</f>
        <v>4.8</v>
      </c>
      <c r="G4482" s="4" t="str">
        <f>HYPERLINK("http://141.218.60.56/~jnz1568/getInfo.php?workbook=18_08.xlsx&amp;sheet=U0&amp;row=4482&amp;col=7&amp;number=0.000746&amp;sourceID=14","0.000746")</f>
        <v>0.000746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HYPERLINK("http://141.218.60.56/~jnz1568/getInfo.php?workbook=18_08.xlsx&amp;sheet=U0&amp;row=4483&amp;col=6&amp;number=4.9&amp;sourceID=14","4.9")</f>
        <v>4.9</v>
      </c>
      <c r="G4483" s="4" t="str">
        <f>HYPERLINK("http://141.218.60.56/~jnz1568/getInfo.php?workbook=18_08.xlsx&amp;sheet=U0&amp;row=4483&amp;col=7&amp;number=0.000742&amp;sourceID=14","0.000742")</f>
        <v>0.000742</v>
      </c>
    </row>
    <row r="4484" spans="1:7">
      <c r="A4484" s="3">
        <v>18</v>
      </c>
      <c r="B4484" s="3">
        <v>8</v>
      </c>
      <c r="C4484" s="3" t="s">
        <v>66</v>
      </c>
      <c r="D4484" s="3">
        <v>9</v>
      </c>
      <c r="E4484" s="3">
        <v>1</v>
      </c>
      <c r="F4484" s="4" t="str">
        <f>HYPERLINK("http://141.218.60.56/~jnz1568/getInfo.php?workbook=18_08.xlsx&amp;sheet=U0&amp;row=4484&amp;col=6&amp;number=3&amp;sourceID=14","3")</f>
        <v>3</v>
      </c>
      <c r="G4484" s="4" t="str">
        <f>HYPERLINK("http://141.218.60.56/~jnz1568/getInfo.php?workbook=18_08.xlsx&amp;sheet=U0&amp;row=4484&amp;col=7&amp;number=2.23e-05&amp;sourceID=14","2.23e-05")</f>
        <v>2.23e-05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HYPERLINK("http://141.218.60.56/~jnz1568/getInfo.php?workbook=18_08.xlsx&amp;sheet=U0&amp;row=4485&amp;col=6&amp;number=3.1&amp;sourceID=14","3.1")</f>
        <v>3.1</v>
      </c>
      <c r="G4485" s="4" t="str">
        <f>HYPERLINK("http://141.218.60.56/~jnz1568/getInfo.php?workbook=18_08.xlsx&amp;sheet=U0&amp;row=4485&amp;col=7&amp;number=2.23e-05&amp;sourceID=14","2.23e-05")</f>
        <v>2.23e-05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HYPERLINK("http://141.218.60.56/~jnz1568/getInfo.php?workbook=18_08.xlsx&amp;sheet=U0&amp;row=4486&amp;col=6&amp;number=3.2&amp;sourceID=14","3.2")</f>
        <v>3.2</v>
      </c>
      <c r="G4486" s="4" t="str">
        <f>HYPERLINK("http://141.218.60.56/~jnz1568/getInfo.php?workbook=18_08.xlsx&amp;sheet=U0&amp;row=4486&amp;col=7&amp;number=2.23e-05&amp;sourceID=14","2.23e-05")</f>
        <v>2.23e-05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HYPERLINK("http://141.218.60.56/~jnz1568/getInfo.php?workbook=18_08.xlsx&amp;sheet=U0&amp;row=4487&amp;col=6&amp;number=3.3&amp;sourceID=14","3.3")</f>
        <v>3.3</v>
      </c>
      <c r="G4487" s="4" t="str">
        <f>HYPERLINK("http://141.218.60.56/~jnz1568/getInfo.php?workbook=18_08.xlsx&amp;sheet=U0&amp;row=4487&amp;col=7&amp;number=2.23e-05&amp;sourceID=14","2.23e-05")</f>
        <v>2.23e-05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HYPERLINK("http://141.218.60.56/~jnz1568/getInfo.php?workbook=18_08.xlsx&amp;sheet=U0&amp;row=4488&amp;col=6&amp;number=3.4&amp;sourceID=14","3.4")</f>
        <v>3.4</v>
      </c>
      <c r="G4488" s="4" t="str">
        <f>HYPERLINK("http://141.218.60.56/~jnz1568/getInfo.php?workbook=18_08.xlsx&amp;sheet=U0&amp;row=4488&amp;col=7&amp;number=2.23e-05&amp;sourceID=14","2.23e-05")</f>
        <v>2.23e-05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HYPERLINK("http://141.218.60.56/~jnz1568/getInfo.php?workbook=18_08.xlsx&amp;sheet=U0&amp;row=4489&amp;col=6&amp;number=3.5&amp;sourceID=14","3.5")</f>
        <v>3.5</v>
      </c>
      <c r="G4489" s="4" t="str">
        <f>HYPERLINK("http://141.218.60.56/~jnz1568/getInfo.php?workbook=18_08.xlsx&amp;sheet=U0&amp;row=4489&amp;col=7&amp;number=2.23e-05&amp;sourceID=14","2.23e-05")</f>
        <v>2.23e-05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HYPERLINK("http://141.218.60.56/~jnz1568/getInfo.php?workbook=18_08.xlsx&amp;sheet=U0&amp;row=4490&amp;col=6&amp;number=3.6&amp;sourceID=14","3.6")</f>
        <v>3.6</v>
      </c>
      <c r="G4490" s="4" t="str">
        <f>HYPERLINK("http://141.218.60.56/~jnz1568/getInfo.php?workbook=18_08.xlsx&amp;sheet=U0&amp;row=4490&amp;col=7&amp;number=2.23e-05&amp;sourceID=14","2.23e-05")</f>
        <v>2.23e-05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HYPERLINK("http://141.218.60.56/~jnz1568/getInfo.php?workbook=18_08.xlsx&amp;sheet=U0&amp;row=4491&amp;col=6&amp;number=3.7&amp;sourceID=14","3.7")</f>
        <v>3.7</v>
      </c>
      <c r="G4491" s="4" t="str">
        <f>HYPERLINK("http://141.218.60.56/~jnz1568/getInfo.php?workbook=18_08.xlsx&amp;sheet=U0&amp;row=4491&amp;col=7&amp;number=2.23e-05&amp;sourceID=14","2.23e-05")</f>
        <v>2.23e-05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HYPERLINK("http://141.218.60.56/~jnz1568/getInfo.php?workbook=18_08.xlsx&amp;sheet=U0&amp;row=4492&amp;col=6&amp;number=3.8&amp;sourceID=14","3.8")</f>
        <v>3.8</v>
      </c>
      <c r="G4492" s="4" t="str">
        <f>HYPERLINK("http://141.218.60.56/~jnz1568/getInfo.php?workbook=18_08.xlsx&amp;sheet=U0&amp;row=4492&amp;col=7&amp;number=2.23e-05&amp;sourceID=14","2.23e-05")</f>
        <v>2.23e-05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HYPERLINK("http://141.218.60.56/~jnz1568/getInfo.php?workbook=18_08.xlsx&amp;sheet=U0&amp;row=4493&amp;col=6&amp;number=3.9&amp;sourceID=14","3.9")</f>
        <v>3.9</v>
      </c>
      <c r="G4493" s="4" t="str">
        <f>HYPERLINK("http://141.218.60.56/~jnz1568/getInfo.php?workbook=18_08.xlsx&amp;sheet=U0&amp;row=4493&amp;col=7&amp;number=2.23e-05&amp;sourceID=14","2.23e-05")</f>
        <v>2.23e-05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HYPERLINK("http://141.218.60.56/~jnz1568/getInfo.php?workbook=18_08.xlsx&amp;sheet=U0&amp;row=4494&amp;col=6&amp;number=4&amp;sourceID=14","4")</f>
        <v>4</v>
      </c>
      <c r="G4494" s="4" t="str">
        <f>HYPERLINK("http://141.218.60.56/~jnz1568/getInfo.php?workbook=18_08.xlsx&amp;sheet=U0&amp;row=4494&amp;col=7&amp;number=2.23e-05&amp;sourceID=14","2.23e-05")</f>
        <v>2.23e-05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HYPERLINK("http://141.218.60.56/~jnz1568/getInfo.php?workbook=18_08.xlsx&amp;sheet=U0&amp;row=4495&amp;col=6&amp;number=4.1&amp;sourceID=14","4.1")</f>
        <v>4.1</v>
      </c>
      <c r="G4495" s="4" t="str">
        <f>HYPERLINK("http://141.218.60.56/~jnz1568/getInfo.php?workbook=18_08.xlsx&amp;sheet=U0&amp;row=4495&amp;col=7&amp;number=2.23e-05&amp;sourceID=14","2.23e-05")</f>
        <v>2.23e-05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HYPERLINK("http://141.218.60.56/~jnz1568/getInfo.php?workbook=18_08.xlsx&amp;sheet=U0&amp;row=4496&amp;col=6&amp;number=4.2&amp;sourceID=14","4.2")</f>
        <v>4.2</v>
      </c>
      <c r="G4496" s="4" t="str">
        <f>HYPERLINK("http://141.218.60.56/~jnz1568/getInfo.php?workbook=18_08.xlsx&amp;sheet=U0&amp;row=4496&amp;col=7&amp;number=2.22e-05&amp;sourceID=14","2.22e-05")</f>
        <v>2.22e-05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HYPERLINK("http://141.218.60.56/~jnz1568/getInfo.php?workbook=18_08.xlsx&amp;sheet=U0&amp;row=4497&amp;col=6&amp;number=4.3&amp;sourceID=14","4.3")</f>
        <v>4.3</v>
      </c>
      <c r="G4497" s="4" t="str">
        <f>HYPERLINK("http://141.218.60.56/~jnz1568/getInfo.php?workbook=18_08.xlsx&amp;sheet=U0&amp;row=4497&amp;col=7&amp;number=2.22e-05&amp;sourceID=14","2.22e-05")</f>
        <v>2.22e-05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HYPERLINK("http://141.218.60.56/~jnz1568/getInfo.php?workbook=18_08.xlsx&amp;sheet=U0&amp;row=4498&amp;col=6&amp;number=4.4&amp;sourceID=14","4.4")</f>
        <v>4.4</v>
      </c>
      <c r="G4498" s="4" t="str">
        <f>HYPERLINK("http://141.218.60.56/~jnz1568/getInfo.php?workbook=18_08.xlsx&amp;sheet=U0&amp;row=4498&amp;col=7&amp;number=2.22e-05&amp;sourceID=14","2.22e-05")</f>
        <v>2.22e-05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HYPERLINK("http://141.218.60.56/~jnz1568/getInfo.php?workbook=18_08.xlsx&amp;sheet=U0&amp;row=4499&amp;col=6&amp;number=4.5&amp;sourceID=14","4.5")</f>
        <v>4.5</v>
      </c>
      <c r="G4499" s="4" t="str">
        <f>HYPERLINK("http://141.218.60.56/~jnz1568/getInfo.php?workbook=18_08.xlsx&amp;sheet=U0&amp;row=4499&amp;col=7&amp;number=2.22e-05&amp;sourceID=14","2.22e-05")</f>
        <v>2.22e-05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HYPERLINK("http://141.218.60.56/~jnz1568/getInfo.php?workbook=18_08.xlsx&amp;sheet=U0&amp;row=4500&amp;col=6&amp;number=4.6&amp;sourceID=14","4.6")</f>
        <v>4.6</v>
      </c>
      <c r="G4500" s="4" t="str">
        <f>HYPERLINK("http://141.218.60.56/~jnz1568/getInfo.php?workbook=18_08.xlsx&amp;sheet=U0&amp;row=4500&amp;col=7&amp;number=2.21e-05&amp;sourceID=14","2.21e-05")</f>
        <v>2.21e-05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HYPERLINK("http://141.218.60.56/~jnz1568/getInfo.php?workbook=18_08.xlsx&amp;sheet=U0&amp;row=4501&amp;col=6&amp;number=4.7&amp;sourceID=14","4.7")</f>
        <v>4.7</v>
      </c>
      <c r="G4501" s="4" t="str">
        <f>HYPERLINK("http://141.218.60.56/~jnz1568/getInfo.php?workbook=18_08.xlsx&amp;sheet=U0&amp;row=4501&amp;col=7&amp;number=2.21e-05&amp;sourceID=14","2.21e-05")</f>
        <v>2.21e-05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HYPERLINK("http://141.218.60.56/~jnz1568/getInfo.php?workbook=18_08.xlsx&amp;sheet=U0&amp;row=4502&amp;col=6&amp;number=4.8&amp;sourceID=14","4.8")</f>
        <v>4.8</v>
      </c>
      <c r="G4502" s="4" t="str">
        <f>HYPERLINK("http://141.218.60.56/~jnz1568/getInfo.php?workbook=18_08.xlsx&amp;sheet=U0&amp;row=4502&amp;col=7&amp;number=2.2e-05&amp;sourceID=14","2.2e-05")</f>
        <v>2.2e-05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HYPERLINK("http://141.218.60.56/~jnz1568/getInfo.php?workbook=18_08.xlsx&amp;sheet=U0&amp;row=4503&amp;col=6&amp;number=4.9&amp;sourceID=14","4.9")</f>
        <v>4.9</v>
      </c>
      <c r="G4503" s="4" t="str">
        <f>HYPERLINK("http://141.218.60.56/~jnz1568/getInfo.php?workbook=18_08.xlsx&amp;sheet=U0&amp;row=4503&amp;col=7&amp;number=2.19e-05&amp;sourceID=14","2.19e-05")</f>
        <v>2.19e-05</v>
      </c>
    </row>
    <row r="4504" spans="1:7">
      <c r="A4504" s="3">
        <v>18</v>
      </c>
      <c r="B4504" s="3">
        <v>8</v>
      </c>
      <c r="C4504" s="3" t="s">
        <v>67</v>
      </c>
      <c r="D4504" s="3">
        <v>0</v>
      </c>
      <c r="E4504" s="3">
        <v>1</v>
      </c>
      <c r="F4504" s="4" t="str">
        <f>HYPERLINK("http://141.218.60.56/~jnz1568/getInfo.php?workbook=18_08.xlsx&amp;sheet=U0&amp;row=4504&amp;col=6&amp;number=3&amp;sourceID=14","3")</f>
        <v>3</v>
      </c>
      <c r="G4504" s="4" t="str">
        <f>HYPERLINK("http://141.218.60.56/~jnz1568/getInfo.php?workbook=18_08.xlsx&amp;sheet=U0&amp;row=4504&amp;col=7&amp;number=0.00345&amp;sourceID=14","0.00345")</f>
        <v>0.00345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HYPERLINK("http://141.218.60.56/~jnz1568/getInfo.php?workbook=18_08.xlsx&amp;sheet=U0&amp;row=4505&amp;col=6&amp;number=3.1&amp;sourceID=14","3.1")</f>
        <v>3.1</v>
      </c>
      <c r="G4505" s="4" t="str">
        <f>HYPERLINK("http://141.218.60.56/~jnz1568/getInfo.php?workbook=18_08.xlsx&amp;sheet=U0&amp;row=4505&amp;col=7&amp;number=0.00345&amp;sourceID=14","0.00345")</f>
        <v>0.00345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HYPERLINK("http://141.218.60.56/~jnz1568/getInfo.php?workbook=18_08.xlsx&amp;sheet=U0&amp;row=4506&amp;col=6&amp;number=3.2&amp;sourceID=14","3.2")</f>
        <v>3.2</v>
      </c>
      <c r="G4506" s="4" t="str">
        <f>HYPERLINK("http://141.218.60.56/~jnz1568/getInfo.php?workbook=18_08.xlsx&amp;sheet=U0&amp;row=4506&amp;col=7&amp;number=0.00345&amp;sourceID=14","0.00345")</f>
        <v>0.00345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HYPERLINK("http://141.218.60.56/~jnz1568/getInfo.php?workbook=18_08.xlsx&amp;sheet=U0&amp;row=4507&amp;col=6&amp;number=3.3&amp;sourceID=14","3.3")</f>
        <v>3.3</v>
      </c>
      <c r="G4507" s="4" t="str">
        <f>HYPERLINK("http://141.218.60.56/~jnz1568/getInfo.php?workbook=18_08.xlsx&amp;sheet=U0&amp;row=4507&amp;col=7&amp;number=0.00345&amp;sourceID=14","0.00345")</f>
        <v>0.00345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HYPERLINK("http://141.218.60.56/~jnz1568/getInfo.php?workbook=18_08.xlsx&amp;sheet=U0&amp;row=4508&amp;col=6&amp;number=3.4&amp;sourceID=14","3.4")</f>
        <v>3.4</v>
      </c>
      <c r="G4508" s="4" t="str">
        <f>HYPERLINK("http://141.218.60.56/~jnz1568/getInfo.php?workbook=18_08.xlsx&amp;sheet=U0&amp;row=4508&amp;col=7&amp;number=0.00345&amp;sourceID=14","0.00345")</f>
        <v>0.00345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HYPERLINK("http://141.218.60.56/~jnz1568/getInfo.php?workbook=18_08.xlsx&amp;sheet=U0&amp;row=4509&amp;col=6&amp;number=3.5&amp;sourceID=14","3.5")</f>
        <v>3.5</v>
      </c>
      <c r="G4509" s="4" t="str">
        <f>HYPERLINK("http://141.218.60.56/~jnz1568/getInfo.php?workbook=18_08.xlsx&amp;sheet=U0&amp;row=4509&amp;col=7&amp;number=0.00345&amp;sourceID=14","0.00345")</f>
        <v>0.00345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HYPERLINK("http://141.218.60.56/~jnz1568/getInfo.php?workbook=18_08.xlsx&amp;sheet=U0&amp;row=4510&amp;col=6&amp;number=3.6&amp;sourceID=14","3.6")</f>
        <v>3.6</v>
      </c>
      <c r="G4510" s="4" t="str">
        <f>HYPERLINK("http://141.218.60.56/~jnz1568/getInfo.php?workbook=18_08.xlsx&amp;sheet=U0&amp;row=4510&amp;col=7&amp;number=0.00345&amp;sourceID=14","0.00345")</f>
        <v>0.00345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HYPERLINK("http://141.218.60.56/~jnz1568/getInfo.php?workbook=18_08.xlsx&amp;sheet=U0&amp;row=4511&amp;col=6&amp;number=3.7&amp;sourceID=14","3.7")</f>
        <v>3.7</v>
      </c>
      <c r="G4511" s="4" t="str">
        <f>HYPERLINK("http://141.218.60.56/~jnz1568/getInfo.php?workbook=18_08.xlsx&amp;sheet=U0&amp;row=4511&amp;col=7&amp;number=0.00345&amp;sourceID=14","0.00345")</f>
        <v>0.00345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HYPERLINK("http://141.218.60.56/~jnz1568/getInfo.php?workbook=18_08.xlsx&amp;sheet=U0&amp;row=4512&amp;col=6&amp;number=3.8&amp;sourceID=14","3.8")</f>
        <v>3.8</v>
      </c>
      <c r="G4512" s="4" t="str">
        <f>HYPERLINK("http://141.218.60.56/~jnz1568/getInfo.php?workbook=18_08.xlsx&amp;sheet=U0&amp;row=4512&amp;col=7&amp;number=0.00345&amp;sourceID=14","0.00345")</f>
        <v>0.00345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HYPERLINK("http://141.218.60.56/~jnz1568/getInfo.php?workbook=18_08.xlsx&amp;sheet=U0&amp;row=4513&amp;col=6&amp;number=3.9&amp;sourceID=14","3.9")</f>
        <v>3.9</v>
      </c>
      <c r="G4513" s="4" t="str">
        <f>HYPERLINK("http://141.218.60.56/~jnz1568/getInfo.php?workbook=18_08.xlsx&amp;sheet=U0&amp;row=4513&amp;col=7&amp;number=0.00345&amp;sourceID=14","0.00345")</f>
        <v>0.00345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HYPERLINK("http://141.218.60.56/~jnz1568/getInfo.php?workbook=18_08.xlsx&amp;sheet=U0&amp;row=4514&amp;col=6&amp;number=4&amp;sourceID=14","4")</f>
        <v>4</v>
      </c>
      <c r="G4514" s="4" t="str">
        <f>HYPERLINK("http://141.218.60.56/~jnz1568/getInfo.php?workbook=18_08.xlsx&amp;sheet=U0&amp;row=4514&amp;col=7&amp;number=0.00345&amp;sourceID=14","0.00345")</f>
        <v>0.00345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HYPERLINK("http://141.218.60.56/~jnz1568/getInfo.php?workbook=18_08.xlsx&amp;sheet=U0&amp;row=4515&amp;col=6&amp;number=4.1&amp;sourceID=14","4.1")</f>
        <v>4.1</v>
      </c>
      <c r="G4515" s="4" t="str">
        <f>HYPERLINK("http://141.218.60.56/~jnz1568/getInfo.php?workbook=18_08.xlsx&amp;sheet=U0&amp;row=4515&amp;col=7&amp;number=0.00345&amp;sourceID=14","0.00345")</f>
        <v>0.00345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HYPERLINK("http://141.218.60.56/~jnz1568/getInfo.php?workbook=18_08.xlsx&amp;sheet=U0&amp;row=4516&amp;col=6&amp;number=4.2&amp;sourceID=14","4.2")</f>
        <v>4.2</v>
      </c>
      <c r="G4516" s="4" t="str">
        <f>HYPERLINK("http://141.218.60.56/~jnz1568/getInfo.php?workbook=18_08.xlsx&amp;sheet=U0&amp;row=4516&amp;col=7&amp;number=0.00345&amp;sourceID=14","0.00345")</f>
        <v>0.00345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HYPERLINK("http://141.218.60.56/~jnz1568/getInfo.php?workbook=18_08.xlsx&amp;sheet=U0&amp;row=4517&amp;col=6&amp;number=4.3&amp;sourceID=14","4.3")</f>
        <v>4.3</v>
      </c>
      <c r="G4517" s="4" t="str">
        <f>HYPERLINK("http://141.218.60.56/~jnz1568/getInfo.php?workbook=18_08.xlsx&amp;sheet=U0&amp;row=4517&amp;col=7&amp;number=0.00345&amp;sourceID=14","0.00345")</f>
        <v>0.00345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HYPERLINK("http://141.218.60.56/~jnz1568/getInfo.php?workbook=18_08.xlsx&amp;sheet=U0&amp;row=4518&amp;col=6&amp;number=4.4&amp;sourceID=14","4.4")</f>
        <v>4.4</v>
      </c>
      <c r="G4518" s="4" t="str">
        <f>HYPERLINK("http://141.218.60.56/~jnz1568/getInfo.php?workbook=18_08.xlsx&amp;sheet=U0&amp;row=4518&amp;col=7&amp;number=0.00345&amp;sourceID=14","0.00345")</f>
        <v>0.00345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HYPERLINK("http://141.218.60.56/~jnz1568/getInfo.php?workbook=18_08.xlsx&amp;sheet=U0&amp;row=4519&amp;col=6&amp;number=4.5&amp;sourceID=14","4.5")</f>
        <v>4.5</v>
      </c>
      <c r="G4519" s="4" t="str">
        <f>HYPERLINK("http://141.218.60.56/~jnz1568/getInfo.php?workbook=18_08.xlsx&amp;sheet=U0&amp;row=4519&amp;col=7&amp;number=0.00345&amp;sourceID=14","0.00345")</f>
        <v>0.00345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HYPERLINK("http://141.218.60.56/~jnz1568/getInfo.php?workbook=18_08.xlsx&amp;sheet=U0&amp;row=4520&amp;col=6&amp;number=4.6&amp;sourceID=14","4.6")</f>
        <v>4.6</v>
      </c>
      <c r="G4520" s="4" t="str">
        <f>HYPERLINK("http://141.218.60.56/~jnz1568/getInfo.php?workbook=18_08.xlsx&amp;sheet=U0&amp;row=4520&amp;col=7&amp;number=0.00345&amp;sourceID=14","0.00345")</f>
        <v>0.00345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HYPERLINK("http://141.218.60.56/~jnz1568/getInfo.php?workbook=18_08.xlsx&amp;sheet=U0&amp;row=4521&amp;col=6&amp;number=4.7&amp;sourceID=14","4.7")</f>
        <v>4.7</v>
      </c>
      <c r="G4521" s="4" t="str">
        <f>HYPERLINK("http://141.218.60.56/~jnz1568/getInfo.php?workbook=18_08.xlsx&amp;sheet=U0&amp;row=4521&amp;col=7&amp;number=0.00345&amp;sourceID=14","0.00345")</f>
        <v>0.00345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HYPERLINK("http://141.218.60.56/~jnz1568/getInfo.php?workbook=18_08.xlsx&amp;sheet=U0&amp;row=4522&amp;col=6&amp;number=4.8&amp;sourceID=14","4.8")</f>
        <v>4.8</v>
      </c>
      <c r="G4522" s="4" t="str">
        <f>HYPERLINK("http://141.218.60.56/~jnz1568/getInfo.php?workbook=18_08.xlsx&amp;sheet=U0&amp;row=4522&amp;col=7&amp;number=0.00345&amp;sourceID=14","0.00345")</f>
        <v>0.00345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HYPERLINK("http://141.218.60.56/~jnz1568/getInfo.php?workbook=18_08.xlsx&amp;sheet=U0&amp;row=4523&amp;col=6&amp;number=4.9&amp;sourceID=14","4.9")</f>
        <v>4.9</v>
      </c>
      <c r="G4523" s="4" t="str">
        <f>HYPERLINK("http://141.218.60.56/~jnz1568/getInfo.php?workbook=18_08.xlsx&amp;sheet=U0&amp;row=4523&amp;col=7&amp;number=0.00345&amp;sourceID=14","0.00345")</f>
        <v>0.00345</v>
      </c>
    </row>
    <row r="4524" spans="1:7">
      <c r="A4524" s="3">
        <v>18</v>
      </c>
      <c r="B4524" s="3">
        <v>8</v>
      </c>
      <c r="C4524" s="3" t="s">
        <v>67</v>
      </c>
      <c r="D4524" s="3">
        <v>1</v>
      </c>
      <c r="E4524" s="3">
        <v>1</v>
      </c>
      <c r="F4524" s="4" t="str">
        <f>HYPERLINK("http://141.218.60.56/~jnz1568/getInfo.php?workbook=18_08.xlsx&amp;sheet=U0&amp;row=4524&amp;col=6&amp;number=3&amp;sourceID=14","3")</f>
        <v>3</v>
      </c>
      <c r="G4524" s="4" t="str">
        <f>HYPERLINK("http://141.218.60.56/~jnz1568/getInfo.php?workbook=18_08.xlsx&amp;sheet=U0&amp;row=4524&amp;col=7&amp;number=0.0042&amp;sourceID=14","0.0042")</f>
        <v>0.0042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HYPERLINK("http://141.218.60.56/~jnz1568/getInfo.php?workbook=18_08.xlsx&amp;sheet=U0&amp;row=4525&amp;col=6&amp;number=3.1&amp;sourceID=14","3.1")</f>
        <v>3.1</v>
      </c>
      <c r="G4525" s="4" t="str">
        <f>HYPERLINK("http://141.218.60.56/~jnz1568/getInfo.php?workbook=18_08.xlsx&amp;sheet=U0&amp;row=4525&amp;col=7&amp;number=0.0042&amp;sourceID=14","0.0042")</f>
        <v>0.0042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HYPERLINK("http://141.218.60.56/~jnz1568/getInfo.php?workbook=18_08.xlsx&amp;sheet=U0&amp;row=4526&amp;col=6&amp;number=3.2&amp;sourceID=14","3.2")</f>
        <v>3.2</v>
      </c>
      <c r="G4526" s="4" t="str">
        <f>HYPERLINK("http://141.218.60.56/~jnz1568/getInfo.php?workbook=18_08.xlsx&amp;sheet=U0&amp;row=4526&amp;col=7&amp;number=0.0042&amp;sourceID=14","0.0042")</f>
        <v>0.0042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HYPERLINK("http://141.218.60.56/~jnz1568/getInfo.php?workbook=18_08.xlsx&amp;sheet=U0&amp;row=4527&amp;col=6&amp;number=3.3&amp;sourceID=14","3.3")</f>
        <v>3.3</v>
      </c>
      <c r="G4527" s="4" t="str">
        <f>HYPERLINK("http://141.218.60.56/~jnz1568/getInfo.php?workbook=18_08.xlsx&amp;sheet=U0&amp;row=4527&amp;col=7&amp;number=0.0042&amp;sourceID=14","0.0042")</f>
        <v>0.0042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HYPERLINK("http://141.218.60.56/~jnz1568/getInfo.php?workbook=18_08.xlsx&amp;sheet=U0&amp;row=4528&amp;col=6&amp;number=3.4&amp;sourceID=14","3.4")</f>
        <v>3.4</v>
      </c>
      <c r="G4528" s="4" t="str">
        <f>HYPERLINK("http://141.218.60.56/~jnz1568/getInfo.php?workbook=18_08.xlsx&amp;sheet=U0&amp;row=4528&amp;col=7&amp;number=0.0042&amp;sourceID=14","0.0042")</f>
        <v>0.0042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HYPERLINK("http://141.218.60.56/~jnz1568/getInfo.php?workbook=18_08.xlsx&amp;sheet=U0&amp;row=4529&amp;col=6&amp;number=3.5&amp;sourceID=14","3.5")</f>
        <v>3.5</v>
      </c>
      <c r="G4529" s="4" t="str">
        <f>HYPERLINK("http://141.218.60.56/~jnz1568/getInfo.php?workbook=18_08.xlsx&amp;sheet=U0&amp;row=4529&amp;col=7&amp;number=0.0042&amp;sourceID=14","0.0042")</f>
        <v>0.0042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HYPERLINK("http://141.218.60.56/~jnz1568/getInfo.php?workbook=18_08.xlsx&amp;sheet=U0&amp;row=4530&amp;col=6&amp;number=3.6&amp;sourceID=14","3.6")</f>
        <v>3.6</v>
      </c>
      <c r="G4530" s="4" t="str">
        <f>HYPERLINK("http://141.218.60.56/~jnz1568/getInfo.php?workbook=18_08.xlsx&amp;sheet=U0&amp;row=4530&amp;col=7&amp;number=0.0042&amp;sourceID=14","0.0042")</f>
        <v>0.0042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HYPERLINK("http://141.218.60.56/~jnz1568/getInfo.php?workbook=18_08.xlsx&amp;sheet=U0&amp;row=4531&amp;col=6&amp;number=3.7&amp;sourceID=14","3.7")</f>
        <v>3.7</v>
      </c>
      <c r="G4531" s="4" t="str">
        <f>HYPERLINK("http://141.218.60.56/~jnz1568/getInfo.php?workbook=18_08.xlsx&amp;sheet=U0&amp;row=4531&amp;col=7&amp;number=0.0042&amp;sourceID=14","0.0042")</f>
        <v>0.0042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HYPERLINK("http://141.218.60.56/~jnz1568/getInfo.php?workbook=18_08.xlsx&amp;sheet=U0&amp;row=4532&amp;col=6&amp;number=3.8&amp;sourceID=14","3.8")</f>
        <v>3.8</v>
      </c>
      <c r="G4532" s="4" t="str">
        <f>HYPERLINK("http://141.218.60.56/~jnz1568/getInfo.php?workbook=18_08.xlsx&amp;sheet=U0&amp;row=4532&amp;col=7&amp;number=0.0042&amp;sourceID=14","0.0042")</f>
        <v>0.0042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HYPERLINK("http://141.218.60.56/~jnz1568/getInfo.php?workbook=18_08.xlsx&amp;sheet=U0&amp;row=4533&amp;col=6&amp;number=3.9&amp;sourceID=14","3.9")</f>
        <v>3.9</v>
      </c>
      <c r="G4533" s="4" t="str">
        <f>HYPERLINK("http://141.218.60.56/~jnz1568/getInfo.php?workbook=18_08.xlsx&amp;sheet=U0&amp;row=4533&amp;col=7&amp;number=0.00419&amp;sourceID=14","0.00419")</f>
        <v>0.00419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HYPERLINK("http://141.218.60.56/~jnz1568/getInfo.php?workbook=18_08.xlsx&amp;sheet=U0&amp;row=4534&amp;col=6&amp;number=4&amp;sourceID=14","4")</f>
        <v>4</v>
      </c>
      <c r="G4534" s="4" t="str">
        <f>HYPERLINK("http://141.218.60.56/~jnz1568/getInfo.php?workbook=18_08.xlsx&amp;sheet=U0&amp;row=4534&amp;col=7&amp;number=0.00419&amp;sourceID=14","0.00419")</f>
        <v>0.00419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HYPERLINK("http://141.218.60.56/~jnz1568/getInfo.php?workbook=18_08.xlsx&amp;sheet=U0&amp;row=4535&amp;col=6&amp;number=4.1&amp;sourceID=14","4.1")</f>
        <v>4.1</v>
      </c>
      <c r="G4535" s="4" t="str">
        <f>HYPERLINK("http://141.218.60.56/~jnz1568/getInfo.php?workbook=18_08.xlsx&amp;sheet=U0&amp;row=4535&amp;col=7&amp;number=0.00419&amp;sourceID=14","0.00419")</f>
        <v>0.00419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HYPERLINK("http://141.218.60.56/~jnz1568/getInfo.php?workbook=18_08.xlsx&amp;sheet=U0&amp;row=4536&amp;col=6&amp;number=4.2&amp;sourceID=14","4.2")</f>
        <v>4.2</v>
      </c>
      <c r="G4536" s="4" t="str">
        <f>HYPERLINK("http://141.218.60.56/~jnz1568/getInfo.php?workbook=18_08.xlsx&amp;sheet=U0&amp;row=4536&amp;col=7&amp;number=0.00419&amp;sourceID=14","0.00419")</f>
        <v>0.00419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HYPERLINK("http://141.218.60.56/~jnz1568/getInfo.php?workbook=18_08.xlsx&amp;sheet=U0&amp;row=4537&amp;col=6&amp;number=4.3&amp;sourceID=14","4.3")</f>
        <v>4.3</v>
      </c>
      <c r="G4537" s="4" t="str">
        <f>HYPERLINK("http://141.218.60.56/~jnz1568/getInfo.php?workbook=18_08.xlsx&amp;sheet=U0&amp;row=4537&amp;col=7&amp;number=0.00418&amp;sourceID=14","0.00418")</f>
        <v>0.00418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HYPERLINK("http://141.218.60.56/~jnz1568/getInfo.php?workbook=18_08.xlsx&amp;sheet=U0&amp;row=4538&amp;col=6&amp;number=4.4&amp;sourceID=14","4.4")</f>
        <v>4.4</v>
      </c>
      <c r="G4538" s="4" t="str">
        <f>HYPERLINK("http://141.218.60.56/~jnz1568/getInfo.php?workbook=18_08.xlsx&amp;sheet=U0&amp;row=4538&amp;col=7&amp;number=0.00418&amp;sourceID=14","0.00418")</f>
        <v>0.00418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HYPERLINK("http://141.218.60.56/~jnz1568/getInfo.php?workbook=18_08.xlsx&amp;sheet=U0&amp;row=4539&amp;col=6&amp;number=4.5&amp;sourceID=14","4.5")</f>
        <v>4.5</v>
      </c>
      <c r="G4539" s="4" t="str">
        <f>HYPERLINK("http://141.218.60.56/~jnz1568/getInfo.php?workbook=18_08.xlsx&amp;sheet=U0&amp;row=4539&amp;col=7&amp;number=0.00417&amp;sourceID=14","0.00417")</f>
        <v>0.00417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HYPERLINK("http://141.218.60.56/~jnz1568/getInfo.php?workbook=18_08.xlsx&amp;sheet=U0&amp;row=4540&amp;col=6&amp;number=4.6&amp;sourceID=14","4.6")</f>
        <v>4.6</v>
      </c>
      <c r="G4540" s="4" t="str">
        <f>HYPERLINK("http://141.218.60.56/~jnz1568/getInfo.php?workbook=18_08.xlsx&amp;sheet=U0&amp;row=4540&amp;col=7&amp;number=0.00416&amp;sourceID=14","0.00416")</f>
        <v>0.00416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HYPERLINK("http://141.218.60.56/~jnz1568/getInfo.php?workbook=18_08.xlsx&amp;sheet=U0&amp;row=4541&amp;col=6&amp;number=4.7&amp;sourceID=14","4.7")</f>
        <v>4.7</v>
      </c>
      <c r="G4541" s="4" t="str">
        <f>HYPERLINK("http://141.218.60.56/~jnz1568/getInfo.php?workbook=18_08.xlsx&amp;sheet=U0&amp;row=4541&amp;col=7&amp;number=0.00415&amp;sourceID=14","0.00415")</f>
        <v>0.00415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HYPERLINK("http://141.218.60.56/~jnz1568/getInfo.php?workbook=18_08.xlsx&amp;sheet=U0&amp;row=4542&amp;col=6&amp;number=4.8&amp;sourceID=14","4.8")</f>
        <v>4.8</v>
      </c>
      <c r="G4542" s="4" t="str">
        <f>HYPERLINK("http://141.218.60.56/~jnz1568/getInfo.php?workbook=18_08.xlsx&amp;sheet=U0&amp;row=4542&amp;col=7&amp;number=0.00414&amp;sourceID=14","0.00414")</f>
        <v>0.00414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HYPERLINK("http://141.218.60.56/~jnz1568/getInfo.php?workbook=18_08.xlsx&amp;sheet=U0&amp;row=4543&amp;col=6&amp;number=4.9&amp;sourceID=14","4.9")</f>
        <v>4.9</v>
      </c>
      <c r="G4543" s="4" t="str">
        <f>HYPERLINK("http://141.218.60.56/~jnz1568/getInfo.php?workbook=18_08.xlsx&amp;sheet=U0&amp;row=4543&amp;col=7&amp;number=0.00413&amp;sourceID=14","0.00413")</f>
        <v>0.00413</v>
      </c>
    </row>
    <row r="4544" spans="1:7">
      <c r="A4544" s="3">
        <v>18</v>
      </c>
      <c r="B4544" s="3">
        <v>8</v>
      </c>
      <c r="C4544" s="3" t="s">
        <v>67</v>
      </c>
      <c r="D4544" s="3">
        <v>2</v>
      </c>
      <c r="E4544" s="3">
        <v>1</v>
      </c>
      <c r="F4544" s="4" t="str">
        <f>HYPERLINK("http://141.218.60.56/~jnz1568/getInfo.php?workbook=18_08.xlsx&amp;sheet=U0&amp;row=4544&amp;col=6&amp;number=3&amp;sourceID=14","3")</f>
        <v>3</v>
      </c>
      <c r="G4544" s="4" t="str">
        <f>HYPERLINK("http://141.218.60.56/~jnz1568/getInfo.php?workbook=18_08.xlsx&amp;sheet=U0&amp;row=4544&amp;col=7&amp;number=1.05e-05&amp;sourceID=14","1.05e-05")</f>
        <v>1.05e-05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HYPERLINK("http://141.218.60.56/~jnz1568/getInfo.php?workbook=18_08.xlsx&amp;sheet=U0&amp;row=4545&amp;col=6&amp;number=3.1&amp;sourceID=14","3.1")</f>
        <v>3.1</v>
      </c>
      <c r="G4545" s="4" t="str">
        <f>HYPERLINK("http://141.218.60.56/~jnz1568/getInfo.php?workbook=18_08.xlsx&amp;sheet=U0&amp;row=4545&amp;col=7&amp;number=1.05e-05&amp;sourceID=14","1.05e-05")</f>
        <v>1.05e-05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HYPERLINK("http://141.218.60.56/~jnz1568/getInfo.php?workbook=18_08.xlsx&amp;sheet=U0&amp;row=4546&amp;col=6&amp;number=3.2&amp;sourceID=14","3.2")</f>
        <v>3.2</v>
      </c>
      <c r="G4546" s="4" t="str">
        <f>HYPERLINK("http://141.218.60.56/~jnz1568/getInfo.php?workbook=18_08.xlsx&amp;sheet=U0&amp;row=4546&amp;col=7&amp;number=1.05e-05&amp;sourceID=14","1.05e-05")</f>
        <v>1.05e-05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HYPERLINK("http://141.218.60.56/~jnz1568/getInfo.php?workbook=18_08.xlsx&amp;sheet=U0&amp;row=4547&amp;col=6&amp;number=3.3&amp;sourceID=14","3.3")</f>
        <v>3.3</v>
      </c>
      <c r="G4547" s="4" t="str">
        <f>HYPERLINK("http://141.218.60.56/~jnz1568/getInfo.php?workbook=18_08.xlsx&amp;sheet=U0&amp;row=4547&amp;col=7&amp;number=1.05e-05&amp;sourceID=14","1.05e-05")</f>
        <v>1.05e-05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HYPERLINK("http://141.218.60.56/~jnz1568/getInfo.php?workbook=18_08.xlsx&amp;sheet=U0&amp;row=4548&amp;col=6&amp;number=3.4&amp;sourceID=14","3.4")</f>
        <v>3.4</v>
      </c>
      <c r="G4548" s="4" t="str">
        <f>HYPERLINK("http://141.218.60.56/~jnz1568/getInfo.php?workbook=18_08.xlsx&amp;sheet=U0&amp;row=4548&amp;col=7&amp;number=1.05e-05&amp;sourceID=14","1.05e-05")</f>
        <v>1.05e-05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HYPERLINK("http://141.218.60.56/~jnz1568/getInfo.php?workbook=18_08.xlsx&amp;sheet=U0&amp;row=4549&amp;col=6&amp;number=3.5&amp;sourceID=14","3.5")</f>
        <v>3.5</v>
      </c>
      <c r="G4549" s="4" t="str">
        <f>HYPERLINK("http://141.218.60.56/~jnz1568/getInfo.php?workbook=18_08.xlsx&amp;sheet=U0&amp;row=4549&amp;col=7&amp;number=1.05e-05&amp;sourceID=14","1.05e-05")</f>
        <v>1.05e-05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HYPERLINK("http://141.218.60.56/~jnz1568/getInfo.php?workbook=18_08.xlsx&amp;sheet=U0&amp;row=4550&amp;col=6&amp;number=3.6&amp;sourceID=14","3.6")</f>
        <v>3.6</v>
      </c>
      <c r="G4550" s="4" t="str">
        <f>HYPERLINK("http://141.218.60.56/~jnz1568/getInfo.php?workbook=18_08.xlsx&amp;sheet=U0&amp;row=4550&amp;col=7&amp;number=1.04e-05&amp;sourceID=14","1.04e-05")</f>
        <v>1.04e-05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HYPERLINK("http://141.218.60.56/~jnz1568/getInfo.php?workbook=18_08.xlsx&amp;sheet=U0&amp;row=4551&amp;col=6&amp;number=3.7&amp;sourceID=14","3.7")</f>
        <v>3.7</v>
      </c>
      <c r="G4551" s="4" t="str">
        <f>HYPERLINK("http://141.218.60.56/~jnz1568/getInfo.php?workbook=18_08.xlsx&amp;sheet=U0&amp;row=4551&amp;col=7&amp;number=1.04e-05&amp;sourceID=14","1.04e-05")</f>
        <v>1.04e-05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HYPERLINK("http://141.218.60.56/~jnz1568/getInfo.php?workbook=18_08.xlsx&amp;sheet=U0&amp;row=4552&amp;col=6&amp;number=3.8&amp;sourceID=14","3.8")</f>
        <v>3.8</v>
      </c>
      <c r="G4552" s="4" t="str">
        <f>HYPERLINK("http://141.218.60.56/~jnz1568/getInfo.php?workbook=18_08.xlsx&amp;sheet=U0&amp;row=4552&amp;col=7&amp;number=1.04e-05&amp;sourceID=14","1.04e-05")</f>
        <v>1.04e-05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HYPERLINK("http://141.218.60.56/~jnz1568/getInfo.php?workbook=18_08.xlsx&amp;sheet=U0&amp;row=4553&amp;col=6&amp;number=3.9&amp;sourceID=14","3.9")</f>
        <v>3.9</v>
      </c>
      <c r="G4553" s="4" t="str">
        <f>HYPERLINK("http://141.218.60.56/~jnz1568/getInfo.php?workbook=18_08.xlsx&amp;sheet=U0&amp;row=4553&amp;col=7&amp;number=1.04e-05&amp;sourceID=14","1.04e-05")</f>
        <v>1.04e-05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HYPERLINK("http://141.218.60.56/~jnz1568/getInfo.php?workbook=18_08.xlsx&amp;sheet=U0&amp;row=4554&amp;col=6&amp;number=4&amp;sourceID=14","4")</f>
        <v>4</v>
      </c>
      <c r="G4554" s="4" t="str">
        <f>HYPERLINK("http://141.218.60.56/~jnz1568/getInfo.php?workbook=18_08.xlsx&amp;sheet=U0&amp;row=4554&amp;col=7&amp;number=1.04e-05&amp;sourceID=14","1.04e-05")</f>
        <v>1.04e-05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HYPERLINK("http://141.218.60.56/~jnz1568/getInfo.php?workbook=18_08.xlsx&amp;sheet=U0&amp;row=4555&amp;col=6&amp;number=4.1&amp;sourceID=14","4.1")</f>
        <v>4.1</v>
      </c>
      <c r="G4555" s="4" t="str">
        <f>HYPERLINK("http://141.218.60.56/~jnz1568/getInfo.php?workbook=18_08.xlsx&amp;sheet=U0&amp;row=4555&amp;col=7&amp;number=1.04e-05&amp;sourceID=14","1.04e-05")</f>
        <v>1.04e-05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HYPERLINK("http://141.218.60.56/~jnz1568/getInfo.php?workbook=18_08.xlsx&amp;sheet=U0&amp;row=4556&amp;col=6&amp;number=4.2&amp;sourceID=14","4.2")</f>
        <v>4.2</v>
      </c>
      <c r="G4556" s="4" t="str">
        <f>HYPERLINK("http://141.218.60.56/~jnz1568/getInfo.php?workbook=18_08.xlsx&amp;sheet=U0&amp;row=4556&amp;col=7&amp;number=1.04e-05&amp;sourceID=14","1.04e-05")</f>
        <v>1.04e-05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HYPERLINK("http://141.218.60.56/~jnz1568/getInfo.php?workbook=18_08.xlsx&amp;sheet=U0&amp;row=4557&amp;col=6&amp;number=4.3&amp;sourceID=14","4.3")</f>
        <v>4.3</v>
      </c>
      <c r="G4557" s="4" t="str">
        <f>HYPERLINK("http://141.218.60.56/~jnz1568/getInfo.php?workbook=18_08.xlsx&amp;sheet=U0&amp;row=4557&amp;col=7&amp;number=1.04e-05&amp;sourceID=14","1.04e-05")</f>
        <v>1.04e-05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HYPERLINK("http://141.218.60.56/~jnz1568/getInfo.php?workbook=18_08.xlsx&amp;sheet=U0&amp;row=4558&amp;col=6&amp;number=4.4&amp;sourceID=14","4.4")</f>
        <v>4.4</v>
      </c>
      <c r="G4558" s="4" t="str">
        <f>HYPERLINK("http://141.218.60.56/~jnz1568/getInfo.php?workbook=18_08.xlsx&amp;sheet=U0&amp;row=4558&amp;col=7&amp;number=1.04e-05&amp;sourceID=14","1.04e-05")</f>
        <v>1.04e-05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HYPERLINK("http://141.218.60.56/~jnz1568/getInfo.php?workbook=18_08.xlsx&amp;sheet=U0&amp;row=4559&amp;col=6&amp;number=4.5&amp;sourceID=14","4.5")</f>
        <v>4.5</v>
      </c>
      <c r="G4559" s="4" t="str">
        <f>HYPERLINK("http://141.218.60.56/~jnz1568/getInfo.php?workbook=18_08.xlsx&amp;sheet=U0&amp;row=4559&amp;col=7&amp;number=1.04e-05&amp;sourceID=14","1.04e-05")</f>
        <v>1.04e-05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HYPERLINK("http://141.218.60.56/~jnz1568/getInfo.php?workbook=18_08.xlsx&amp;sheet=U0&amp;row=4560&amp;col=6&amp;number=4.6&amp;sourceID=14","4.6")</f>
        <v>4.6</v>
      </c>
      <c r="G4560" s="4" t="str">
        <f>HYPERLINK("http://141.218.60.56/~jnz1568/getInfo.php?workbook=18_08.xlsx&amp;sheet=U0&amp;row=4560&amp;col=7&amp;number=1.03e-05&amp;sourceID=14","1.03e-05")</f>
        <v>1.03e-05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HYPERLINK("http://141.218.60.56/~jnz1568/getInfo.php?workbook=18_08.xlsx&amp;sheet=U0&amp;row=4561&amp;col=6&amp;number=4.7&amp;sourceID=14","4.7")</f>
        <v>4.7</v>
      </c>
      <c r="G4561" s="4" t="str">
        <f>HYPERLINK("http://141.218.60.56/~jnz1568/getInfo.php?workbook=18_08.xlsx&amp;sheet=U0&amp;row=4561&amp;col=7&amp;number=1.03e-05&amp;sourceID=14","1.03e-05")</f>
        <v>1.03e-05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HYPERLINK("http://141.218.60.56/~jnz1568/getInfo.php?workbook=18_08.xlsx&amp;sheet=U0&amp;row=4562&amp;col=6&amp;number=4.8&amp;sourceID=14","4.8")</f>
        <v>4.8</v>
      </c>
      <c r="G4562" s="4" t="str">
        <f>HYPERLINK("http://141.218.60.56/~jnz1568/getInfo.php?workbook=18_08.xlsx&amp;sheet=U0&amp;row=4562&amp;col=7&amp;number=1.03e-05&amp;sourceID=14","1.03e-05")</f>
        <v>1.03e-05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HYPERLINK("http://141.218.60.56/~jnz1568/getInfo.php?workbook=18_08.xlsx&amp;sheet=U0&amp;row=4563&amp;col=6&amp;number=4.9&amp;sourceID=14","4.9")</f>
        <v>4.9</v>
      </c>
      <c r="G4563" s="4" t="str">
        <f>HYPERLINK("http://141.218.60.56/~jnz1568/getInfo.php?workbook=18_08.xlsx&amp;sheet=U0&amp;row=4563&amp;col=7&amp;number=1.02e-05&amp;sourceID=14","1.02e-05")</f>
        <v>1.02e-05</v>
      </c>
    </row>
    <row r="4564" spans="1:7">
      <c r="A4564" s="3">
        <v>18</v>
      </c>
      <c r="B4564" s="3">
        <v>8</v>
      </c>
      <c r="C4564" s="3" t="s">
        <v>67</v>
      </c>
      <c r="D4564" s="3">
        <v>3</v>
      </c>
      <c r="E4564" s="3">
        <v>1</v>
      </c>
      <c r="F4564" s="4" t="str">
        <f>HYPERLINK("http://141.218.60.56/~jnz1568/getInfo.php?workbook=18_08.xlsx&amp;sheet=U0&amp;row=4564&amp;col=6&amp;number=3&amp;sourceID=14","3")</f>
        <v>3</v>
      </c>
      <c r="G4564" s="4" t="str">
        <f>HYPERLINK("http://141.218.60.56/~jnz1568/getInfo.php?workbook=18_08.xlsx&amp;sheet=U0&amp;row=4564&amp;col=7&amp;number=0.00236&amp;sourceID=14","0.00236")</f>
        <v>0.00236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HYPERLINK("http://141.218.60.56/~jnz1568/getInfo.php?workbook=18_08.xlsx&amp;sheet=U0&amp;row=4565&amp;col=6&amp;number=3.1&amp;sourceID=14","3.1")</f>
        <v>3.1</v>
      </c>
      <c r="G4565" s="4" t="str">
        <f>HYPERLINK("http://141.218.60.56/~jnz1568/getInfo.php?workbook=18_08.xlsx&amp;sheet=U0&amp;row=4565&amp;col=7&amp;number=0.00236&amp;sourceID=14","0.00236")</f>
        <v>0.00236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HYPERLINK("http://141.218.60.56/~jnz1568/getInfo.php?workbook=18_08.xlsx&amp;sheet=U0&amp;row=4566&amp;col=6&amp;number=3.2&amp;sourceID=14","3.2")</f>
        <v>3.2</v>
      </c>
      <c r="G4566" s="4" t="str">
        <f>HYPERLINK("http://141.218.60.56/~jnz1568/getInfo.php?workbook=18_08.xlsx&amp;sheet=U0&amp;row=4566&amp;col=7&amp;number=0.00236&amp;sourceID=14","0.00236")</f>
        <v>0.00236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HYPERLINK("http://141.218.60.56/~jnz1568/getInfo.php?workbook=18_08.xlsx&amp;sheet=U0&amp;row=4567&amp;col=6&amp;number=3.3&amp;sourceID=14","3.3")</f>
        <v>3.3</v>
      </c>
      <c r="G4567" s="4" t="str">
        <f>HYPERLINK("http://141.218.60.56/~jnz1568/getInfo.php?workbook=18_08.xlsx&amp;sheet=U0&amp;row=4567&amp;col=7&amp;number=0.00236&amp;sourceID=14","0.00236")</f>
        <v>0.00236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HYPERLINK("http://141.218.60.56/~jnz1568/getInfo.php?workbook=18_08.xlsx&amp;sheet=U0&amp;row=4568&amp;col=6&amp;number=3.4&amp;sourceID=14","3.4")</f>
        <v>3.4</v>
      </c>
      <c r="G4568" s="4" t="str">
        <f>HYPERLINK("http://141.218.60.56/~jnz1568/getInfo.php?workbook=18_08.xlsx&amp;sheet=U0&amp;row=4568&amp;col=7&amp;number=0.00236&amp;sourceID=14","0.00236")</f>
        <v>0.00236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HYPERLINK("http://141.218.60.56/~jnz1568/getInfo.php?workbook=18_08.xlsx&amp;sheet=U0&amp;row=4569&amp;col=6&amp;number=3.5&amp;sourceID=14","3.5")</f>
        <v>3.5</v>
      </c>
      <c r="G4569" s="4" t="str">
        <f>HYPERLINK("http://141.218.60.56/~jnz1568/getInfo.php?workbook=18_08.xlsx&amp;sheet=U0&amp;row=4569&amp;col=7&amp;number=0.00236&amp;sourceID=14","0.00236")</f>
        <v>0.00236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HYPERLINK("http://141.218.60.56/~jnz1568/getInfo.php?workbook=18_08.xlsx&amp;sheet=U0&amp;row=4570&amp;col=6&amp;number=3.6&amp;sourceID=14","3.6")</f>
        <v>3.6</v>
      </c>
      <c r="G4570" s="4" t="str">
        <f>HYPERLINK("http://141.218.60.56/~jnz1568/getInfo.php?workbook=18_08.xlsx&amp;sheet=U0&amp;row=4570&amp;col=7&amp;number=0.00236&amp;sourceID=14","0.00236")</f>
        <v>0.00236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HYPERLINK("http://141.218.60.56/~jnz1568/getInfo.php?workbook=18_08.xlsx&amp;sheet=U0&amp;row=4571&amp;col=6&amp;number=3.7&amp;sourceID=14","3.7")</f>
        <v>3.7</v>
      </c>
      <c r="G4571" s="4" t="str">
        <f>HYPERLINK("http://141.218.60.56/~jnz1568/getInfo.php?workbook=18_08.xlsx&amp;sheet=U0&amp;row=4571&amp;col=7&amp;number=0.00236&amp;sourceID=14","0.00236")</f>
        <v>0.00236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HYPERLINK("http://141.218.60.56/~jnz1568/getInfo.php?workbook=18_08.xlsx&amp;sheet=U0&amp;row=4572&amp;col=6&amp;number=3.8&amp;sourceID=14","3.8")</f>
        <v>3.8</v>
      </c>
      <c r="G4572" s="4" t="str">
        <f>HYPERLINK("http://141.218.60.56/~jnz1568/getInfo.php?workbook=18_08.xlsx&amp;sheet=U0&amp;row=4572&amp;col=7&amp;number=0.00236&amp;sourceID=14","0.00236")</f>
        <v>0.00236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HYPERLINK("http://141.218.60.56/~jnz1568/getInfo.php?workbook=18_08.xlsx&amp;sheet=U0&amp;row=4573&amp;col=6&amp;number=3.9&amp;sourceID=14","3.9")</f>
        <v>3.9</v>
      </c>
      <c r="G4573" s="4" t="str">
        <f>HYPERLINK("http://141.218.60.56/~jnz1568/getInfo.php?workbook=18_08.xlsx&amp;sheet=U0&amp;row=4573&amp;col=7&amp;number=0.00236&amp;sourceID=14","0.00236")</f>
        <v>0.00236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HYPERLINK("http://141.218.60.56/~jnz1568/getInfo.php?workbook=18_08.xlsx&amp;sheet=U0&amp;row=4574&amp;col=6&amp;number=4&amp;sourceID=14","4")</f>
        <v>4</v>
      </c>
      <c r="G4574" s="4" t="str">
        <f>HYPERLINK("http://141.218.60.56/~jnz1568/getInfo.php?workbook=18_08.xlsx&amp;sheet=U0&amp;row=4574&amp;col=7&amp;number=0.00236&amp;sourceID=14","0.00236")</f>
        <v>0.00236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HYPERLINK("http://141.218.60.56/~jnz1568/getInfo.php?workbook=18_08.xlsx&amp;sheet=U0&amp;row=4575&amp;col=6&amp;number=4.1&amp;sourceID=14","4.1")</f>
        <v>4.1</v>
      </c>
      <c r="G4575" s="4" t="str">
        <f>HYPERLINK("http://141.218.60.56/~jnz1568/getInfo.php?workbook=18_08.xlsx&amp;sheet=U0&amp;row=4575&amp;col=7&amp;number=0.00235&amp;sourceID=14","0.00235")</f>
        <v>0.00235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HYPERLINK("http://141.218.60.56/~jnz1568/getInfo.php?workbook=18_08.xlsx&amp;sheet=U0&amp;row=4576&amp;col=6&amp;number=4.2&amp;sourceID=14","4.2")</f>
        <v>4.2</v>
      </c>
      <c r="G4576" s="4" t="str">
        <f>HYPERLINK("http://141.218.60.56/~jnz1568/getInfo.php?workbook=18_08.xlsx&amp;sheet=U0&amp;row=4576&amp;col=7&amp;number=0.00235&amp;sourceID=14","0.00235")</f>
        <v>0.00235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HYPERLINK("http://141.218.60.56/~jnz1568/getInfo.php?workbook=18_08.xlsx&amp;sheet=U0&amp;row=4577&amp;col=6&amp;number=4.3&amp;sourceID=14","4.3")</f>
        <v>4.3</v>
      </c>
      <c r="G4577" s="4" t="str">
        <f>HYPERLINK("http://141.218.60.56/~jnz1568/getInfo.php?workbook=18_08.xlsx&amp;sheet=U0&amp;row=4577&amp;col=7&amp;number=0.00235&amp;sourceID=14","0.00235")</f>
        <v>0.00235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HYPERLINK("http://141.218.60.56/~jnz1568/getInfo.php?workbook=18_08.xlsx&amp;sheet=U0&amp;row=4578&amp;col=6&amp;number=4.4&amp;sourceID=14","4.4")</f>
        <v>4.4</v>
      </c>
      <c r="G4578" s="4" t="str">
        <f>HYPERLINK("http://141.218.60.56/~jnz1568/getInfo.php?workbook=18_08.xlsx&amp;sheet=U0&amp;row=4578&amp;col=7&amp;number=0.00234&amp;sourceID=14","0.00234")</f>
        <v>0.00234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HYPERLINK("http://141.218.60.56/~jnz1568/getInfo.php?workbook=18_08.xlsx&amp;sheet=U0&amp;row=4579&amp;col=6&amp;number=4.5&amp;sourceID=14","4.5")</f>
        <v>4.5</v>
      </c>
      <c r="G4579" s="4" t="str">
        <f>HYPERLINK("http://141.218.60.56/~jnz1568/getInfo.php?workbook=18_08.xlsx&amp;sheet=U0&amp;row=4579&amp;col=7&amp;number=0.00234&amp;sourceID=14","0.00234")</f>
        <v>0.00234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HYPERLINK("http://141.218.60.56/~jnz1568/getInfo.php?workbook=18_08.xlsx&amp;sheet=U0&amp;row=4580&amp;col=6&amp;number=4.6&amp;sourceID=14","4.6")</f>
        <v>4.6</v>
      </c>
      <c r="G4580" s="4" t="str">
        <f>HYPERLINK("http://141.218.60.56/~jnz1568/getInfo.php?workbook=18_08.xlsx&amp;sheet=U0&amp;row=4580&amp;col=7&amp;number=0.00233&amp;sourceID=14","0.00233")</f>
        <v>0.00233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HYPERLINK("http://141.218.60.56/~jnz1568/getInfo.php?workbook=18_08.xlsx&amp;sheet=U0&amp;row=4581&amp;col=6&amp;number=4.7&amp;sourceID=14","4.7")</f>
        <v>4.7</v>
      </c>
      <c r="G4581" s="4" t="str">
        <f>HYPERLINK("http://141.218.60.56/~jnz1568/getInfo.php?workbook=18_08.xlsx&amp;sheet=U0&amp;row=4581&amp;col=7&amp;number=0.00233&amp;sourceID=14","0.00233")</f>
        <v>0.00233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HYPERLINK("http://141.218.60.56/~jnz1568/getInfo.php?workbook=18_08.xlsx&amp;sheet=U0&amp;row=4582&amp;col=6&amp;number=4.8&amp;sourceID=14","4.8")</f>
        <v>4.8</v>
      </c>
      <c r="G4582" s="4" t="str">
        <f>HYPERLINK("http://141.218.60.56/~jnz1568/getInfo.php?workbook=18_08.xlsx&amp;sheet=U0&amp;row=4582&amp;col=7&amp;number=0.00232&amp;sourceID=14","0.00232")</f>
        <v>0.00232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HYPERLINK("http://141.218.60.56/~jnz1568/getInfo.php?workbook=18_08.xlsx&amp;sheet=U0&amp;row=4583&amp;col=6&amp;number=4.9&amp;sourceID=14","4.9")</f>
        <v>4.9</v>
      </c>
      <c r="G4583" s="4" t="str">
        <f>HYPERLINK("http://141.218.60.56/~jnz1568/getInfo.php?workbook=18_08.xlsx&amp;sheet=U0&amp;row=4583&amp;col=7&amp;number=0.0023&amp;sourceID=14","0.0023")</f>
        <v>0.0023</v>
      </c>
    </row>
    <row r="4584" spans="1:7">
      <c r="A4584" s="3">
        <v>18</v>
      </c>
      <c r="B4584" s="3">
        <v>8</v>
      </c>
      <c r="C4584" s="3" t="s">
        <v>67</v>
      </c>
      <c r="D4584" s="3">
        <v>4</v>
      </c>
      <c r="E4584" s="3">
        <v>1</v>
      </c>
      <c r="F4584" s="4" t="str">
        <f>HYPERLINK("http://141.218.60.56/~jnz1568/getInfo.php?workbook=18_08.xlsx&amp;sheet=U0&amp;row=4584&amp;col=6&amp;number=3&amp;sourceID=14","3")</f>
        <v>3</v>
      </c>
      <c r="G4584" s="4" t="str">
        <f>HYPERLINK("http://141.218.60.56/~jnz1568/getInfo.php?workbook=18_08.xlsx&amp;sheet=U0&amp;row=4584&amp;col=7&amp;number=0.0207&amp;sourceID=14","0.0207")</f>
        <v>0.0207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HYPERLINK("http://141.218.60.56/~jnz1568/getInfo.php?workbook=18_08.xlsx&amp;sheet=U0&amp;row=4585&amp;col=6&amp;number=3.1&amp;sourceID=14","3.1")</f>
        <v>3.1</v>
      </c>
      <c r="G4585" s="4" t="str">
        <f>HYPERLINK("http://141.218.60.56/~jnz1568/getInfo.php?workbook=18_08.xlsx&amp;sheet=U0&amp;row=4585&amp;col=7&amp;number=0.0207&amp;sourceID=14","0.0207")</f>
        <v>0.0207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HYPERLINK("http://141.218.60.56/~jnz1568/getInfo.php?workbook=18_08.xlsx&amp;sheet=U0&amp;row=4586&amp;col=6&amp;number=3.2&amp;sourceID=14","3.2")</f>
        <v>3.2</v>
      </c>
      <c r="G4586" s="4" t="str">
        <f>HYPERLINK("http://141.218.60.56/~jnz1568/getInfo.php?workbook=18_08.xlsx&amp;sheet=U0&amp;row=4586&amp;col=7&amp;number=0.0207&amp;sourceID=14","0.0207")</f>
        <v>0.0207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HYPERLINK("http://141.218.60.56/~jnz1568/getInfo.php?workbook=18_08.xlsx&amp;sheet=U0&amp;row=4587&amp;col=6&amp;number=3.3&amp;sourceID=14","3.3")</f>
        <v>3.3</v>
      </c>
      <c r="G4587" s="4" t="str">
        <f>HYPERLINK("http://141.218.60.56/~jnz1568/getInfo.php?workbook=18_08.xlsx&amp;sheet=U0&amp;row=4587&amp;col=7&amp;number=0.0207&amp;sourceID=14","0.0207")</f>
        <v>0.0207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HYPERLINK("http://141.218.60.56/~jnz1568/getInfo.php?workbook=18_08.xlsx&amp;sheet=U0&amp;row=4588&amp;col=6&amp;number=3.4&amp;sourceID=14","3.4")</f>
        <v>3.4</v>
      </c>
      <c r="G4588" s="4" t="str">
        <f>HYPERLINK("http://141.218.60.56/~jnz1568/getInfo.php?workbook=18_08.xlsx&amp;sheet=U0&amp;row=4588&amp;col=7&amp;number=0.0207&amp;sourceID=14","0.0207")</f>
        <v>0.0207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HYPERLINK("http://141.218.60.56/~jnz1568/getInfo.php?workbook=18_08.xlsx&amp;sheet=U0&amp;row=4589&amp;col=6&amp;number=3.5&amp;sourceID=14","3.5")</f>
        <v>3.5</v>
      </c>
      <c r="G4589" s="4" t="str">
        <f>HYPERLINK("http://141.218.60.56/~jnz1568/getInfo.php?workbook=18_08.xlsx&amp;sheet=U0&amp;row=4589&amp;col=7&amp;number=0.0207&amp;sourceID=14","0.0207")</f>
        <v>0.0207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HYPERLINK("http://141.218.60.56/~jnz1568/getInfo.php?workbook=18_08.xlsx&amp;sheet=U0&amp;row=4590&amp;col=6&amp;number=3.6&amp;sourceID=14","3.6")</f>
        <v>3.6</v>
      </c>
      <c r="G4590" s="4" t="str">
        <f>HYPERLINK("http://141.218.60.56/~jnz1568/getInfo.php?workbook=18_08.xlsx&amp;sheet=U0&amp;row=4590&amp;col=7&amp;number=0.0207&amp;sourceID=14","0.0207")</f>
        <v>0.0207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HYPERLINK("http://141.218.60.56/~jnz1568/getInfo.php?workbook=18_08.xlsx&amp;sheet=U0&amp;row=4591&amp;col=6&amp;number=3.7&amp;sourceID=14","3.7")</f>
        <v>3.7</v>
      </c>
      <c r="G4591" s="4" t="str">
        <f>HYPERLINK("http://141.218.60.56/~jnz1568/getInfo.php?workbook=18_08.xlsx&amp;sheet=U0&amp;row=4591&amp;col=7&amp;number=0.0207&amp;sourceID=14","0.0207")</f>
        <v>0.0207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HYPERLINK("http://141.218.60.56/~jnz1568/getInfo.php?workbook=18_08.xlsx&amp;sheet=U0&amp;row=4592&amp;col=6&amp;number=3.8&amp;sourceID=14","3.8")</f>
        <v>3.8</v>
      </c>
      <c r="G4592" s="4" t="str">
        <f>HYPERLINK("http://141.218.60.56/~jnz1568/getInfo.php?workbook=18_08.xlsx&amp;sheet=U0&amp;row=4592&amp;col=7&amp;number=0.0207&amp;sourceID=14","0.0207")</f>
        <v>0.0207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HYPERLINK("http://141.218.60.56/~jnz1568/getInfo.php?workbook=18_08.xlsx&amp;sheet=U0&amp;row=4593&amp;col=6&amp;number=3.9&amp;sourceID=14","3.9")</f>
        <v>3.9</v>
      </c>
      <c r="G4593" s="4" t="str">
        <f>HYPERLINK("http://141.218.60.56/~jnz1568/getInfo.php?workbook=18_08.xlsx&amp;sheet=U0&amp;row=4593&amp;col=7&amp;number=0.0207&amp;sourceID=14","0.0207")</f>
        <v>0.0207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HYPERLINK("http://141.218.60.56/~jnz1568/getInfo.php?workbook=18_08.xlsx&amp;sheet=U0&amp;row=4594&amp;col=6&amp;number=4&amp;sourceID=14","4")</f>
        <v>4</v>
      </c>
      <c r="G4594" s="4" t="str">
        <f>HYPERLINK("http://141.218.60.56/~jnz1568/getInfo.php?workbook=18_08.xlsx&amp;sheet=U0&amp;row=4594&amp;col=7&amp;number=0.0207&amp;sourceID=14","0.0207")</f>
        <v>0.0207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HYPERLINK("http://141.218.60.56/~jnz1568/getInfo.php?workbook=18_08.xlsx&amp;sheet=U0&amp;row=4595&amp;col=6&amp;number=4.1&amp;sourceID=14","4.1")</f>
        <v>4.1</v>
      </c>
      <c r="G4595" s="4" t="str">
        <f>HYPERLINK("http://141.218.60.56/~jnz1568/getInfo.php?workbook=18_08.xlsx&amp;sheet=U0&amp;row=4595&amp;col=7&amp;number=0.0207&amp;sourceID=14","0.0207")</f>
        <v>0.0207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HYPERLINK("http://141.218.60.56/~jnz1568/getInfo.php?workbook=18_08.xlsx&amp;sheet=U0&amp;row=4596&amp;col=6&amp;number=4.2&amp;sourceID=14","4.2")</f>
        <v>4.2</v>
      </c>
      <c r="G4596" s="4" t="str">
        <f>HYPERLINK("http://141.218.60.56/~jnz1568/getInfo.php?workbook=18_08.xlsx&amp;sheet=U0&amp;row=4596&amp;col=7&amp;number=0.0207&amp;sourceID=14","0.0207")</f>
        <v>0.0207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HYPERLINK("http://141.218.60.56/~jnz1568/getInfo.php?workbook=18_08.xlsx&amp;sheet=U0&amp;row=4597&amp;col=6&amp;number=4.3&amp;sourceID=14","4.3")</f>
        <v>4.3</v>
      </c>
      <c r="G4597" s="4" t="str">
        <f>HYPERLINK("http://141.218.60.56/~jnz1568/getInfo.php?workbook=18_08.xlsx&amp;sheet=U0&amp;row=4597&amp;col=7&amp;number=0.0208&amp;sourceID=14","0.0208")</f>
        <v>0.0208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HYPERLINK("http://141.218.60.56/~jnz1568/getInfo.php?workbook=18_08.xlsx&amp;sheet=U0&amp;row=4598&amp;col=6&amp;number=4.4&amp;sourceID=14","4.4")</f>
        <v>4.4</v>
      </c>
      <c r="G4598" s="4" t="str">
        <f>HYPERLINK("http://141.218.60.56/~jnz1568/getInfo.php?workbook=18_08.xlsx&amp;sheet=U0&amp;row=4598&amp;col=7&amp;number=0.0208&amp;sourceID=14","0.0208")</f>
        <v>0.0208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HYPERLINK("http://141.218.60.56/~jnz1568/getInfo.php?workbook=18_08.xlsx&amp;sheet=U0&amp;row=4599&amp;col=6&amp;number=4.5&amp;sourceID=14","4.5")</f>
        <v>4.5</v>
      </c>
      <c r="G4599" s="4" t="str">
        <f>HYPERLINK("http://141.218.60.56/~jnz1568/getInfo.php?workbook=18_08.xlsx&amp;sheet=U0&amp;row=4599&amp;col=7&amp;number=0.0208&amp;sourceID=14","0.0208")</f>
        <v>0.0208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HYPERLINK("http://141.218.60.56/~jnz1568/getInfo.php?workbook=18_08.xlsx&amp;sheet=U0&amp;row=4600&amp;col=6&amp;number=4.6&amp;sourceID=14","4.6")</f>
        <v>4.6</v>
      </c>
      <c r="G4600" s="4" t="str">
        <f>HYPERLINK("http://141.218.60.56/~jnz1568/getInfo.php?workbook=18_08.xlsx&amp;sheet=U0&amp;row=4600&amp;col=7&amp;number=0.0209&amp;sourceID=14","0.0209")</f>
        <v>0.0209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HYPERLINK("http://141.218.60.56/~jnz1568/getInfo.php?workbook=18_08.xlsx&amp;sheet=U0&amp;row=4601&amp;col=6&amp;number=4.7&amp;sourceID=14","4.7")</f>
        <v>4.7</v>
      </c>
      <c r="G4601" s="4" t="str">
        <f>HYPERLINK("http://141.218.60.56/~jnz1568/getInfo.php?workbook=18_08.xlsx&amp;sheet=U0&amp;row=4601&amp;col=7&amp;number=0.0209&amp;sourceID=14","0.0209")</f>
        <v>0.0209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HYPERLINK("http://141.218.60.56/~jnz1568/getInfo.php?workbook=18_08.xlsx&amp;sheet=U0&amp;row=4602&amp;col=6&amp;number=4.8&amp;sourceID=14","4.8")</f>
        <v>4.8</v>
      </c>
      <c r="G4602" s="4" t="str">
        <f>HYPERLINK("http://141.218.60.56/~jnz1568/getInfo.php?workbook=18_08.xlsx&amp;sheet=U0&amp;row=4602&amp;col=7&amp;number=0.021&amp;sourceID=14","0.021")</f>
        <v>0.021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HYPERLINK("http://141.218.60.56/~jnz1568/getInfo.php?workbook=18_08.xlsx&amp;sheet=U0&amp;row=4603&amp;col=6&amp;number=4.9&amp;sourceID=14","4.9")</f>
        <v>4.9</v>
      </c>
      <c r="G4603" s="4" t="str">
        <f>HYPERLINK("http://141.218.60.56/~jnz1568/getInfo.php?workbook=18_08.xlsx&amp;sheet=U0&amp;row=4603&amp;col=7&amp;number=0.0211&amp;sourceID=14","0.0211")</f>
        <v>0.0211</v>
      </c>
    </row>
    <row r="4604" spans="1:7">
      <c r="A4604" s="3">
        <v>18</v>
      </c>
      <c r="B4604" s="3">
        <v>8</v>
      </c>
      <c r="C4604" s="3" t="s">
        <v>67</v>
      </c>
      <c r="D4604" s="3">
        <v>5</v>
      </c>
      <c r="E4604" s="3">
        <v>1</v>
      </c>
      <c r="F4604" s="4" t="str">
        <f>HYPERLINK("http://141.218.60.56/~jnz1568/getInfo.php?workbook=18_08.xlsx&amp;sheet=U0&amp;row=4604&amp;col=6&amp;number=3&amp;sourceID=14","3")</f>
        <v>3</v>
      </c>
      <c r="G4604" s="4" t="str">
        <f>HYPERLINK("http://141.218.60.56/~jnz1568/getInfo.php?workbook=18_08.xlsx&amp;sheet=U0&amp;row=4604&amp;col=7&amp;number=0.000233&amp;sourceID=14","0.000233")</f>
        <v>0.000233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HYPERLINK("http://141.218.60.56/~jnz1568/getInfo.php?workbook=18_08.xlsx&amp;sheet=U0&amp;row=4605&amp;col=6&amp;number=3.1&amp;sourceID=14","3.1")</f>
        <v>3.1</v>
      </c>
      <c r="G4605" s="4" t="str">
        <f>HYPERLINK("http://141.218.60.56/~jnz1568/getInfo.php?workbook=18_08.xlsx&amp;sheet=U0&amp;row=4605&amp;col=7&amp;number=0.000233&amp;sourceID=14","0.000233")</f>
        <v>0.000233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HYPERLINK("http://141.218.60.56/~jnz1568/getInfo.php?workbook=18_08.xlsx&amp;sheet=U0&amp;row=4606&amp;col=6&amp;number=3.2&amp;sourceID=14","3.2")</f>
        <v>3.2</v>
      </c>
      <c r="G4606" s="4" t="str">
        <f>HYPERLINK("http://141.218.60.56/~jnz1568/getInfo.php?workbook=18_08.xlsx&amp;sheet=U0&amp;row=4606&amp;col=7&amp;number=0.000233&amp;sourceID=14","0.000233")</f>
        <v>0.000233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HYPERLINK("http://141.218.60.56/~jnz1568/getInfo.php?workbook=18_08.xlsx&amp;sheet=U0&amp;row=4607&amp;col=6&amp;number=3.3&amp;sourceID=14","3.3")</f>
        <v>3.3</v>
      </c>
      <c r="G4607" s="4" t="str">
        <f>HYPERLINK("http://141.218.60.56/~jnz1568/getInfo.php?workbook=18_08.xlsx&amp;sheet=U0&amp;row=4607&amp;col=7&amp;number=0.000233&amp;sourceID=14","0.000233")</f>
        <v>0.000233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HYPERLINK("http://141.218.60.56/~jnz1568/getInfo.php?workbook=18_08.xlsx&amp;sheet=U0&amp;row=4608&amp;col=6&amp;number=3.4&amp;sourceID=14","3.4")</f>
        <v>3.4</v>
      </c>
      <c r="G4608" s="4" t="str">
        <f>HYPERLINK("http://141.218.60.56/~jnz1568/getInfo.php?workbook=18_08.xlsx&amp;sheet=U0&amp;row=4608&amp;col=7&amp;number=0.000233&amp;sourceID=14","0.000233")</f>
        <v>0.000233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HYPERLINK("http://141.218.60.56/~jnz1568/getInfo.php?workbook=18_08.xlsx&amp;sheet=U0&amp;row=4609&amp;col=6&amp;number=3.5&amp;sourceID=14","3.5")</f>
        <v>3.5</v>
      </c>
      <c r="G4609" s="4" t="str">
        <f>HYPERLINK("http://141.218.60.56/~jnz1568/getInfo.php?workbook=18_08.xlsx&amp;sheet=U0&amp;row=4609&amp;col=7&amp;number=0.000233&amp;sourceID=14","0.000233")</f>
        <v>0.000233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HYPERLINK("http://141.218.60.56/~jnz1568/getInfo.php?workbook=18_08.xlsx&amp;sheet=U0&amp;row=4610&amp;col=6&amp;number=3.6&amp;sourceID=14","3.6")</f>
        <v>3.6</v>
      </c>
      <c r="G4610" s="4" t="str">
        <f>HYPERLINK("http://141.218.60.56/~jnz1568/getInfo.php?workbook=18_08.xlsx&amp;sheet=U0&amp;row=4610&amp;col=7&amp;number=0.000233&amp;sourceID=14","0.000233")</f>
        <v>0.000233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HYPERLINK("http://141.218.60.56/~jnz1568/getInfo.php?workbook=18_08.xlsx&amp;sheet=U0&amp;row=4611&amp;col=6&amp;number=3.7&amp;sourceID=14","3.7")</f>
        <v>3.7</v>
      </c>
      <c r="G4611" s="4" t="str">
        <f>HYPERLINK("http://141.218.60.56/~jnz1568/getInfo.php?workbook=18_08.xlsx&amp;sheet=U0&amp;row=4611&amp;col=7&amp;number=0.000233&amp;sourceID=14","0.000233")</f>
        <v>0.000233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HYPERLINK("http://141.218.60.56/~jnz1568/getInfo.php?workbook=18_08.xlsx&amp;sheet=U0&amp;row=4612&amp;col=6&amp;number=3.8&amp;sourceID=14","3.8")</f>
        <v>3.8</v>
      </c>
      <c r="G4612" s="4" t="str">
        <f>HYPERLINK("http://141.218.60.56/~jnz1568/getInfo.php?workbook=18_08.xlsx&amp;sheet=U0&amp;row=4612&amp;col=7&amp;number=0.000232&amp;sourceID=14","0.000232")</f>
        <v>0.000232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HYPERLINK("http://141.218.60.56/~jnz1568/getInfo.php?workbook=18_08.xlsx&amp;sheet=U0&amp;row=4613&amp;col=6&amp;number=3.9&amp;sourceID=14","3.9")</f>
        <v>3.9</v>
      </c>
      <c r="G4613" s="4" t="str">
        <f>HYPERLINK("http://141.218.60.56/~jnz1568/getInfo.php?workbook=18_08.xlsx&amp;sheet=U0&amp;row=4613&amp;col=7&amp;number=0.000232&amp;sourceID=14","0.000232")</f>
        <v>0.000232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HYPERLINK("http://141.218.60.56/~jnz1568/getInfo.php?workbook=18_08.xlsx&amp;sheet=U0&amp;row=4614&amp;col=6&amp;number=4&amp;sourceID=14","4")</f>
        <v>4</v>
      </c>
      <c r="G4614" s="4" t="str">
        <f>HYPERLINK("http://141.218.60.56/~jnz1568/getInfo.php?workbook=18_08.xlsx&amp;sheet=U0&amp;row=4614&amp;col=7&amp;number=0.000232&amp;sourceID=14","0.000232")</f>
        <v>0.000232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HYPERLINK("http://141.218.60.56/~jnz1568/getInfo.php?workbook=18_08.xlsx&amp;sheet=U0&amp;row=4615&amp;col=6&amp;number=4.1&amp;sourceID=14","4.1")</f>
        <v>4.1</v>
      </c>
      <c r="G4615" s="4" t="str">
        <f>HYPERLINK("http://141.218.60.56/~jnz1568/getInfo.php?workbook=18_08.xlsx&amp;sheet=U0&amp;row=4615&amp;col=7&amp;number=0.000232&amp;sourceID=14","0.000232")</f>
        <v>0.000232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HYPERLINK("http://141.218.60.56/~jnz1568/getInfo.php?workbook=18_08.xlsx&amp;sheet=U0&amp;row=4616&amp;col=6&amp;number=4.2&amp;sourceID=14","4.2")</f>
        <v>4.2</v>
      </c>
      <c r="G4616" s="4" t="str">
        <f>HYPERLINK("http://141.218.60.56/~jnz1568/getInfo.php?workbook=18_08.xlsx&amp;sheet=U0&amp;row=4616&amp;col=7&amp;number=0.000232&amp;sourceID=14","0.000232")</f>
        <v>0.000232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HYPERLINK("http://141.218.60.56/~jnz1568/getInfo.php?workbook=18_08.xlsx&amp;sheet=U0&amp;row=4617&amp;col=6&amp;number=4.3&amp;sourceID=14","4.3")</f>
        <v>4.3</v>
      </c>
      <c r="G4617" s="4" t="str">
        <f>HYPERLINK("http://141.218.60.56/~jnz1568/getInfo.php?workbook=18_08.xlsx&amp;sheet=U0&amp;row=4617&amp;col=7&amp;number=0.000232&amp;sourceID=14","0.000232")</f>
        <v>0.000232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HYPERLINK("http://141.218.60.56/~jnz1568/getInfo.php?workbook=18_08.xlsx&amp;sheet=U0&amp;row=4618&amp;col=6&amp;number=4.4&amp;sourceID=14","4.4")</f>
        <v>4.4</v>
      </c>
      <c r="G4618" s="4" t="str">
        <f>HYPERLINK("http://141.218.60.56/~jnz1568/getInfo.php?workbook=18_08.xlsx&amp;sheet=U0&amp;row=4618&amp;col=7&amp;number=0.000232&amp;sourceID=14","0.000232")</f>
        <v>0.000232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HYPERLINK("http://141.218.60.56/~jnz1568/getInfo.php?workbook=18_08.xlsx&amp;sheet=U0&amp;row=4619&amp;col=6&amp;number=4.5&amp;sourceID=14","4.5")</f>
        <v>4.5</v>
      </c>
      <c r="G4619" s="4" t="str">
        <f>HYPERLINK("http://141.218.60.56/~jnz1568/getInfo.php?workbook=18_08.xlsx&amp;sheet=U0&amp;row=4619&amp;col=7&amp;number=0.000231&amp;sourceID=14","0.000231")</f>
        <v>0.000231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HYPERLINK("http://141.218.60.56/~jnz1568/getInfo.php?workbook=18_08.xlsx&amp;sheet=U0&amp;row=4620&amp;col=6&amp;number=4.6&amp;sourceID=14","4.6")</f>
        <v>4.6</v>
      </c>
      <c r="G4620" s="4" t="str">
        <f>HYPERLINK("http://141.218.60.56/~jnz1568/getInfo.php?workbook=18_08.xlsx&amp;sheet=U0&amp;row=4620&amp;col=7&amp;number=0.000231&amp;sourceID=14","0.000231")</f>
        <v>0.000231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HYPERLINK("http://141.218.60.56/~jnz1568/getInfo.php?workbook=18_08.xlsx&amp;sheet=U0&amp;row=4621&amp;col=6&amp;number=4.7&amp;sourceID=14","4.7")</f>
        <v>4.7</v>
      </c>
      <c r="G4621" s="4" t="str">
        <f>HYPERLINK("http://141.218.60.56/~jnz1568/getInfo.php?workbook=18_08.xlsx&amp;sheet=U0&amp;row=4621&amp;col=7&amp;number=0.00023&amp;sourceID=14","0.00023")</f>
        <v>0.00023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HYPERLINK("http://141.218.60.56/~jnz1568/getInfo.php?workbook=18_08.xlsx&amp;sheet=U0&amp;row=4622&amp;col=6&amp;number=4.8&amp;sourceID=14","4.8")</f>
        <v>4.8</v>
      </c>
      <c r="G4622" s="4" t="str">
        <f>HYPERLINK("http://141.218.60.56/~jnz1568/getInfo.php?workbook=18_08.xlsx&amp;sheet=U0&amp;row=4622&amp;col=7&amp;number=0.00023&amp;sourceID=14","0.00023")</f>
        <v>0.00023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HYPERLINK("http://141.218.60.56/~jnz1568/getInfo.php?workbook=18_08.xlsx&amp;sheet=U0&amp;row=4623&amp;col=6&amp;number=4.9&amp;sourceID=14","4.9")</f>
        <v>4.9</v>
      </c>
      <c r="G4623" s="4" t="str">
        <f>HYPERLINK("http://141.218.60.56/~jnz1568/getInfo.php?workbook=18_08.xlsx&amp;sheet=U0&amp;row=4623&amp;col=7&amp;number=0.000229&amp;sourceID=14","0.000229")</f>
        <v>0.000229</v>
      </c>
    </row>
    <row r="4624" spans="1:7">
      <c r="A4624" s="3">
        <v>18</v>
      </c>
      <c r="B4624" s="3">
        <v>8</v>
      </c>
      <c r="C4624" s="3" t="s">
        <v>67</v>
      </c>
      <c r="D4624" s="3">
        <v>6</v>
      </c>
      <c r="E4624" s="3">
        <v>1</v>
      </c>
      <c r="F4624" s="4" t="str">
        <f>HYPERLINK("http://141.218.60.56/~jnz1568/getInfo.php?workbook=18_08.xlsx&amp;sheet=U0&amp;row=4624&amp;col=6&amp;number=3&amp;sourceID=14","3")</f>
        <v>3</v>
      </c>
      <c r="G4624" s="4" t="str">
        <f>HYPERLINK("http://141.218.60.56/~jnz1568/getInfo.php?workbook=18_08.xlsx&amp;sheet=U0&amp;row=4624&amp;col=7&amp;number=0.0011&amp;sourceID=14","0.0011")</f>
        <v>0.0011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HYPERLINK("http://141.218.60.56/~jnz1568/getInfo.php?workbook=18_08.xlsx&amp;sheet=U0&amp;row=4625&amp;col=6&amp;number=3.1&amp;sourceID=14","3.1")</f>
        <v>3.1</v>
      </c>
      <c r="G4625" s="4" t="str">
        <f>HYPERLINK("http://141.218.60.56/~jnz1568/getInfo.php?workbook=18_08.xlsx&amp;sheet=U0&amp;row=4625&amp;col=7&amp;number=0.0011&amp;sourceID=14","0.0011")</f>
        <v>0.0011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HYPERLINK("http://141.218.60.56/~jnz1568/getInfo.php?workbook=18_08.xlsx&amp;sheet=U0&amp;row=4626&amp;col=6&amp;number=3.2&amp;sourceID=14","3.2")</f>
        <v>3.2</v>
      </c>
      <c r="G4626" s="4" t="str">
        <f>HYPERLINK("http://141.218.60.56/~jnz1568/getInfo.php?workbook=18_08.xlsx&amp;sheet=U0&amp;row=4626&amp;col=7&amp;number=0.0011&amp;sourceID=14","0.0011")</f>
        <v>0.0011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HYPERLINK("http://141.218.60.56/~jnz1568/getInfo.php?workbook=18_08.xlsx&amp;sheet=U0&amp;row=4627&amp;col=6&amp;number=3.3&amp;sourceID=14","3.3")</f>
        <v>3.3</v>
      </c>
      <c r="G4627" s="4" t="str">
        <f>HYPERLINK("http://141.218.60.56/~jnz1568/getInfo.php?workbook=18_08.xlsx&amp;sheet=U0&amp;row=4627&amp;col=7&amp;number=0.0011&amp;sourceID=14","0.0011")</f>
        <v>0.0011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HYPERLINK("http://141.218.60.56/~jnz1568/getInfo.php?workbook=18_08.xlsx&amp;sheet=U0&amp;row=4628&amp;col=6&amp;number=3.4&amp;sourceID=14","3.4")</f>
        <v>3.4</v>
      </c>
      <c r="G4628" s="4" t="str">
        <f>HYPERLINK("http://141.218.60.56/~jnz1568/getInfo.php?workbook=18_08.xlsx&amp;sheet=U0&amp;row=4628&amp;col=7&amp;number=0.0011&amp;sourceID=14","0.0011")</f>
        <v>0.0011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HYPERLINK("http://141.218.60.56/~jnz1568/getInfo.php?workbook=18_08.xlsx&amp;sheet=U0&amp;row=4629&amp;col=6&amp;number=3.5&amp;sourceID=14","3.5")</f>
        <v>3.5</v>
      </c>
      <c r="G4629" s="4" t="str">
        <f>HYPERLINK("http://141.218.60.56/~jnz1568/getInfo.php?workbook=18_08.xlsx&amp;sheet=U0&amp;row=4629&amp;col=7&amp;number=0.0011&amp;sourceID=14","0.0011")</f>
        <v>0.0011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HYPERLINK("http://141.218.60.56/~jnz1568/getInfo.php?workbook=18_08.xlsx&amp;sheet=U0&amp;row=4630&amp;col=6&amp;number=3.6&amp;sourceID=14","3.6")</f>
        <v>3.6</v>
      </c>
      <c r="G4630" s="4" t="str">
        <f>HYPERLINK("http://141.218.60.56/~jnz1568/getInfo.php?workbook=18_08.xlsx&amp;sheet=U0&amp;row=4630&amp;col=7&amp;number=0.0011&amp;sourceID=14","0.0011")</f>
        <v>0.0011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HYPERLINK("http://141.218.60.56/~jnz1568/getInfo.php?workbook=18_08.xlsx&amp;sheet=U0&amp;row=4631&amp;col=6&amp;number=3.7&amp;sourceID=14","3.7")</f>
        <v>3.7</v>
      </c>
      <c r="G4631" s="4" t="str">
        <f>HYPERLINK("http://141.218.60.56/~jnz1568/getInfo.php?workbook=18_08.xlsx&amp;sheet=U0&amp;row=4631&amp;col=7&amp;number=0.0011&amp;sourceID=14","0.0011")</f>
        <v>0.0011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HYPERLINK("http://141.218.60.56/~jnz1568/getInfo.php?workbook=18_08.xlsx&amp;sheet=U0&amp;row=4632&amp;col=6&amp;number=3.8&amp;sourceID=14","3.8")</f>
        <v>3.8</v>
      </c>
      <c r="G4632" s="4" t="str">
        <f>HYPERLINK("http://141.218.60.56/~jnz1568/getInfo.php?workbook=18_08.xlsx&amp;sheet=U0&amp;row=4632&amp;col=7&amp;number=0.0011&amp;sourceID=14","0.0011")</f>
        <v>0.0011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HYPERLINK("http://141.218.60.56/~jnz1568/getInfo.php?workbook=18_08.xlsx&amp;sheet=U0&amp;row=4633&amp;col=6&amp;number=3.9&amp;sourceID=14","3.9")</f>
        <v>3.9</v>
      </c>
      <c r="G4633" s="4" t="str">
        <f>HYPERLINK("http://141.218.60.56/~jnz1568/getInfo.php?workbook=18_08.xlsx&amp;sheet=U0&amp;row=4633&amp;col=7&amp;number=0.0011&amp;sourceID=14","0.0011")</f>
        <v>0.0011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HYPERLINK("http://141.218.60.56/~jnz1568/getInfo.php?workbook=18_08.xlsx&amp;sheet=U0&amp;row=4634&amp;col=6&amp;number=4&amp;sourceID=14","4")</f>
        <v>4</v>
      </c>
      <c r="G4634" s="4" t="str">
        <f>HYPERLINK("http://141.218.60.56/~jnz1568/getInfo.php?workbook=18_08.xlsx&amp;sheet=U0&amp;row=4634&amp;col=7&amp;number=0.0011&amp;sourceID=14","0.0011")</f>
        <v>0.0011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HYPERLINK("http://141.218.60.56/~jnz1568/getInfo.php?workbook=18_08.xlsx&amp;sheet=U0&amp;row=4635&amp;col=6&amp;number=4.1&amp;sourceID=14","4.1")</f>
        <v>4.1</v>
      </c>
      <c r="G4635" s="4" t="str">
        <f>HYPERLINK("http://141.218.60.56/~jnz1568/getInfo.php?workbook=18_08.xlsx&amp;sheet=U0&amp;row=4635&amp;col=7&amp;number=0.0011&amp;sourceID=14","0.0011")</f>
        <v>0.0011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HYPERLINK("http://141.218.60.56/~jnz1568/getInfo.php?workbook=18_08.xlsx&amp;sheet=U0&amp;row=4636&amp;col=6&amp;number=4.2&amp;sourceID=14","4.2")</f>
        <v>4.2</v>
      </c>
      <c r="G4636" s="4" t="str">
        <f>HYPERLINK("http://141.218.60.56/~jnz1568/getInfo.php?workbook=18_08.xlsx&amp;sheet=U0&amp;row=4636&amp;col=7&amp;number=0.0011&amp;sourceID=14","0.0011")</f>
        <v>0.0011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HYPERLINK("http://141.218.60.56/~jnz1568/getInfo.php?workbook=18_08.xlsx&amp;sheet=U0&amp;row=4637&amp;col=6&amp;number=4.3&amp;sourceID=14","4.3")</f>
        <v>4.3</v>
      </c>
      <c r="G4637" s="4" t="str">
        <f>HYPERLINK("http://141.218.60.56/~jnz1568/getInfo.php?workbook=18_08.xlsx&amp;sheet=U0&amp;row=4637&amp;col=7&amp;number=0.0011&amp;sourceID=14","0.0011")</f>
        <v>0.0011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HYPERLINK("http://141.218.60.56/~jnz1568/getInfo.php?workbook=18_08.xlsx&amp;sheet=U0&amp;row=4638&amp;col=6&amp;number=4.4&amp;sourceID=14","4.4")</f>
        <v>4.4</v>
      </c>
      <c r="G4638" s="4" t="str">
        <f>HYPERLINK("http://141.218.60.56/~jnz1568/getInfo.php?workbook=18_08.xlsx&amp;sheet=U0&amp;row=4638&amp;col=7&amp;number=0.0011&amp;sourceID=14","0.0011")</f>
        <v>0.0011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HYPERLINK("http://141.218.60.56/~jnz1568/getInfo.php?workbook=18_08.xlsx&amp;sheet=U0&amp;row=4639&amp;col=6&amp;number=4.5&amp;sourceID=14","4.5")</f>
        <v>4.5</v>
      </c>
      <c r="G4639" s="4" t="str">
        <f>HYPERLINK("http://141.218.60.56/~jnz1568/getInfo.php?workbook=18_08.xlsx&amp;sheet=U0&amp;row=4639&amp;col=7&amp;number=0.0011&amp;sourceID=14","0.0011")</f>
        <v>0.0011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HYPERLINK("http://141.218.60.56/~jnz1568/getInfo.php?workbook=18_08.xlsx&amp;sheet=U0&amp;row=4640&amp;col=6&amp;number=4.6&amp;sourceID=14","4.6")</f>
        <v>4.6</v>
      </c>
      <c r="G4640" s="4" t="str">
        <f>HYPERLINK("http://141.218.60.56/~jnz1568/getInfo.php?workbook=18_08.xlsx&amp;sheet=U0&amp;row=4640&amp;col=7&amp;number=0.0011&amp;sourceID=14","0.0011")</f>
        <v>0.0011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HYPERLINK("http://141.218.60.56/~jnz1568/getInfo.php?workbook=18_08.xlsx&amp;sheet=U0&amp;row=4641&amp;col=6&amp;number=4.7&amp;sourceID=14","4.7")</f>
        <v>4.7</v>
      </c>
      <c r="G4641" s="4" t="str">
        <f>HYPERLINK("http://141.218.60.56/~jnz1568/getInfo.php?workbook=18_08.xlsx&amp;sheet=U0&amp;row=4641&amp;col=7&amp;number=0.00109&amp;sourceID=14","0.00109")</f>
        <v>0.00109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HYPERLINK("http://141.218.60.56/~jnz1568/getInfo.php?workbook=18_08.xlsx&amp;sheet=U0&amp;row=4642&amp;col=6&amp;number=4.8&amp;sourceID=14","4.8")</f>
        <v>4.8</v>
      </c>
      <c r="G4642" s="4" t="str">
        <f>HYPERLINK("http://141.218.60.56/~jnz1568/getInfo.php?workbook=18_08.xlsx&amp;sheet=U0&amp;row=4642&amp;col=7&amp;number=0.00109&amp;sourceID=14","0.00109")</f>
        <v>0.00109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HYPERLINK("http://141.218.60.56/~jnz1568/getInfo.php?workbook=18_08.xlsx&amp;sheet=U0&amp;row=4643&amp;col=6&amp;number=4.9&amp;sourceID=14","4.9")</f>
        <v>4.9</v>
      </c>
      <c r="G4643" s="4" t="str">
        <f>HYPERLINK("http://141.218.60.56/~jnz1568/getInfo.php?workbook=18_08.xlsx&amp;sheet=U0&amp;row=4643&amp;col=7&amp;number=0.00109&amp;sourceID=14","0.00109")</f>
        <v>0.00109</v>
      </c>
    </row>
    <row r="4644" spans="1:7">
      <c r="A4644" s="3">
        <v>18</v>
      </c>
      <c r="B4644" s="3">
        <v>8</v>
      </c>
      <c r="C4644" s="3" t="s">
        <v>67</v>
      </c>
      <c r="D4644" s="3">
        <v>7</v>
      </c>
      <c r="E4644" s="3">
        <v>1</v>
      </c>
      <c r="F4644" s="4" t="str">
        <f>HYPERLINK("http://141.218.60.56/~jnz1568/getInfo.php?workbook=18_08.xlsx&amp;sheet=U0&amp;row=4644&amp;col=6&amp;number=3&amp;sourceID=14","3")</f>
        <v>3</v>
      </c>
      <c r="G4644" s="4" t="str">
        <f>HYPERLINK("http://141.218.60.56/~jnz1568/getInfo.php?workbook=18_08.xlsx&amp;sheet=U0&amp;row=4644&amp;col=7&amp;number=0.00926&amp;sourceID=14","0.00926")</f>
        <v>0.00926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HYPERLINK("http://141.218.60.56/~jnz1568/getInfo.php?workbook=18_08.xlsx&amp;sheet=U0&amp;row=4645&amp;col=6&amp;number=3.1&amp;sourceID=14","3.1")</f>
        <v>3.1</v>
      </c>
      <c r="G4645" s="4" t="str">
        <f>HYPERLINK("http://141.218.60.56/~jnz1568/getInfo.php?workbook=18_08.xlsx&amp;sheet=U0&amp;row=4645&amp;col=7&amp;number=0.00926&amp;sourceID=14","0.00926")</f>
        <v>0.00926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HYPERLINK("http://141.218.60.56/~jnz1568/getInfo.php?workbook=18_08.xlsx&amp;sheet=U0&amp;row=4646&amp;col=6&amp;number=3.2&amp;sourceID=14","3.2")</f>
        <v>3.2</v>
      </c>
      <c r="G4646" s="4" t="str">
        <f>HYPERLINK("http://141.218.60.56/~jnz1568/getInfo.php?workbook=18_08.xlsx&amp;sheet=U0&amp;row=4646&amp;col=7&amp;number=0.00926&amp;sourceID=14","0.00926")</f>
        <v>0.00926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HYPERLINK("http://141.218.60.56/~jnz1568/getInfo.php?workbook=18_08.xlsx&amp;sheet=U0&amp;row=4647&amp;col=6&amp;number=3.3&amp;sourceID=14","3.3")</f>
        <v>3.3</v>
      </c>
      <c r="G4647" s="4" t="str">
        <f>HYPERLINK("http://141.218.60.56/~jnz1568/getInfo.php?workbook=18_08.xlsx&amp;sheet=U0&amp;row=4647&amp;col=7&amp;number=0.00926&amp;sourceID=14","0.00926")</f>
        <v>0.00926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HYPERLINK("http://141.218.60.56/~jnz1568/getInfo.php?workbook=18_08.xlsx&amp;sheet=U0&amp;row=4648&amp;col=6&amp;number=3.4&amp;sourceID=14","3.4")</f>
        <v>3.4</v>
      </c>
      <c r="G4648" s="4" t="str">
        <f>HYPERLINK("http://141.218.60.56/~jnz1568/getInfo.php?workbook=18_08.xlsx&amp;sheet=U0&amp;row=4648&amp;col=7&amp;number=0.00926&amp;sourceID=14","0.00926")</f>
        <v>0.00926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HYPERLINK("http://141.218.60.56/~jnz1568/getInfo.php?workbook=18_08.xlsx&amp;sheet=U0&amp;row=4649&amp;col=6&amp;number=3.5&amp;sourceID=14","3.5")</f>
        <v>3.5</v>
      </c>
      <c r="G4649" s="4" t="str">
        <f>HYPERLINK("http://141.218.60.56/~jnz1568/getInfo.php?workbook=18_08.xlsx&amp;sheet=U0&amp;row=4649&amp;col=7&amp;number=0.00926&amp;sourceID=14","0.00926")</f>
        <v>0.00926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HYPERLINK("http://141.218.60.56/~jnz1568/getInfo.php?workbook=18_08.xlsx&amp;sheet=U0&amp;row=4650&amp;col=6&amp;number=3.6&amp;sourceID=14","3.6")</f>
        <v>3.6</v>
      </c>
      <c r="G4650" s="4" t="str">
        <f>HYPERLINK("http://141.218.60.56/~jnz1568/getInfo.php?workbook=18_08.xlsx&amp;sheet=U0&amp;row=4650&amp;col=7&amp;number=0.00926&amp;sourceID=14","0.00926")</f>
        <v>0.00926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HYPERLINK("http://141.218.60.56/~jnz1568/getInfo.php?workbook=18_08.xlsx&amp;sheet=U0&amp;row=4651&amp;col=6&amp;number=3.7&amp;sourceID=14","3.7")</f>
        <v>3.7</v>
      </c>
      <c r="G4651" s="4" t="str">
        <f>HYPERLINK("http://141.218.60.56/~jnz1568/getInfo.php?workbook=18_08.xlsx&amp;sheet=U0&amp;row=4651&amp;col=7&amp;number=0.00927&amp;sourceID=14","0.00927")</f>
        <v>0.00927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HYPERLINK("http://141.218.60.56/~jnz1568/getInfo.php?workbook=18_08.xlsx&amp;sheet=U0&amp;row=4652&amp;col=6&amp;number=3.8&amp;sourceID=14","3.8")</f>
        <v>3.8</v>
      </c>
      <c r="G4652" s="4" t="str">
        <f>HYPERLINK("http://141.218.60.56/~jnz1568/getInfo.php?workbook=18_08.xlsx&amp;sheet=U0&amp;row=4652&amp;col=7&amp;number=0.00927&amp;sourceID=14","0.00927")</f>
        <v>0.00927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HYPERLINK("http://141.218.60.56/~jnz1568/getInfo.php?workbook=18_08.xlsx&amp;sheet=U0&amp;row=4653&amp;col=6&amp;number=3.9&amp;sourceID=14","3.9")</f>
        <v>3.9</v>
      </c>
      <c r="G4653" s="4" t="str">
        <f>HYPERLINK("http://141.218.60.56/~jnz1568/getInfo.php?workbook=18_08.xlsx&amp;sheet=U0&amp;row=4653&amp;col=7&amp;number=0.00927&amp;sourceID=14","0.00927")</f>
        <v>0.00927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HYPERLINK("http://141.218.60.56/~jnz1568/getInfo.php?workbook=18_08.xlsx&amp;sheet=U0&amp;row=4654&amp;col=6&amp;number=4&amp;sourceID=14","4")</f>
        <v>4</v>
      </c>
      <c r="G4654" s="4" t="str">
        <f>HYPERLINK("http://141.218.60.56/~jnz1568/getInfo.php?workbook=18_08.xlsx&amp;sheet=U0&amp;row=4654&amp;col=7&amp;number=0.00928&amp;sourceID=14","0.00928")</f>
        <v>0.00928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HYPERLINK("http://141.218.60.56/~jnz1568/getInfo.php?workbook=18_08.xlsx&amp;sheet=U0&amp;row=4655&amp;col=6&amp;number=4.1&amp;sourceID=14","4.1")</f>
        <v>4.1</v>
      </c>
      <c r="G4655" s="4" t="str">
        <f>HYPERLINK("http://141.218.60.56/~jnz1568/getInfo.php?workbook=18_08.xlsx&amp;sheet=U0&amp;row=4655&amp;col=7&amp;number=0.00928&amp;sourceID=14","0.00928")</f>
        <v>0.00928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HYPERLINK("http://141.218.60.56/~jnz1568/getInfo.php?workbook=18_08.xlsx&amp;sheet=U0&amp;row=4656&amp;col=6&amp;number=4.2&amp;sourceID=14","4.2")</f>
        <v>4.2</v>
      </c>
      <c r="G4656" s="4" t="str">
        <f>HYPERLINK("http://141.218.60.56/~jnz1568/getInfo.php?workbook=18_08.xlsx&amp;sheet=U0&amp;row=4656&amp;col=7&amp;number=0.00929&amp;sourceID=14","0.00929")</f>
        <v>0.00929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HYPERLINK("http://141.218.60.56/~jnz1568/getInfo.php?workbook=18_08.xlsx&amp;sheet=U0&amp;row=4657&amp;col=6&amp;number=4.3&amp;sourceID=14","4.3")</f>
        <v>4.3</v>
      </c>
      <c r="G4657" s="4" t="str">
        <f>HYPERLINK("http://141.218.60.56/~jnz1568/getInfo.php?workbook=18_08.xlsx&amp;sheet=U0&amp;row=4657&amp;col=7&amp;number=0.0093&amp;sourceID=14","0.0093")</f>
        <v>0.0093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HYPERLINK("http://141.218.60.56/~jnz1568/getInfo.php?workbook=18_08.xlsx&amp;sheet=U0&amp;row=4658&amp;col=6&amp;number=4.4&amp;sourceID=14","4.4")</f>
        <v>4.4</v>
      </c>
      <c r="G4658" s="4" t="str">
        <f>HYPERLINK("http://141.218.60.56/~jnz1568/getInfo.php?workbook=18_08.xlsx&amp;sheet=U0&amp;row=4658&amp;col=7&amp;number=0.00931&amp;sourceID=14","0.00931")</f>
        <v>0.00931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HYPERLINK("http://141.218.60.56/~jnz1568/getInfo.php?workbook=18_08.xlsx&amp;sheet=U0&amp;row=4659&amp;col=6&amp;number=4.5&amp;sourceID=14","4.5")</f>
        <v>4.5</v>
      </c>
      <c r="G4659" s="4" t="str">
        <f>HYPERLINK("http://141.218.60.56/~jnz1568/getInfo.php?workbook=18_08.xlsx&amp;sheet=U0&amp;row=4659&amp;col=7&amp;number=0.00933&amp;sourceID=14","0.00933")</f>
        <v>0.00933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HYPERLINK("http://141.218.60.56/~jnz1568/getInfo.php?workbook=18_08.xlsx&amp;sheet=U0&amp;row=4660&amp;col=6&amp;number=4.6&amp;sourceID=14","4.6")</f>
        <v>4.6</v>
      </c>
      <c r="G4660" s="4" t="str">
        <f>HYPERLINK("http://141.218.60.56/~jnz1568/getInfo.php?workbook=18_08.xlsx&amp;sheet=U0&amp;row=4660&amp;col=7&amp;number=0.00935&amp;sourceID=14","0.00935")</f>
        <v>0.00935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HYPERLINK("http://141.218.60.56/~jnz1568/getInfo.php?workbook=18_08.xlsx&amp;sheet=U0&amp;row=4661&amp;col=6&amp;number=4.7&amp;sourceID=14","4.7")</f>
        <v>4.7</v>
      </c>
      <c r="G4661" s="4" t="str">
        <f>HYPERLINK("http://141.218.60.56/~jnz1568/getInfo.php?workbook=18_08.xlsx&amp;sheet=U0&amp;row=4661&amp;col=7&amp;number=0.00937&amp;sourceID=14","0.00937")</f>
        <v>0.00937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HYPERLINK("http://141.218.60.56/~jnz1568/getInfo.php?workbook=18_08.xlsx&amp;sheet=U0&amp;row=4662&amp;col=6&amp;number=4.8&amp;sourceID=14","4.8")</f>
        <v>4.8</v>
      </c>
      <c r="G4662" s="4" t="str">
        <f>HYPERLINK("http://141.218.60.56/~jnz1568/getInfo.php?workbook=18_08.xlsx&amp;sheet=U0&amp;row=4662&amp;col=7&amp;number=0.0094&amp;sourceID=14","0.0094")</f>
        <v>0.0094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HYPERLINK("http://141.218.60.56/~jnz1568/getInfo.php?workbook=18_08.xlsx&amp;sheet=U0&amp;row=4663&amp;col=6&amp;number=4.9&amp;sourceID=14","4.9")</f>
        <v>4.9</v>
      </c>
      <c r="G4663" s="4" t="str">
        <f>HYPERLINK("http://141.218.60.56/~jnz1568/getInfo.php?workbook=18_08.xlsx&amp;sheet=U0&amp;row=4663&amp;col=7&amp;number=0.00944&amp;sourceID=14","0.00944")</f>
        <v>0.00944</v>
      </c>
    </row>
    <row r="4664" spans="1:7">
      <c r="A4664" s="3">
        <v>18</v>
      </c>
      <c r="B4664" s="3">
        <v>8</v>
      </c>
      <c r="C4664" s="3" t="s">
        <v>67</v>
      </c>
      <c r="D4664" s="3">
        <v>8</v>
      </c>
      <c r="E4664" s="3">
        <v>1</v>
      </c>
      <c r="F4664" s="4" t="str">
        <f>HYPERLINK("http://141.218.60.56/~jnz1568/getInfo.php?workbook=18_08.xlsx&amp;sheet=U0&amp;row=4664&amp;col=6&amp;number=3&amp;sourceID=14","3")</f>
        <v>3</v>
      </c>
      <c r="G4664" s="4" t="str">
        <f>HYPERLINK("http://141.218.60.56/~jnz1568/getInfo.php?workbook=18_08.xlsx&amp;sheet=U0&amp;row=4664&amp;col=7&amp;number=0.0011&amp;sourceID=14","0.0011")</f>
        <v>0.0011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HYPERLINK("http://141.218.60.56/~jnz1568/getInfo.php?workbook=18_08.xlsx&amp;sheet=U0&amp;row=4665&amp;col=6&amp;number=3.1&amp;sourceID=14","3.1")</f>
        <v>3.1</v>
      </c>
      <c r="G4665" s="4" t="str">
        <f>HYPERLINK("http://141.218.60.56/~jnz1568/getInfo.php?workbook=18_08.xlsx&amp;sheet=U0&amp;row=4665&amp;col=7&amp;number=0.0011&amp;sourceID=14","0.0011")</f>
        <v>0.0011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HYPERLINK("http://141.218.60.56/~jnz1568/getInfo.php?workbook=18_08.xlsx&amp;sheet=U0&amp;row=4666&amp;col=6&amp;number=3.2&amp;sourceID=14","3.2")</f>
        <v>3.2</v>
      </c>
      <c r="G4666" s="4" t="str">
        <f>HYPERLINK("http://141.218.60.56/~jnz1568/getInfo.php?workbook=18_08.xlsx&amp;sheet=U0&amp;row=4666&amp;col=7&amp;number=0.0011&amp;sourceID=14","0.0011")</f>
        <v>0.0011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HYPERLINK("http://141.218.60.56/~jnz1568/getInfo.php?workbook=18_08.xlsx&amp;sheet=U0&amp;row=4667&amp;col=6&amp;number=3.3&amp;sourceID=14","3.3")</f>
        <v>3.3</v>
      </c>
      <c r="G4667" s="4" t="str">
        <f>HYPERLINK("http://141.218.60.56/~jnz1568/getInfo.php?workbook=18_08.xlsx&amp;sheet=U0&amp;row=4667&amp;col=7&amp;number=0.0011&amp;sourceID=14","0.0011")</f>
        <v>0.0011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HYPERLINK("http://141.218.60.56/~jnz1568/getInfo.php?workbook=18_08.xlsx&amp;sheet=U0&amp;row=4668&amp;col=6&amp;number=3.4&amp;sourceID=14","3.4")</f>
        <v>3.4</v>
      </c>
      <c r="G4668" s="4" t="str">
        <f>HYPERLINK("http://141.218.60.56/~jnz1568/getInfo.php?workbook=18_08.xlsx&amp;sheet=U0&amp;row=4668&amp;col=7&amp;number=0.0011&amp;sourceID=14","0.0011")</f>
        <v>0.0011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HYPERLINK("http://141.218.60.56/~jnz1568/getInfo.php?workbook=18_08.xlsx&amp;sheet=U0&amp;row=4669&amp;col=6&amp;number=3.5&amp;sourceID=14","3.5")</f>
        <v>3.5</v>
      </c>
      <c r="G4669" s="4" t="str">
        <f>HYPERLINK("http://141.218.60.56/~jnz1568/getInfo.php?workbook=18_08.xlsx&amp;sheet=U0&amp;row=4669&amp;col=7&amp;number=0.0011&amp;sourceID=14","0.0011")</f>
        <v>0.0011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HYPERLINK("http://141.218.60.56/~jnz1568/getInfo.php?workbook=18_08.xlsx&amp;sheet=U0&amp;row=4670&amp;col=6&amp;number=3.6&amp;sourceID=14","3.6")</f>
        <v>3.6</v>
      </c>
      <c r="G4670" s="4" t="str">
        <f>HYPERLINK("http://141.218.60.56/~jnz1568/getInfo.php?workbook=18_08.xlsx&amp;sheet=U0&amp;row=4670&amp;col=7&amp;number=0.0011&amp;sourceID=14","0.0011")</f>
        <v>0.0011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HYPERLINK("http://141.218.60.56/~jnz1568/getInfo.php?workbook=18_08.xlsx&amp;sheet=U0&amp;row=4671&amp;col=6&amp;number=3.7&amp;sourceID=14","3.7")</f>
        <v>3.7</v>
      </c>
      <c r="G4671" s="4" t="str">
        <f>HYPERLINK("http://141.218.60.56/~jnz1568/getInfo.php?workbook=18_08.xlsx&amp;sheet=U0&amp;row=4671&amp;col=7&amp;number=0.0011&amp;sourceID=14","0.0011")</f>
        <v>0.0011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HYPERLINK("http://141.218.60.56/~jnz1568/getInfo.php?workbook=18_08.xlsx&amp;sheet=U0&amp;row=4672&amp;col=6&amp;number=3.8&amp;sourceID=14","3.8")</f>
        <v>3.8</v>
      </c>
      <c r="G4672" s="4" t="str">
        <f>HYPERLINK("http://141.218.60.56/~jnz1568/getInfo.php?workbook=18_08.xlsx&amp;sheet=U0&amp;row=4672&amp;col=7&amp;number=0.0011&amp;sourceID=14","0.0011")</f>
        <v>0.0011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HYPERLINK("http://141.218.60.56/~jnz1568/getInfo.php?workbook=18_08.xlsx&amp;sheet=U0&amp;row=4673&amp;col=6&amp;number=3.9&amp;sourceID=14","3.9")</f>
        <v>3.9</v>
      </c>
      <c r="G4673" s="4" t="str">
        <f>HYPERLINK("http://141.218.60.56/~jnz1568/getInfo.php?workbook=18_08.xlsx&amp;sheet=U0&amp;row=4673&amp;col=7&amp;number=0.0011&amp;sourceID=14","0.0011")</f>
        <v>0.0011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HYPERLINK("http://141.218.60.56/~jnz1568/getInfo.php?workbook=18_08.xlsx&amp;sheet=U0&amp;row=4674&amp;col=6&amp;number=4&amp;sourceID=14","4")</f>
        <v>4</v>
      </c>
      <c r="G4674" s="4" t="str">
        <f>HYPERLINK("http://141.218.60.56/~jnz1568/getInfo.php?workbook=18_08.xlsx&amp;sheet=U0&amp;row=4674&amp;col=7&amp;number=0.0011&amp;sourceID=14","0.0011")</f>
        <v>0.0011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HYPERLINK("http://141.218.60.56/~jnz1568/getInfo.php?workbook=18_08.xlsx&amp;sheet=U0&amp;row=4675&amp;col=6&amp;number=4.1&amp;sourceID=14","4.1")</f>
        <v>4.1</v>
      </c>
      <c r="G4675" s="4" t="str">
        <f>HYPERLINK("http://141.218.60.56/~jnz1568/getInfo.php?workbook=18_08.xlsx&amp;sheet=U0&amp;row=4675&amp;col=7&amp;number=0.0011&amp;sourceID=14","0.0011")</f>
        <v>0.0011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HYPERLINK("http://141.218.60.56/~jnz1568/getInfo.php?workbook=18_08.xlsx&amp;sheet=U0&amp;row=4676&amp;col=6&amp;number=4.2&amp;sourceID=14","4.2")</f>
        <v>4.2</v>
      </c>
      <c r="G4676" s="4" t="str">
        <f>HYPERLINK("http://141.218.60.56/~jnz1568/getInfo.php?workbook=18_08.xlsx&amp;sheet=U0&amp;row=4676&amp;col=7&amp;number=0.0011&amp;sourceID=14","0.0011")</f>
        <v>0.0011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HYPERLINK("http://141.218.60.56/~jnz1568/getInfo.php?workbook=18_08.xlsx&amp;sheet=U0&amp;row=4677&amp;col=6&amp;number=4.3&amp;sourceID=14","4.3")</f>
        <v>4.3</v>
      </c>
      <c r="G4677" s="4" t="str">
        <f>HYPERLINK("http://141.218.60.56/~jnz1568/getInfo.php?workbook=18_08.xlsx&amp;sheet=U0&amp;row=4677&amp;col=7&amp;number=0.0011&amp;sourceID=14","0.0011")</f>
        <v>0.0011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HYPERLINK("http://141.218.60.56/~jnz1568/getInfo.php?workbook=18_08.xlsx&amp;sheet=U0&amp;row=4678&amp;col=6&amp;number=4.4&amp;sourceID=14","4.4")</f>
        <v>4.4</v>
      </c>
      <c r="G4678" s="4" t="str">
        <f>HYPERLINK("http://141.218.60.56/~jnz1568/getInfo.php?workbook=18_08.xlsx&amp;sheet=U0&amp;row=4678&amp;col=7&amp;number=0.0011&amp;sourceID=14","0.0011")</f>
        <v>0.0011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HYPERLINK("http://141.218.60.56/~jnz1568/getInfo.php?workbook=18_08.xlsx&amp;sheet=U0&amp;row=4679&amp;col=6&amp;number=4.5&amp;sourceID=14","4.5")</f>
        <v>4.5</v>
      </c>
      <c r="G4679" s="4" t="str">
        <f>HYPERLINK("http://141.218.60.56/~jnz1568/getInfo.php?workbook=18_08.xlsx&amp;sheet=U0&amp;row=4679&amp;col=7&amp;number=0.0011&amp;sourceID=14","0.0011")</f>
        <v>0.0011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HYPERLINK("http://141.218.60.56/~jnz1568/getInfo.php?workbook=18_08.xlsx&amp;sheet=U0&amp;row=4680&amp;col=6&amp;number=4.6&amp;sourceID=14","4.6")</f>
        <v>4.6</v>
      </c>
      <c r="G4680" s="4" t="str">
        <f>HYPERLINK("http://141.218.60.56/~jnz1568/getInfo.php?workbook=18_08.xlsx&amp;sheet=U0&amp;row=4680&amp;col=7&amp;number=0.0011&amp;sourceID=14","0.0011")</f>
        <v>0.0011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HYPERLINK("http://141.218.60.56/~jnz1568/getInfo.php?workbook=18_08.xlsx&amp;sheet=U0&amp;row=4681&amp;col=6&amp;number=4.7&amp;sourceID=14","4.7")</f>
        <v>4.7</v>
      </c>
      <c r="G4681" s="4" t="str">
        <f>HYPERLINK("http://141.218.60.56/~jnz1568/getInfo.php?workbook=18_08.xlsx&amp;sheet=U0&amp;row=4681&amp;col=7&amp;number=0.00109&amp;sourceID=14","0.00109")</f>
        <v>0.00109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HYPERLINK("http://141.218.60.56/~jnz1568/getInfo.php?workbook=18_08.xlsx&amp;sheet=U0&amp;row=4682&amp;col=6&amp;number=4.8&amp;sourceID=14","4.8")</f>
        <v>4.8</v>
      </c>
      <c r="G4682" s="4" t="str">
        <f>HYPERLINK("http://141.218.60.56/~jnz1568/getInfo.php?workbook=18_08.xlsx&amp;sheet=U0&amp;row=4682&amp;col=7&amp;number=0.00109&amp;sourceID=14","0.00109")</f>
        <v>0.00109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HYPERLINK("http://141.218.60.56/~jnz1568/getInfo.php?workbook=18_08.xlsx&amp;sheet=U0&amp;row=4683&amp;col=6&amp;number=4.9&amp;sourceID=14","4.9")</f>
        <v>4.9</v>
      </c>
      <c r="G4683" s="4" t="str">
        <f>HYPERLINK("http://141.218.60.56/~jnz1568/getInfo.php?workbook=18_08.xlsx&amp;sheet=U0&amp;row=4683&amp;col=7&amp;number=0.00109&amp;sourceID=14","0.00109")</f>
        <v>0.00109</v>
      </c>
    </row>
    <row r="4684" spans="1:7">
      <c r="A4684" s="3">
        <v>18</v>
      </c>
      <c r="B4684" s="3">
        <v>8</v>
      </c>
      <c r="C4684" s="3" t="s">
        <v>67</v>
      </c>
      <c r="D4684" s="3">
        <v>9</v>
      </c>
      <c r="E4684" s="3">
        <v>1</v>
      </c>
      <c r="F4684" s="4" t="str">
        <f>HYPERLINK("http://141.218.60.56/~jnz1568/getInfo.php?workbook=18_08.xlsx&amp;sheet=U0&amp;row=4684&amp;col=6&amp;number=3&amp;sourceID=14","3")</f>
        <v>3</v>
      </c>
      <c r="G4684" s="4" t="str">
        <f>HYPERLINK("http://141.218.60.56/~jnz1568/getInfo.php?workbook=18_08.xlsx&amp;sheet=U0&amp;row=4684&amp;col=7&amp;number=0.00125&amp;sourceID=14","0.00125")</f>
        <v>0.00125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HYPERLINK("http://141.218.60.56/~jnz1568/getInfo.php?workbook=18_08.xlsx&amp;sheet=U0&amp;row=4685&amp;col=6&amp;number=3.1&amp;sourceID=14","3.1")</f>
        <v>3.1</v>
      </c>
      <c r="G4685" s="4" t="str">
        <f>HYPERLINK("http://141.218.60.56/~jnz1568/getInfo.php?workbook=18_08.xlsx&amp;sheet=U0&amp;row=4685&amp;col=7&amp;number=0.00125&amp;sourceID=14","0.00125")</f>
        <v>0.00125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HYPERLINK("http://141.218.60.56/~jnz1568/getInfo.php?workbook=18_08.xlsx&amp;sheet=U0&amp;row=4686&amp;col=6&amp;number=3.2&amp;sourceID=14","3.2")</f>
        <v>3.2</v>
      </c>
      <c r="G4686" s="4" t="str">
        <f>HYPERLINK("http://141.218.60.56/~jnz1568/getInfo.php?workbook=18_08.xlsx&amp;sheet=U0&amp;row=4686&amp;col=7&amp;number=0.00125&amp;sourceID=14","0.00125")</f>
        <v>0.00125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HYPERLINK("http://141.218.60.56/~jnz1568/getInfo.php?workbook=18_08.xlsx&amp;sheet=U0&amp;row=4687&amp;col=6&amp;number=3.3&amp;sourceID=14","3.3")</f>
        <v>3.3</v>
      </c>
      <c r="G4687" s="4" t="str">
        <f>HYPERLINK("http://141.218.60.56/~jnz1568/getInfo.php?workbook=18_08.xlsx&amp;sheet=U0&amp;row=4687&amp;col=7&amp;number=0.00125&amp;sourceID=14","0.00125")</f>
        <v>0.00125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HYPERLINK("http://141.218.60.56/~jnz1568/getInfo.php?workbook=18_08.xlsx&amp;sheet=U0&amp;row=4688&amp;col=6&amp;number=3.4&amp;sourceID=14","3.4")</f>
        <v>3.4</v>
      </c>
      <c r="G4688" s="4" t="str">
        <f>HYPERLINK("http://141.218.60.56/~jnz1568/getInfo.php?workbook=18_08.xlsx&amp;sheet=U0&amp;row=4688&amp;col=7&amp;number=0.00125&amp;sourceID=14","0.00125")</f>
        <v>0.00125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HYPERLINK("http://141.218.60.56/~jnz1568/getInfo.php?workbook=18_08.xlsx&amp;sheet=U0&amp;row=4689&amp;col=6&amp;number=3.5&amp;sourceID=14","3.5")</f>
        <v>3.5</v>
      </c>
      <c r="G4689" s="4" t="str">
        <f>HYPERLINK("http://141.218.60.56/~jnz1568/getInfo.php?workbook=18_08.xlsx&amp;sheet=U0&amp;row=4689&amp;col=7&amp;number=0.00125&amp;sourceID=14","0.00125")</f>
        <v>0.00125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HYPERLINK("http://141.218.60.56/~jnz1568/getInfo.php?workbook=18_08.xlsx&amp;sheet=U0&amp;row=4690&amp;col=6&amp;number=3.6&amp;sourceID=14","3.6")</f>
        <v>3.6</v>
      </c>
      <c r="G4690" s="4" t="str">
        <f>HYPERLINK("http://141.218.60.56/~jnz1568/getInfo.php?workbook=18_08.xlsx&amp;sheet=U0&amp;row=4690&amp;col=7&amp;number=0.00125&amp;sourceID=14","0.00125")</f>
        <v>0.00125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HYPERLINK("http://141.218.60.56/~jnz1568/getInfo.php?workbook=18_08.xlsx&amp;sheet=U0&amp;row=4691&amp;col=6&amp;number=3.7&amp;sourceID=14","3.7")</f>
        <v>3.7</v>
      </c>
      <c r="G4691" s="4" t="str">
        <f>HYPERLINK("http://141.218.60.56/~jnz1568/getInfo.php?workbook=18_08.xlsx&amp;sheet=U0&amp;row=4691&amp;col=7&amp;number=0.00125&amp;sourceID=14","0.00125")</f>
        <v>0.00125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HYPERLINK("http://141.218.60.56/~jnz1568/getInfo.php?workbook=18_08.xlsx&amp;sheet=U0&amp;row=4692&amp;col=6&amp;number=3.8&amp;sourceID=14","3.8")</f>
        <v>3.8</v>
      </c>
      <c r="G4692" s="4" t="str">
        <f>HYPERLINK("http://141.218.60.56/~jnz1568/getInfo.php?workbook=18_08.xlsx&amp;sheet=U0&amp;row=4692&amp;col=7&amp;number=0.00125&amp;sourceID=14","0.00125")</f>
        <v>0.00125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HYPERLINK("http://141.218.60.56/~jnz1568/getInfo.php?workbook=18_08.xlsx&amp;sheet=U0&amp;row=4693&amp;col=6&amp;number=3.9&amp;sourceID=14","3.9")</f>
        <v>3.9</v>
      </c>
      <c r="G4693" s="4" t="str">
        <f>HYPERLINK("http://141.218.60.56/~jnz1568/getInfo.php?workbook=18_08.xlsx&amp;sheet=U0&amp;row=4693&amp;col=7&amp;number=0.00125&amp;sourceID=14","0.00125")</f>
        <v>0.00125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HYPERLINK("http://141.218.60.56/~jnz1568/getInfo.php?workbook=18_08.xlsx&amp;sheet=U0&amp;row=4694&amp;col=6&amp;number=4&amp;sourceID=14","4")</f>
        <v>4</v>
      </c>
      <c r="G4694" s="4" t="str">
        <f>HYPERLINK("http://141.218.60.56/~jnz1568/getInfo.php?workbook=18_08.xlsx&amp;sheet=U0&amp;row=4694&amp;col=7&amp;number=0.00125&amp;sourceID=14","0.00125")</f>
        <v>0.00125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HYPERLINK("http://141.218.60.56/~jnz1568/getInfo.php?workbook=18_08.xlsx&amp;sheet=U0&amp;row=4695&amp;col=6&amp;number=4.1&amp;sourceID=14","4.1")</f>
        <v>4.1</v>
      </c>
      <c r="G4695" s="4" t="str">
        <f>HYPERLINK("http://141.218.60.56/~jnz1568/getInfo.php?workbook=18_08.xlsx&amp;sheet=U0&amp;row=4695&amp;col=7&amp;number=0.00125&amp;sourceID=14","0.00125")</f>
        <v>0.00125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HYPERLINK("http://141.218.60.56/~jnz1568/getInfo.php?workbook=18_08.xlsx&amp;sheet=U0&amp;row=4696&amp;col=6&amp;number=4.2&amp;sourceID=14","4.2")</f>
        <v>4.2</v>
      </c>
      <c r="G4696" s="4" t="str">
        <f>HYPERLINK("http://141.218.60.56/~jnz1568/getInfo.php?workbook=18_08.xlsx&amp;sheet=U0&amp;row=4696&amp;col=7&amp;number=0.00125&amp;sourceID=14","0.00125")</f>
        <v>0.00125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HYPERLINK("http://141.218.60.56/~jnz1568/getInfo.php?workbook=18_08.xlsx&amp;sheet=U0&amp;row=4697&amp;col=6&amp;number=4.3&amp;sourceID=14","4.3")</f>
        <v>4.3</v>
      </c>
      <c r="G4697" s="4" t="str">
        <f>HYPERLINK("http://141.218.60.56/~jnz1568/getInfo.php?workbook=18_08.xlsx&amp;sheet=U0&amp;row=4697&amp;col=7&amp;number=0.00125&amp;sourceID=14","0.00125")</f>
        <v>0.00125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HYPERLINK("http://141.218.60.56/~jnz1568/getInfo.php?workbook=18_08.xlsx&amp;sheet=U0&amp;row=4698&amp;col=6&amp;number=4.4&amp;sourceID=14","4.4")</f>
        <v>4.4</v>
      </c>
      <c r="G4698" s="4" t="str">
        <f>HYPERLINK("http://141.218.60.56/~jnz1568/getInfo.php?workbook=18_08.xlsx&amp;sheet=U0&amp;row=4698&amp;col=7&amp;number=0.00125&amp;sourceID=14","0.00125")</f>
        <v>0.00125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HYPERLINK("http://141.218.60.56/~jnz1568/getInfo.php?workbook=18_08.xlsx&amp;sheet=U0&amp;row=4699&amp;col=6&amp;number=4.5&amp;sourceID=14","4.5")</f>
        <v>4.5</v>
      </c>
      <c r="G4699" s="4" t="str">
        <f>HYPERLINK("http://141.218.60.56/~jnz1568/getInfo.php?workbook=18_08.xlsx&amp;sheet=U0&amp;row=4699&amp;col=7&amp;number=0.00124&amp;sourceID=14","0.00124")</f>
        <v>0.00124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HYPERLINK("http://141.218.60.56/~jnz1568/getInfo.php?workbook=18_08.xlsx&amp;sheet=U0&amp;row=4700&amp;col=6&amp;number=4.6&amp;sourceID=14","4.6")</f>
        <v>4.6</v>
      </c>
      <c r="G4700" s="4" t="str">
        <f>HYPERLINK("http://141.218.60.56/~jnz1568/getInfo.php?workbook=18_08.xlsx&amp;sheet=U0&amp;row=4700&amp;col=7&amp;number=0.00124&amp;sourceID=14","0.00124")</f>
        <v>0.00124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HYPERLINK("http://141.218.60.56/~jnz1568/getInfo.php?workbook=18_08.xlsx&amp;sheet=U0&amp;row=4701&amp;col=6&amp;number=4.7&amp;sourceID=14","4.7")</f>
        <v>4.7</v>
      </c>
      <c r="G4701" s="4" t="str">
        <f>HYPERLINK("http://141.218.60.56/~jnz1568/getInfo.php?workbook=18_08.xlsx&amp;sheet=U0&amp;row=4701&amp;col=7&amp;number=0.00124&amp;sourceID=14","0.00124")</f>
        <v>0.00124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HYPERLINK("http://141.218.60.56/~jnz1568/getInfo.php?workbook=18_08.xlsx&amp;sheet=U0&amp;row=4702&amp;col=6&amp;number=4.8&amp;sourceID=14","4.8")</f>
        <v>4.8</v>
      </c>
      <c r="G4702" s="4" t="str">
        <f>HYPERLINK("http://141.218.60.56/~jnz1568/getInfo.php?workbook=18_08.xlsx&amp;sheet=U0&amp;row=4702&amp;col=7&amp;number=0.00124&amp;sourceID=14","0.00124")</f>
        <v>0.00124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HYPERLINK("http://141.218.60.56/~jnz1568/getInfo.php?workbook=18_08.xlsx&amp;sheet=U0&amp;row=4703&amp;col=6&amp;number=4.9&amp;sourceID=14","4.9")</f>
        <v>4.9</v>
      </c>
      <c r="G4703" s="4" t="str">
        <f>HYPERLINK("http://141.218.60.56/~jnz1568/getInfo.php?workbook=18_08.xlsx&amp;sheet=U0&amp;row=4703&amp;col=7&amp;number=0.00123&amp;sourceID=14","0.00123")</f>
        <v>0.00123</v>
      </c>
    </row>
    <row r="4704" spans="1:7">
      <c r="A4704" s="3">
        <v>18</v>
      </c>
      <c r="B4704" s="3">
        <v>8</v>
      </c>
      <c r="C4704" s="3" t="s">
        <v>68</v>
      </c>
      <c r="D4704" s="3">
        <v>0</v>
      </c>
      <c r="E4704" s="3">
        <v>1</v>
      </c>
      <c r="F4704" s="4" t="str">
        <f>HYPERLINK("http://141.218.60.56/~jnz1568/getInfo.php?workbook=18_08.xlsx&amp;sheet=U0&amp;row=4704&amp;col=6&amp;number=3&amp;sourceID=14","3")</f>
        <v>3</v>
      </c>
      <c r="G4704" s="4" t="str">
        <f>HYPERLINK("http://141.218.60.56/~jnz1568/getInfo.php?workbook=18_08.xlsx&amp;sheet=U0&amp;row=4704&amp;col=7&amp;number=0.000957&amp;sourceID=14","0.000957")</f>
        <v>0.000957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HYPERLINK("http://141.218.60.56/~jnz1568/getInfo.php?workbook=18_08.xlsx&amp;sheet=U0&amp;row=4705&amp;col=6&amp;number=3.1&amp;sourceID=14","3.1")</f>
        <v>3.1</v>
      </c>
      <c r="G4705" s="4" t="str">
        <f>HYPERLINK("http://141.218.60.56/~jnz1568/getInfo.php?workbook=18_08.xlsx&amp;sheet=U0&amp;row=4705&amp;col=7&amp;number=0.000957&amp;sourceID=14","0.000957")</f>
        <v>0.000957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HYPERLINK("http://141.218.60.56/~jnz1568/getInfo.php?workbook=18_08.xlsx&amp;sheet=U0&amp;row=4706&amp;col=6&amp;number=3.2&amp;sourceID=14","3.2")</f>
        <v>3.2</v>
      </c>
      <c r="G4706" s="4" t="str">
        <f>HYPERLINK("http://141.218.60.56/~jnz1568/getInfo.php?workbook=18_08.xlsx&amp;sheet=U0&amp;row=4706&amp;col=7&amp;number=0.000957&amp;sourceID=14","0.000957")</f>
        <v>0.000957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HYPERLINK("http://141.218.60.56/~jnz1568/getInfo.php?workbook=18_08.xlsx&amp;sheet=U0&amp;row=4707&amp;col=6&amp;number=3.3&amp;sourceID=14","3.3")</f>
        <v>3.3</v>
      </c>
      <c r="G4707" s="4" t="str">
        <f>HYPERLINK("http://141.218.60.56/~jnz1568/getInfo.php?workbook=18_08.xlsx&amp;sheet=U0&amp;row=4707&amp;col=7&amp;number=0.000957&amp;sourceID=14","0.000957")</f>
        <v>0.000957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HYPERLINK("http://141.218.60.56/~jnz1568/getInfo.php?workbook=18_08.xlsx&amp;sheet=U0&amp;row=4708&amp;col=6&amp;number=3.4&amp;sourceID=14","3.4")</f>
        <v>3.4</v>
      </c>
      <c r="G4708" s="4" t="str">
        <f>HYPERLINK("http://141.218.60.56/~jnz1568/getInfo.php?workbook=18_08.xlsx&amp;sheet=U0&amp;row=4708&amp;col=7&amp;number=0.000957&amp;sourceID=14","0.000957")</f>
        <v>0.000957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HYPERLINK("http://141.218.60.56/~jnz1568/getInfo.php?workbook=18_08.xlsx&amp;sheet=U0&amp;row=4709&amp;col=6&amp;number=3.5&amp;sourceID=14","3.5")</f>
        <v>3.5</v>
      </c>
      <c r="G4709" s="4" t="str">
        <f>HYPERLINK("http://141.218.60.56/~jnz1568/getInfo.php?workbook=18_08.xlsx&amp;sheet=U0&amp;row=4709&amp;col=7&amp;number=0.000957&amp;sourceID=14","0.000957")</f>
        <v>0.000957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HYPERLINK("http://141.218.60.56/~jnz1568/getInfo.php?workbook=18_08.xlsx&amp;sheet=U0&amp;row=4710&amp;col=6&amp;number=3.6&amp;sourceID=14","3.6")</f>
        <v>3.6</v>
      </c>
      <c r="G4710" s="4" t="str">
        <f>HYPERLINK("http://141.218.60.56/~jnz1568/getInfo.php?workbook=18_08.xlsx&amp;sheet=U0&amp;row=4710&amp;col=7&amp;number=0.000957&amp;sourceID=14","0.000957")</f>
        <v>0.000957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HYPERLINK("http://141.218.60.56/~jnz1568/getInfo.php?workbook=18_08.xlsx&amp;sheet=U0&amp;row=4711&amp;col=6&amp;number=3.7&amp;sourceID=14","3.7")</f>
        <v>3.7</v>
      </c>
      <c r="G4711" s="4" t="str">
        <f>HYPERLINK("http://141.218.60.56/~jnz1568/getInfo.php?workbook=18_08.xlsx&amp;sheet=U0&amp;row=4711&amp;col=7&amp;number=0.000956&amp;sourceID=14","0.000956")</f>
        <v>0.000956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HYPERLINK("http://141.218.60.56/~jnz1568/getInfo.php?workbook=18_08.xlsx&amp;sheet=U0&amp;row=4712&amp;col=6&amp;number=3.8&amp;sourceID=14","3.8")</f>
        <v>3.8</v>
      </c>
      <c r="G4712" s="4" t="str">
        <f>HYPERLINK("http://141.218.60.56/~jnz1568/getInfo.php?workbook=18_08.xlsx&amp;sheet=U0&amp;row=4712&amp;col=7&amp;number=0.000956&amp;sourceID=14","0.000956")</f>
        <v>0.000956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HYPERLINK("http://141.218.60.56/~jnz1568/getInfo.php?workbook=18_08.xlsx&amp;sheet=U0&amp;row=4713&amp;col=6&amp;number=3.9&amp;sourceID=14","3.9")</f>
        <v>3.9</v>
      </c>
      <c r="G4713" s="4" t="str">
        <f>HYPERLINK("http://141.218.60.56/~jnz1568/getInfo.php?workbook=18_08.xlsx&amp;sheet=U0&amp;row=4713&amp;col=7&amp;number=0.000956&amp;sourceID=14","0.000956")</f>
        <v>0.000956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HYPERLINK("http://141.218.60.56/~jnz1568/getInfo.php?workbook=18_08.xlsx&amp;sheet=U0&amp;row=4714&amp;col=6&amp;number=4&amp;sourceID=14","4")</f>
        <v>4</v>
      </c>
      <c r="G4714" s="4" t="str">
        <f>HYPERLINK("http://141.218.60.56/~jnz1568/getInfo.php?workbook=18_08.xlsx&amp;sheet=U0&amp;row=4714&amp;col=7&amp;number=0.000955&amp;sourceID=14","0.000955")</f>
        <v>0.000955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HYPERLINK("http://141.218.60.56/~jnz1568/getInfo.php?workbook=18_08.xlsx&amp;sheet=U0&amp;row=4715&amp;col=6&amp;number=4.1&amp;sourceID=14","4.1")</f>
        <v>4.1</v>
      </c>
      <c r="G4715" s="4" t="str">
        <f>HYPERLINK("http://141.218.60.56/~jnz1568/getInfo.php?workbook=18_08.xlsx&amp;sheet=U0&amp;row=4715&amp;col=7&amp;number=0.000955&amp;sourceID=14","0.000955")</f>
        <v>0.000955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HYPERLINK("http://141.218.60.56/~jnz1568/getInfo.php?workbook=18_08.xlsx&amp;sheet=U0&amp;row=4716&amp;col=6&amp;number=4.2&amp;sourceID=14","4.2")</f>
        <v>4.2</v>
      </c>
      <c r="G4716" s="4" t="str">
        <f>HYPERLINK("http://141.218.60.56/~jnz1568/getInfo.php?workbook=18_08.xlsx&amp;sheet=U0&amp;row=4716&amp;col=7&amp;number=0.000954&amp;sourceID=14","0.000954")</f>
        <v>0.000954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HYPERLINK("http://141.218.60.56/~jnz1568/getInfo.php?workbook=18_08.xlsx&amp;sheet=U0&amp;row=4717&amp;col=6&amp;number=4.3&amp;sourceID=14","4.3")</f>
        <v>4.3</v>
      </c>
      <c r="G4717" s="4" t="str">
        <f>HYPERLINK("http://141.218.60.56/~jnz1568/getInfo.php?workbook=18_08.xlsx&amp;sheet=U0&amp;row=4717&amp;col=7&amp;number=0.000953&amp;sourceID=14","0.000953")</f>
        <v>0.000953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HYPERLINK("http://141.218.60.56/~jnz1568/getInfo.php?workbook=18_08.xlsx&amp;sheet=U0&amp;row=4718&amp;col=6&amp;number=4.4&amp;sourceID=14","4.4")</f>
        <v>4.4</v>
      </c>
      <c r="G4718" s="4" t="str">
        <f>HYPERLINK("http://141.218.60.56/~jnz1568/getInfo.php?workbook=18_08.xlsx&amp;sheet=U0&amp;row=4718&amp;col=7&amp;number=0.000952&amp;sourceID=14","0.000952")</f>
        <v>0.000952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HYPERLINK("http://141.218.60.56/~jnz1568/getInfo.php?workbook=18_08.xlsx&amp;sheet=U0&amp;row=4719&amp;col=6&amp;number=4.5&amp;sourceID=14","4.5")</f>
        <v>4.5</v>
      </c>
      <c r="G4719" s="4" t="str">
        <f>HYPERLINK("http://141.218.60.56/~jnz1568/getInfo.php?workbook=18_08.xlsx&amp;sheet=U0&amp;row=4719&amp;col=7&amp;number=0.000951&amp;sourceID=14","0.000951")</f>
        <v>0.000951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HYPERLINK("http://141.218.60.56/~jnz1568/getInfo.php?workbook=18_08.xlsx&amp;sheet=U0&amp;row=4720&amp;col=6&amp;number=4.6&amp;sourceID=14","4.6")</f>
        <v>4.6</v>
      </c>
      <c r="G4720" s="4" t="str">
        <f>HYPERLINK("http://141.218.60.56/~jnz1568/getInfo.php?workbook=18_08.xlsx&amp;sheet=U0&amp;row=4720&amp;col=7&amp;number=0.000949&amp;sourceID=14","0.000949")</f>
        <v>0.000949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HYPERLINK("http://141.218.60.56/~jnz1568/getInfo.php?workbook=18_08.xlsx&amp;sheet=U0&amp;row=4721&amp;col=6&amp;number=4.7&amp;sourceID=14","4.7")</f>
        <v>4.7</v>
      </c>
      <c r="G4721" s="4" t="str">
        <f>HYPERLINK("http://141.218.60.56/~jnz1568/getInfo.php?workbook=18_08.xlsx&amp;sheet=U0&amp;row=4721&amp;col=7&amp;number=0.000947&amp;sourceID=14","0.000947")</f>
        <v>0.000947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HYPERLINK("http://141.218.60.56/~jnz1568/getInfo.php?workbook=18_08.xlsx&amp;sheet=U0&amp;row=4722&amp;col=6&amp;number=4.8&amp;sourceID=14","4.8")</f>
        <v>4.8</v>
      </c>
      <c r="G4722" s="4" t="str">
        <f>HYPERLINK("http://141.218.60.56/~jnz1568/getInfo.php?workbook=18_08.xlsx&amp;sheet=U0&amp;row=4722&amp;col=7&amp;number=0.000944&amp;sourceID=14","0.000944")</f>
        <v>0.000944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HYPERLINK("http://141.218.60.56/~jnz1568/getInfo.php?workbook=18_08.xlsx&amp;sheet=U0&amp;row=4723&amp;col=6&amp;number=4.9&amp;sourceID=14","4.9")</f>
        <v>4.9</v>
      </c>
      <c r="G4723" s="4" t="str">
        <f>HYPERLINK("http://141.218.60.56/~jnz1568/getInfo.php?workbook=18_08.xlsx&amp;sheet=U0&amp;row=4723&amp;col=7&amp;number=0.000941&amp;sourceID=14","0.000941")</f>
        <v>0.000941</v>
      </c>
    </row>
    <row r="4724" spans="1:7">
      <c r="A4724" s="3">
        <v>18</v>
      </c>
      <c r="B4724" s="3">
        <v>8</v>
      </c>
      <c r="C4724" s="3" t="s">
        <v>68</v>
      </c>
      <c r="D4724" s="3">
        <v>1</v>
      </c>
      <c r="E4724" s="3">
        <v>1</v>
      </c>
      <c r="F4724" s="4" t="str">
        <f>HYPERLINK("http://141.218.60.56/~jnz1568/getInfo.php?workbook=18_08.xlsx&amp;sheet=U0&amp;row=4724&amp;col=6&amp;number=3&amp;sourceID=14","3")</f>
        <v>3</v>
      </c>
      <c r="G4724" s="4" t="str">
        <f>HYPERLINK("http://141.218.60.56/~jnz1568/getInfo.php?workbook=18_08.xlsx&amp;sheet=U0&amp;row=4724&amp;col=7&amp;number=0.0217&amp;sourceID=14","0.0217")</f>
        <v>0.0217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HYPERLINK("http://141.218.60.56/~jnz1568/getInfo.php?workbook=18_08.xlsx&amp;sheet=U0&amp;row=4725&amp;col=6&amp;number=3.1&amp;sourceID=14","3.1")</f>
        <v>3.1</v>
      </c>
      <c r="G4725" s="4" t="str">
        <f>HYPERLINK("http://141.218.60.56/~jnz1568/getInfo.php?workbook=18_08.xlsx&amp;sheet=U0&amp;row=4725&amp;col=7&amp;number=0.0217&amp;sourceID=14","0.0217")</f>
        <v>0.0217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HYPERLINK("http://141.218.60.56/~jnz1568/getInfo.php?workbook=18_08.xlsx&amp;sheet=U0&amp;row=4726&amp;col=6&amp;number=3.2&amp;sourceID=14","3.2")</f>
        <v>3.2</v>
      </c>
      <c r="G4726" s="4" t="str">
        <f>HYPERLINK("http://141.218.60.56/~jnz1568/getInfo.php?workbook=18_08.xlsx&amp;sheet=U0&amp;row=4726&amp;col=7&amp;number=0.0217&amp;sourceID=14","0.0217")</f>
        <v>0.0217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HYPERLINK("http://141.218.60.56/~jnz1568/getInfo.php?workbook=18_08.xlsx&amp;sheet=U0&amp;row=4727&amp;col=6&amp;number=3.3&amp;sourceID=14","3.3")</f>
        <v>3.3</v>
      </c>
      <c r="G4727" s="4" t="str">
        <f>HYPERLINK("http://141.218.60.56/~jnz1568/getInfo.php?workbook=18_08.xlsx&amp;sheet=U0&amp;row=4727&amp;col=7&amp;number=0.0217&amp;sourceID=14","0.0217")</f>
        <v>0.0217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HYPERLINK("http://141.218.60.56/~jnz1568/getInfo.php?workbook=18_08.xlsx&amp;sheet=U0&amp;row=4728&amp;col=6&amp;number=3.4&amp;sourceID=14","3.4")</f>
        <v>3.4</v>
      </c>
      <c r="G4728" s="4" t="str">
        <f>HYPERLINK("http://141.218.60.56/~jnz1568/getInfo.php?workbook=18_08.xlsx&amp;sheet=U0&amp;row=4728&amp;col=7&amp;number=0.0217&amp;sourceID=14","0.0217")</f>
        <v>0.0217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HYPERLINK("http://141.218.60.56/~jnz1568/getInfo.php?workbook=18_08.xlsx&amp;sheet=U0&amp;row=4729&amp;col=6&amp;number=3.5&amp;sourceID=14","3.5")</f>
        <v>3.5</v>
      </c>
      <c r="G4729" s="4" t="str">
        <f>HYPERLINK("http://141.218.60.56/~jnz1568/getInfo.php?workbook=18_08.xlsx&amp;sheet=U0&amp;row=4729&amp;col=7&amp;number=0.0217&amp;sourceID=14","0.0217")</f>
        <v>0.0217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HYPERLINK("http://141.218.60.56/~jnz1568/getInfo.php?workbook=18_08.xlsx&amp;sheet=U0&amp;row=4730&amp;col=6&amp;number=3.6&amp;sourceID=14","3.6")</f>
        <v>3.6</v>
      </c>
      <c r="G4730" s="4" t="str">
        <f>HYPERLINK("http://141.218.60.56/~jnz1568/getInfo.php?workbook=18_08.xlsx&amp;sheet=U0&amp;row=4730&amp;col=7&amp;number=0.0217&amp;sourceID=14","0.0217")</f>
        <v>0.0217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HYPERLINK("http://141.218.60.56/~jnz1568/getInfo.php?workbook=18_08.xlsx&amp;sheet=U0&amp;row=4731&amp;col=6&amp;number=3.7&amp;sourceID=14","3.7")</f>
        <v>3.7</v>
      </c>
      <c r="G4731" s="4" t="str">
        <f>HYPERLINK("http://141.218.60.56/~jnz1568/getInfo.php?workbook=18_08.xlsx&amp;sheet=U0&amp;row=4731&amp;col=7&amp;number=0.0217&amp;sourceID=14","0.0217")</f>
        <v>0.0217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HYPERLINK("http://141.218.60.56/~jnz1568/getInfo.php?workbook=18_08.xlsx&amp;sheet=U0&amp;row=4732&amp;col=6&amp;number=3.8&amp;sourceID=14","3.8")</f>
        <v>3.8</v>
      </c>
      <c r="G4732" s="4" t="str">
        <f>HYPERLINK("http://141.218.60.56/~jnz1568/getInfo.php?workbook=18_08.xlsx&amp;sheet=U0&amp;row=4732&amp;col=7&amp;number=0.0217&amp;sourceID=14","0.0217")</f>
        <v>0.0217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HYPERLINK("http://141.218.60.56/~jnz1568/getInfo.php?workbook=18_08.xlsx&amp;sheet=U0&amp;row=4733&amp;col=6&amp;number=3.9&amp;sourceID=14","3.9")</f>
        <v>3.9</v>
      </c>
      <c r="G4733" s="4" t="str">
        <f>HYPERLINK("http://141.218.60.56/~jnz1568/getInfo.php?workbook=18_08.xlsx&amp;sheet=U0&amp;row=4733&amp;col=7&amp;number=0.0218&amp;sourceID=14","0.0218")</f>
        <v>0.0218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HYPERLINK("http://141.218.60.56/~jnz1568/getInfo.php?workbook=18_08.xlsx&amp;sheet=U0&amp;row=4734&amp;col=6&amp;number=4&amp;sourceID=14","4")</f>
        <v>4</v>
      </c>
      <c r="G4734" s="4" t="str">
        <f>HYPERLINK("http://141.218.60.56/~jnz1568/getInfo.php?workbook=18_08.xlsx&amp;sheet=U0&amp;row=4734&amp;col=7&amp;number=0.0218&amp;sourceID=14","0.0218")</f>
        <v>0.0218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HYPERLINK("http://141.218.60.56/~jnz1568/getInfo.php?workbook=18_08.xlsx&amp;sheet=U0&amp;row=4735&amp;col=6&amp;number=4.1&amp;sourceID=14","4.1")</f>
        <v>4.1</v>
      </c>
      <c r="G4735" s="4" t="str">
        <f>HYPERLINK("http://141.218.60.56/~jnz1568/getInfo.php?workbook=18_08.xlsx&amp;sheet=U0&amp;row=4735&amp;col=7&amp;number=0.0218&amp;sourceID=14","0.0218")</f>
        <v>0.0218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HYPERLINK("http://141.218.60.56/~jnz1568/getInfo.php?workbook=18_08.xlsx&amp;sheet=U0&amp;row=4736&amp;col=6&amp;number=4.2&amp;sourceID=14","4.2")</f>
        <v>4.2</v>
      </c>
      <c r="G4736" s="4" t="str">
        <f>HYPERLINK("http://141.218.60.56/~jnz1568/getInfo.php?workbook=18_08.xlsx&amp;sheet=U0&amp;row=4736&amp;col=7&amp;number=0.0218&amp;sourceID=14","0.0218")</f>
        <v>0.0218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HYPERLINK("http://141.218.60.56/~jnz1568/getInfo.php?workbook=18_08.xlsx&amp;sheet=U0&amp;row=4737&amp;col=6&amp;number=4.3&amp;sourceID=14","4.3")</f>
        <v>4.3</v>
      </c>
      <c r="G4737" s="4" t="str">
        <f>HYPERLINK("http://141.218.60.56/~jnz1568/getInfo.php?workbook=18_08.xlsx&amp;sheet=U0&amp;row=4737&amp;col=7&amp;number=0.0218&amp;sourceID=14","0.0218")</f>
        <v>0.0218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HYPERLINK("http://141.218.60.56/~jnz1568/getInfo.php?workbook=18_08.xlsx&amp;sheet=U0&amp;row=4738&amp;col=6&amp;number=4.4&amp;sourceID=14","4.4")</f>
        <v>4.4</v>
      </c>
      <c r="G4738" s="4" t="str">
        <f>HYPERLINK("http://141.218.60.56/~jnz1568/getInfo.php?workbook=18_08.xlsx&amp;sheet=U0&amp;row=4738&amp;col=7&amp;number=0.0219&amp;sourceID=14","0.0219")</f>
        <v>0.0219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HYPERLINK("http://141.218.60.56/~jnz1568/getInfo.php?workbook=18_08.xlsx&amp;sheet=U0&amp;row=4739&amp;col=6&amp;number=4.5&amp;sourceID=14","4.5")</f>
        <v>4.5</v>
      </c>
      <c r="G4739" s="4" t="str">
        <f>HYPERLINK("http://141.218.60.56/~jnz1568/getInfo.php?workbook=18_08.xlsx&amp;sheet=U0&amp;row=4739&amp;col=7&amp;number=0.0219&amp;sourceID=14","0.0219")</f>
        <v>0.0219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HYPERLINK("http://141.218.60.56/~jnz1568/getInfo.php?workbook=18_08.xlsx&amp;sheet=U0&amp;row=4740&amp;col=6&amp;number=4.6&amp;sourceID=14","4.6")</f>
        <v>4.6</v>
      </c>
      <c r="G4740" s="4" t="str">
        <f>HYPERLINK("http://141.218.60.56/~jnz1568/getInfo.php?workbook=18_08.xlsx&amp;sheet=U0&amp;row=4740&amp;col=7&amp;number=0.0219&amp;sourceID=14","0.0219")</f>
        <v>0.0219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HYPERLINK("http://141.218.60.56/~jnz1568/getInfo.php?workbook=18_08.xlsx&amp;sheet=U0&amp;row=4741&amp;col=6&amp;number=4.7&amp;sourceID=14","4.7")</f>
        <v>4.7</v>
      </c>
      <c r="G4741" s="4" t="str">
        <f>HYPERLINK("http://141.218.60.56/~jnz1568/getInfo.php?workbook=18_08.xlsx&amp;sheet=U0&amp;row=4741&amp;col=7&amp;number=0.022&amp;sourceID=14","0.022")</f>
        <v>0.022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HYPERLINK("http://141.218.60.56/~jnz1568/getInfo.php?workbook=18_08.xlsx&amp;sheet=U0&amp;row=4742&amp;col=6&amp;number=4.8&amp;sourceID=14","4.8")</f>
        <v>4.8</v>
      </c>
      <c r="G4742" s="4" t="str">
        <f>HYPERLINK("http://141.218.60.56/~jnz1568/getInfo.php?workbook=18_08.xlsx&amp;sheet=U0&amp;row=4742&amp;col=7&amp;number=0.0221&amp;sourceID=14","0.0221")</f>
        <v>0.0221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HYPERLINK("http://141.218.60.56/~jnz1568/getInfo.php?workbook=18_08.xlsx&amp;sheet=U0&amp;row=4743&amp;col=6&amp;number=4.9&amp;sourceID=14","4.9")</f>
        <v>4.9</v>
      </c>
      <c r="G4743" s="4" t="str">
        <f>HYPERLINK("http://141.218.60.56/~jnz1568/getInfo.php?workbook=18_08.xlsx&amp;sheet=U0&amp;row=4743&amp;col=7&amp;number=0.0222&amp;sourceID=14","0.0222")</f>
        <v>0.0222</v>
      </c>
    </row>
    <row r="4744" spans="1:7">
      <c r="A4744" s="3">
        <v>18</v>
      </c>
      <c r="B4744" s="3">
        <v>8</v>
      </c>
      <c r="C4744" s="3" t="s">
        <v>68</v>
      </c>
      <c r="D4744" s="3">
        <v>2</v>
      </c>
      <c r="E4744" s="3">
        <v>1</v>
      </c>
      <c r="F4744" s="4" t="str">
        <f>HYPERLINK("http://141.218.60.56/~jnz1568/getInfo.php?workbook=18_08.xlsx&amp;sheet=U0&amp;row=4744&amp;col=6&amp;number=3&amp;sourceID=14","3")</f>
        <v>3</v>
      </c>
      <c r="G4744" s="4" t="str">
        <f>HYPERLINK("http://141.218.60.56/~jnz1568/getInfo.php?workbook=18_08.xlsx&amp;sheet=U0&amp;row=4744&amp;col=7&amp;number=0.00401&amp;sourceID=14","0.00401")</f>
        <v>0.00401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HYPERLINK("http://141.218.60.56/~jnz1568/getInfo.php?workbook=18_08.xlsx&amp;sheet=U0&amp;row=4745&amp;col=6&amp;number=3.1&amp;sourceID=14","3.1")</f>
        <v>3.1</v>
      </c>
      <c r="G4745" s="4" t="str">
        <f>HYPERLINK("http://141.218.60.56/~jnz1568/getInfo.php?workbook=18_08.xlsx&amp;sheet=U0&amp;row=4745&amp;col=7&amp;number=0.00401&amp;sourceID=14","0.00401")</f>
        <v>0.00401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HYPERLINK("http://141.218.60.56/~jnz1568/getInfo.php?workbook=18_08.xlsx&amp;sheet=U0&amp;row=4746&amp;col=6&amp;number=3.2&amp;sourceID=14","3.2")</f>
        <v>3.2</v>
      </c>
      <c r="G4746" s="4" t="str">
        <f>HYPERLINK("http://141.218.60.56/~jnz1568/getInfo.php?workbook=18_08.xlsx&amp;sheet=U0&amp;row=4746&amp;col=7&amp;number=0.00401&amp;sourceID=14","0.00401")</f>
        <v>0.00401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HYPERLINK("http://141.218.60.56/~jnz1568/getInfo.php?workbook=18_08.xlsx&amp;sheet=U0&amp;row=4747&amp;col=6&amp;number=3.3&amp;sourceID=14","3.3")</f>
        <v>3.3</v>
      </c>
      <c r="G4747" s="4" t="str">
        <f>HYPERLINK("http://141.218.60.56/~jnz1568/getInfo.php?workbook=18_08.xlsx&amp;sheet=U0&amp;row=4747&amp;col=7&amp;number=0.00401&amp;sourceID=14","0.00401")</f>
        <v>0.00401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HYPERLINK("http://141.218.60.56/~jnz1568/getInfo.php?workbook=18_08.xlsx&amp;sheet=U0&amp;row=4748&amp;col=6&amp;number=3.4&amp;sourceID=14","3.4")</f>
        <v>3.4</v>
      </c>
      <c r="G4748" s="4" t="str">
        <f>HYPERLINK("http://141.218.60.56/~jnz1568/getInfo.php?workbook=18_08.xlsx&amp;sheet=U0&amp;row=4748&amp;col=7&amp;number=0.00401&amp;sourceID=14","0.00401")</f>
        <v>0.00401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HYPERLINK("http://141.218.60.56/~jnz1568/getInfo.php?workbook=18_08.xlsx&amp;sheet=U0&amp;row=4749&amp;col=6&amp;number=3.5&amp;sourceID=14","3.5")</f>
        <v>3.5</v>
      </c>
      <c r="G4749" s="4" t="str">
        <f>HYPERLINK("http://141.218.60.56/~jnz1568/getInfo.php?workbook=18_08.xlsx&amp;sheet=U0&amp;row=4749&amp;col=7&amp;number=0.004&amp;sourceID=14","0.004")</f>
        <v>0.004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HYPERLINK("http://141.218.60.56/~jnz1568/getInfo.php?workbook=18_08.xlsx&amp;sheet=U0&amp;row=4750&amp;col=6&amp;number=3.6&amp;sourceID=14","3.6")</f>
        <v>3.6</v>
      </c>
      <c r="G4750" s="4" t="str">
        <f>HYPERLINK("http://141.218.60.56/~jnz1568/getInfo.php?workbook=18_08.xlsx&amp;sheet=U0&amp;row=4750&amp;col=7&amp;number=0.004&amp;sourceID=14","0.004")</f>
        <v>0.004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HYPERLINK("http://141.218.60.56/~jnz1568/getInfo.php?workbook=18_08.xlsx&amp;sheet=U0&amp;row=4751&amp;col=6&amp;number=3.7&amp;sourceID=14","3.7")</f>
        <v>3.7</v>
      </c>
      <c r="G4751" s="4" t="str">
        <f>HYPERLINK("http://141.218.60.56/~jnz1568/getInfo.php?workbook=18_08.xlsx&amp;sheet=U0&amp;row=4751&amp;col=7&amp;number=0.004&amp;sourceID=14","0.004")</f>
        <v>0.004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HYPERLINK("http://141.218.60.56/~jnz1568/getInfo.php?workbook=18_08.xlsx&amp;sheet=U0&amp;row=4752&amp;col=6&amp;number=3.8&amp;sourceID=14","3.8")</f>
        <v>3.8</v>
      </c>
      <c r="G4752" s="4" t="str">
        <f>HYPERLINK("http://141.218.60.56/~jnz1568/getInfo.php?workbook=18_08.xlsx&amp;sheet=U0&amp;row=4752&amp;col=7&amp;number=0.004&amp;sourceID=14","0.004")</f>
        <v>0.004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HYPERLINK("http://141.218.60.56/~jnz1568/getInfo.php?workbook=18_08.xlsx&amp;sheet=U0&amp;row=4753&amp;col=6&amp;number=3.9&amp;sourceID=14","3.9")</f>
        <v>3.9</v>
      </c>
      <c r="G4753" s="4" t="str">
        <f>HYPERLINK("http://141.218.60.56/~jnz1568/getInfo.php?workbook=18_08.xlsx&amp;sheet=U0&amp;row=4753&amp;col=7&amp;number=0.004&amp;sourceID=14","0.004")</f>
        <v>0.004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HYPERLINK("http://141.218.60.56/~jnz1568/getInfo.php?workbook=18_08.xlsx&amp;sheet=U0&amp;row=4754&amp;col=6&amp;number=4&amp;sourceID=14","4")</f>
        <v>4</v>
      </c>
      <c r="G4754" s="4" t="str">
        <f>HYPERLINK("http://141.218.60.56/~jnz1568/getInfo.php?workbook=18_08.xlsx&amp;sheet=U0&amp;row=4754&amp;col=7&amp;number=0.004&amp;sourceID=14","0.004")</f>
        <v>0.004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HYPERLINK("http://141.218.60.56/~jnz1568/getInfo.php?workbook=18_08.xlsx&amp;sheet=U0&amp;row=4755&amp;col=6&amp;number=4.1&amp;sourceID=14","4.1")</f>
        <v>4.1</v>
      </c>
      <c r="G4755" s="4" t="str">
        <f>HYPERLINK("http://141.218.60.56/~jnz1568/getInfo.php?workbook=18_08.xlsx&amp;sheet=U0&amp;row=4755&amp;col=7&amp;number=0.00399&amp;sourceID=14","0.00399")</f>
        <v>0.00399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HYPERLINK("http://141.218.60.56/~jnz1568/getInfo.php?workbook=18_08.xlsx&amp;sheet=U0&amp;row=4756&amp;col=6&amp;number=4.2&amp;sourceID=14","4.2")</f>
        <v>4.2</v>
      </c>
      <c r="G4756" s="4" t="str">
        <f>HYPERLINK("http://141.218.60.56/~jnz1568/getInfo.php?workbook=18_08.xlsx&amp;sheet=U0&amp;row=4756&amp;col=7&amp;number=0.00399&amp;sourceID=14","0.00399")</f>
        <v>0.00399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HYPERLINK("http://141.218.60.56/~jnz1568/getInfo.php?workbook=18_08.xlsx&amp;sheet=U0&amp;row=4757&amp;col=6&amp;number=4.3&amp;sourceID=14","4.3")</f>
        <v>4.3</v>
      </c>
      <c r="G4757" s="4" t="str">
        <f>HYPERLINK("http://141.218.60.56/~jnz1568/getInfo.php?workbook=18_08.xlsx&amp;sheet=U0&amp;row=4757&amp;col=7&amp;number=0.00399&amp;sourceID=14","0.00399")</f>
        <v>0.00399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HYPERLINK("http://141.218.60.56/~jnz1568/getInfo.php?workbook=18_08.xlsx&amp;sheet=U0&amp;row=4758&amp;col=6&amp;number=4.4&amp;sourceID=14","4.4")</f>
        <v>4.4</v>
      </c>
      <c r="G4758" s="4" t="str">
        <f>HYPERLINK("http://141.218.60.56/~jnz1568/getInfo.php?workbook=18_08.xlsx&amp;sheet=U0&amp;row=4758&amp;col=7&amp;number=0.00398&amp;sourceID=14","0.00398")</f>
        <v>0.00398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HYPERLINK("http://141.218.60.56/~jnz1568/getInfo.php?workbook=18_08.xlsx&amp;sheet=U0&amp;row=4759&amp;col=6&amp;number=4.5&amp;sourceID=14","4.5")</f>
        <v>4.5</v>
      </c>
      <c r="G4759" s="4" t="str">
        <f>HYPERLINK("http://141.218.60.56/~jnz1568/getInfo.php?workbook=18_08.xlsx&amp;sheet=U0&amp;row=4759&amp;col=7&amp;number=0.00397&amp;sourceID=14","0.00397")</f>
        <v>0.00397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HYPERLINK("http://141.218.60.56/~jnz1568/getInfo.php?workbook=18_08.xlsx&amp;sheet=U0&amp;row=4760&amp;col=6&amp;number=4.6&amp;sourceID=14","4.6")</f>
        <v>4.6</v>
      </c>
      <c r="G4760" s="4" t="str">
        <f>HYPERLINK("http://141.218.60.56/~jnz1568/getInfo.php?workbook=18_08.xlsx&amp;sheet=U0&amp;row=4760&amp;col=7&amp;number=0.00396&amp;sourceID=14","0.00396")</f>
        <v>0.00396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HYPERLINK("http://141.218.60.56/~jnz1568/getInfo.php?workbook=18_08.xlsx&amp;sheet=U0&amp;row=4761&amp;col=6&amp;number=4.7&amp;sourceID=14","4.7")</f>
        <v>4.7</v>
      </c>
      <c r="G4761" s="4" t="str">
        <f>HYPERLINK("http://141.218.60.56/~jnz1568/getInfo.php?workbook=18_08.xlsx&amp;sheet=U0&amp;row=4761&amp;col=7&amp;number=0.00395&amp;sourceID=14","0.00395")</f>
        <v>0.00395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HYPERLINK("http://141.218.60.56/~jnz1568/getInfo.php?workbook=18_08.xlsx&amp;sheet=U0&amp;row=4762&amp;col=6&amp;number=4.8&amp;sourceID=14","4.8")</f>
        <v>4.8</v>
      </c>
      <c r="G4762" s="4" t="str">
        <f>HYPERLINK("http://141.218.60.56/~jnz1568/getInfo.php?workbook=18_08.xlsx&amp;sheet=U0&amp;row=4762&amp;col=7&amp;number=0.00394&amp;sourceID=14","0.00394")</f>
        <v>0.00394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HYPERLINK("http://141.218.60.56/~jnz1568/getInfo.php?workbook=18_08.xlsx&amp;sheet=U0&amp;row=4763&amp;col=6&amp;number=4.9&amp;sourceID=14","4.9")</f>
        <v>4.9</v>
      </c>
      <c r="G4763" s="4" t="str">
        <f>HYPERLINK("http://141.218.60.56/~jnz1568/getInfo.php?workbook=18_08.xlsx&amp;sheet=U0&amp;row=4763&amp;col=7&amp;number=0.00392&amp;sourceID=14","0.00392")</f>
        <v>0.00392</v>
      </c>
    </row>
    <row r="4764" spans="1:7">
      <c r="A4764" s="3">
        <v>18</v>
      </c>
      <c r="B4764" s="3">
        <v>8</v>
      </c>
      <c r="C4764" s="3" t="s">
        <v>68</v>
      </c>
      <c r="D4764" s="3">
        <v>3</v>
      </c>
      <c r="E4764" s="3">
        <v>1</v>
      </c>
      <c r="F4764" s="4" t="str">
        <f>HYPERLINK("http://141.218.60.56/~jnz1568/getInfo.php?workbook=18_08.xlsx&amp;sheet=U0&amp;row=4764&amp;col=6&amp;number=3&amp;sourceID=14","3")</f>
        <v>3</v>
      </c>
      <c r="G4764" s="4" t="str">
        <f>HYPERLINK("http://141.218.60.56/~jnz1568/getInfo.php?workbook=18_08.xlsx&amp;sheet=U0&amp;row=4764&amp;col=7&amp;number=0.00805&amp;sourceID=14","0.00805")</f>
        <v>0.00805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HYPERLINK("http://141.218.60.56/~jnz1568/getInfo.php?workbook=18_08.xlsx&amp;sheet=U0&amp;row=4765&amp;col=6&amp;number=3.1&amp;sourceID=14","3.1")</f>
        <v>3.1</v>
      </c>
      <c r="G4765" s="4" t="str">
        <f>HYPERLINK("http://141.218.60.56/~jnz1568/getInfo.php?workbook=18_08.xlsx&amp;sheet=U0&amp;row=4765&amp;col=7&amp;number=0.00805&amp;sourceID=14","0.00805")</f>
        <v>0.00805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HYPERLINK("http://141.218.60.56/~jnz1568/getInfo.php?workbook=18_08.xlsx&amp;sheet=U0&amp;row=4766&amp;col=6&amp;number=3.2&amp;sourceID=14","3.2")</f>
        <v>3.2</v>
      </c>
      <c r="G4766" s="4" t="str">
        <f>HYPERLINK("http://141.218.60.56/~jnz1568/getInfo.php?workbook=18_08.xlsx&amp;sheet=U0&amp;row=4766&amp;col=7&amp;number=0.00805&amp;sourceID=14","0.00805")</f>
        <v>0.00805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HYPERLINK("http://141.218.60.56/~jnz1568/getInfo.php?workbook=18_08.xlsx&amp;sheet=U0&amp;row=4767&amp;col=6&amp;number=3.3&amp;sourceID=14","3.3")</f>
        <v>3.3</v>
      </c>
      <c r="G4767" s="4" t="str">
        <f>HYPERLINK("http://141.218.60.56/~jnz1568/getInfo.php?workbook=18_08.xlsx&amp;sheet=U0&amp;row=4767&amp;col=7&amp;number=0.00805&amp;sourceID=14","0.00805")</f>
        <v>0.00805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HYPERLINK("http://141.218.60.56/~jnz1568/getInfo.php?workbook=18_08.xlsx&amp;sheet=U0&amp;row=4768&amp;col=6&amp;number=3.4&amp;sourceID=14","3.4")</f>
        <v>3.4</v>
      </c>
      <c r="G4768" s="4" t="str">
        <f>HYPERLINK("http://141.218.60.56/~jnz1568/getInfo.php?workbook=18_08.xlsx&amp;sheet=U0&amp;row=4768&amp;col=7&amp;number=0.00805&amp;sourceID=14","0.00805")</f>
        <v>0.00805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HYPERLINK("http://141.218.60.56/~jnz1568/getInfo.php?workbook=18_08.xlsx&amp;sheet=U0&amp;row=4769&amp;col=6&amp;number=3.5&amp;sourceID=14","3.5")</f>
        <v>3.5</v>
      </c>
      <c r="G4769" s="4" t="str">
        <f>HYPERLINK("http://141.218.60.56/~jnz1568/getInfo.php?workbook=18_08.xlsx&amp;sheet=U0&amp;row=4769&amp;col=7&amp;number=0.00805&amp;sourceID=14","0.00805")</f>
        <v>0.00805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HYPERLINK("http://141.218.60.56/~jnz1568/getInfo.php?workbook=18_08.xlsx&amp;sheet=U0&amp;row=4770&amp;col=6&amp;number=3.6&amp;sourceID=14","3.6")</f>
        <v>3.6</v>
      </c>
      <c r="G4770" s="4" t="str">
        <f>HYPERLINK("http://141.218.60.56/~jnz1568/getInfo.php?workbook=18_08.xlsx&amp;sheet=U0&amp;row=4770&amp;col=7&amp;number=0.00806&amp;sourceID=14","0.00806")</f>
        <v>0.00806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HYPERLINK("http://141.218.60.56/~jnz1568/getInfo.php?workbook=18_08.xlsx&amp;sheet=U0&amp;row=4771&amp;col=6&amp;number=3.7&amp;sourceID=14","3.7")</f>
        <v>3.7</v>
      </c>
      <c r="G4771" s="4" t="str">
        <f>HYPERLINK("http://141.218.60.56/~jnz1568/getInfo.php?workbook=18_08.xlsx&amp;sheet=U0&amp;row=4771&amp;col=7&amp;number=0.00806&amp;sourceID=14","0.00806")</f>
        <v>0.00806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HYPERLINK("http://141.218.60.56/~jnz1568/getInfo.php?workbook=18_08.xlsx&amp;sheet=U0&amp;row=4772&amp;col=6&amp;number=3.8&amp;sourceID=14","3.8")</f>
        <v>3.8</v>
      </c>
      <c r="G4772" s="4" t="str">
        <f>HYPERLINK("http://141.218.60.56/~jnz1568/getInfo.php?workbook=18_08.xlsx&amp;sheet=U0&amp;row=4772&amp;col=7&amp;number=0.00806&amp;sourceID=14","0.00806")</f>
        <v>0.00806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HYPERLINK("http://141.218.60.56/~jnz1568/getInfo.php?workbook=18_08.xlsx&amp;sheet=U0&amp;row=4773&amp;col=6&amp;number=3.9&amp;sourceID=14","3.9")</f>
        <v>3.9</v>
      </c>
      <c r="G4773" s="4" t="str">
        <f>HYPERLINK("http://141.218.60.56/~jnz1568/getInfo.php?workbook=18_08.xlsx&amp;sheet=U0&amp;row=4773&amp;col=7&amp;number=0.00806&amp;sourceID=14","0.00806")</f>
        <v>0.00806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HYPERLINK("http://141.218.60.56/~jnz1568/getInfo.php?workbook=18_08.xlsx&amp;sheet=U0&amp;row=4774&amp;col=6&amp;number=4&amp;sourceID=14","4")</f>
        <v>4</v>
      </c>
      <c r="G4774" s="4" t="str">
        <f>HYPERLINK("http://141.218.60.56/~jnz1568/getInfo.php?workbook=18_08.xlsx&amp;sheet=U0&amp;row=4774&amp;col=7&amp;number=0.00807&amp;sourceID=14","0.00807")</f>
        <v>0.00807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HYPERLINK("http://141.218.60.56/~jnz1568/getInfo.php?workbook=18_08.xlsx&amp;sheet=U0&amp;row=4775&amp;col=6&amp;number=4.1&amp;sourceID=14","4.1")</f>
        <v>4.1</v>
      </c>
      <c r="G4775" s="4" t="str">
        <f>HYPERLINK("http://141.218.60.56/~jnz1568/getInfo.php?workbook=18_08.xlsx&amp;sheet=U0&amp;row=4775&amp;col=7&amp;number=0.00807&amp;sourceID=14","0.00807")</f>
        <v>0.00807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HYPERLINK("http://141.218.60.56/~jnz1568/getInfo.php?workbook=18_08.xlsx&amp;sheet=U0&amp;row=4776&amp;col=6&amp;number=4.2&amp;sourceID=14","4.2")</f>
        <v>4.2</v>
      </c>
      <c r="G4776" s="4" t="str">
        <f>HYPERLINK("http://141.218.60.56/~jnz1568/getInfo.php?workbook=18_08.xlsx&amp;sheet=U0&amp;row=4776&amp;col=7&amp;number=0.00808&amp;sourceID=14","0.00808")</f>
        <v>0.00808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HYPERLINK("http://141.218.60.56/~jnz1568/getInfo.php?workbook=18_08.xlsx&amp;sheet=U0&amp;row=4777&amp;col=6&amp;number=4.3&amp;sourceID=14","4.3")</f>
        <v>4.3</v>
      </c>
      <c r="G4777" s="4" t="str">
        <f>HYPERLINK("http://141.218.60.56/~jnz1568/getInfo.php?workbook=18_08.xlsx&amp;sheet=U0&amp;row=4777&amp;col=7&amp;number=0.00808&amp;sourceID=14","0.00808")</f>
        <v>0.00808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HYPERLINK("http://141.218.60.56/~jnz1568/getInfo.php?workbook=18_08.xlsx&amp;sheet=U0&amp;row=4778&amp;col=6&amp;number=4.4&amp;sourceID=14","4.4")</f>
        <v>4.4</v>
      </c>
      <c r="G4778" s="4" t="str">
        <f>HYPERLINK("http://141.218.60.56/~jnz1568/getInfo.php?workbook=18_08.xlsx&amp;sheet=U0&amp;row=4778&amp;col=7&amp;number=0.00809&amp;sourceID=14","0.00809")</f>
        <v>0.00809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HYPERLINK("http://141.218.60.56/~jnz1568/getInfo.php?workbook=18_08.xlsx&amp;sheet=U0&amp;row=4779&amp;col=6&amp;number=4.5&amp;sourceID=14","4.5")</f>
        <v>4.5</v>
      </c>
      <c r="G4779" s="4" t="str">
        <f>HYPERLINK("http://141.218.60.56/~jnz1568/getInfo.php?workbook=18_08.xlsx&amp;sheet=U0&amp;row=4779&amp;col=7&amp;number=0.0081&amp;sourceID=14","0.0081")</f>
        <v>0.0081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HYPERLINK("http://141.218.60.56/~jnz1568/getInfo.php?workbook=18_08.xlsx&amp;sheet=U0&amp;row=4780&amp;col=6&amp;number=4.6&amp;sourceID=14","4.6")</f>
        <v>4.6</v>
      </c>
      <c r="G4780" s="4" t="str">
        <f>HYPERLINK("http://141.218.60.56/~jnz1568/getInfo.php?workbook=18_08.xlsx&amp;sheet=U0&amp;row=4780&amp;col=7&amp;number=0.00812&amp;sourceID=14","0.00812")</f>
        <v>0.00812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HYPERLINK("http://141.218.60.56/~jnz1568/getInfo.php?workbook=18_08.xlsx&amp;sheet=U0&amp;row=4781&amp;col=6&amp;number=4.7&amp;sourceID=14","4.7")</f>
        <v>4.7</v>
      </c>
      <c r="G4781" s="4" t="str">
        <f>HYPERLINK("http://141.218.60.56/~jnz1568/getInfo.php?workbook=18_08.xlsx&amp;sheet=U0&amp;row=4781&amp;col=7&amp;number=0.00814&amp;sourceID=14","0.00814")</f>
        <v>0.00814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HYPERLINK("http://141.218.60.56/~jnz1568/getInfo.php?workbook=18_08.xlsx&amp;sheet=U0&amp;row=4782&amp;col=6&amp;number=4.8&amp;sourceID=14","4.8")</f>
        <v>4.8</v>
      </c>
      <c r="G4782" s="4" t="str">
        <f>HYPERLINK("http://141.218.60.56/~jnz1568/getInfo.php?workbook=18_08.xlsx&amp;sheet=U0&amp;row=4782&amp;col=7&amp;number=0.00816&amp;sourceID=14","0.00816")</f>
        <v>0.00816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HYPERLINK("http://141.218.60.56/~jnz1568/getInfo.php?workbook=18_08.xlsx&amp;sheet=U0&amp;row=4783&amp;col=6&amp;number=4.9&amp;sourceID=14","4.9")</f>
        <v>4.9</v>
      </c>
      <c r="G4783" s="4" t="str">
        <f>HYPERLINK("http://141.218.60.56/~jnz1568/getInfo.php?workbook=18_08.xlsx&amp;sheet=U0&amp;row=4783&amp;col=7&amp;number=0.00819&amp;sourceID=14","0.00819")</f>
        <v>0.00819</v>
      </c>
    </row>
    <row r="4784" spans="1:7">
      <c r="A4784" s="3">
        <v>18</v>
      </c>
      <c r="B4784" s="3">
        <v>8</v>
      </c>
      <c r="C4784" s="3" t="s">
        <v>68</v>
      </c>
      <c r="D4784" s="3">
        <v>4</v>
      </c>
      <c r="E4784" s="3">
        <v>1</v>
      </c>
      <c r="F4784" s="4" t="str">
        <f>HYPERLINK("http://141.218.60.56/~jnz1568/getInfo.php?workbook=18_08.xlsx&amp;sheet=U0&amp;row=4784&amp;col=6&amp;number=3&amp;sourceID=14","3")</f>
        <v>3</v>
      </c>
      <c r="G4784" s="4" t="str">
        <f>HYPERLINK("http://141.218.60.56/~jnz1568/getInfo.php?workbook=18_08.xlsx&amp;sheet=U0&amp;row=4784&amp;col=7&amp;number=0.000788&amp;sourceID=14","0.000788")</f>
        <v>0.000788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HYPERLINK("http://141.218.60.56/~jnz1568/getInfo.php?workbook=18_08.xlsx&amp;sheet=U0&amp;row=4785&amp;col=6&amp;number=3.1&amp;sourceID=14","3.1")</f>
        <v>3.1</v>
      </c>
      <c r="G4785" s="4" t="str">
        <f>HYPERLINK("http://141.218.60.56/~jnz1568/getInfo.php?workbook=18_08.xlsx&amp;sheet=U0&amp;row=4785&amp;col=7&amp;number=0.000788&amp;sourceID=14","0.000788")</f>
        <v>0.000788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HYPERLINK("http://141.218.60.56/~jnz1568/getInfo.php?workbook=18_08.xlsx&amp;sheet=U0&amp;row=4786&amp;col=6&amp;number=3.2&amp;sourceID=14","3.2")</f>
        <v>3.2</v>
      </c>
      <c r="G4786" s="4" t="str">
        <f>HYPERLINK("http://141.218.60.56/~jnz1568/getInfo.php?workbook=18_08.xlsx&amp;sheet=U0&amp;row=4786&amp;col=7&amp;number=0.000788&amp;sourceID=14","0.000788")</f>
        <v>0.000788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HYPERLINK("http://141.218.60.56/~jnz1568/getInfo.php?workbook=18_08.xlsx&amp;sheet=U0&amp;row=4787&amp;col=6&amp;number=3.3&amp;sourceID=14","3.3")</f>
        <v>3.3</v>
      </c>
      <c r="G4787" s="4" t="str">
        <f>HYPERLINK("http://141.218.60.56/~jnz1568/getInfo.php?workbook=18_08.xlsx&amp;sheet=U0&amp;row=4787&amp;col=7&amp;number=0.000788&amp;sourceID=14","0.000788")</f>
        <v>0.000788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HYPERLINK("http://141.218.60.56/~jnz1568/getInfo.php?workbook=18_08.xlsx&amp;sheet=U0&amp;row=4788&amp;col=6&amp;number=3.4&amp;sourceID=14","3.4")</f>
        <v>3.4</v>
      </c>
      <c r="G4788" s="4" t="str">
        <f>HYPERLINK("http://141.218.60.56/~jnz1568/getInfo.php?workbook=18_08.xlsx&amp;sheet=U0&amp;row=4788&amp;col=7&amp;number=0.000787&amp;sourceID=14","0.000787")</f>
        <v>0.000787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HYPERLINK("http://141.218.60.56/~jnz1568/getInfo.php?workbook=18_08.xlsx&amp;sheet=U0&amp;row=4789&amp;col=6&amp;number=3.5&amp;sourceID=14","3.5")</f>
        <v>3.5</v>
      </c>
      <c r="G4789" s="4" t="str">
        <f>HYPERLINK("http://141.218.60.56/~jnz1568/getInfo.php?workbook=18_08.xlsx&amp;sheet=U0&amp;row=4789&amp;col=7&amp;number=0.000787&amp;sourceID=14","0.000787")</f>
        <v>0.000787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HYPERLINK("http://141.218.60.56/~jnz1568/getInfo.php?workbook=18_08.xlsx&amp;sheet=U0&amp;row=4790&amp;col=6&amp;number=3.6&amp;sourceID=14","3.6")</f>
        <v>3.6</v>
      </c>
      <c r="G4790" s="4" t="str">
        <f>HYPERLINK("http://141.218.60.56/~jnz1568/getInfo.php?workbook=18_08.xlsx&amp;sheet=U0&amp;row=4790&amp;col=7&amp;number=0.000787&amp;sourceID=14","0.000787")</f>
        <v>0.000787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HYPERLINK("http://141.218.60.56/~jnz1568/getInfo.php?workbook=18_08.xlsx&amp;sheet=U0&amp;row=4791&amp;col=6&amp;number=3.7&amp;sourceID=14","3.7")</f>
        <v>3.7</v>
      </c>
      <c r="G4791" s="4" t="str">
        <f>HYPERLINK("http://141.218.60.56/~jnz1568/getInfo.php?workbook=18_08.xlsx&amp;sheet=U0&amp;row=4791&amp;col=7&amp;number=0.000787&amp;sourceID=14","0.000787")</f>
        <v>0.000787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HYPERLINK("http://141.218.60.56/~jnz1568/getInfo.php?workbook=18_08.xlsx&amp;sheet=U0&amp;row=4792&amp;col=6&amp;number=3.8&amp;sourceID=14","3.8")</f>
        <v>3.8</v>
      </c>
      <c r="G4792" s="4" t="str">
        <f>HYPERLINK("http://141.218.60.56/~jnz1568/getInfo.php?workbook=18_08.xlsx&amp;sheet=U0&amp;row=4792&amp;col=7&amp;number=0.000787&amp;sourceID=14","0.000787")</f>
        <v>0.000787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HYPERLINK("http://141.218.60.56/~jnz1568/getInfo.php?workbook=18_08.xlsx&amp;sheet=U0&amp;row=4793&amp;col=6&amp;number=3.9&amp;sourceID=14","3.9")</f>
        <v>3.9</v>
      </c>
      <c r="G4793" s="4" t="str">
        <f>HYPERLINK("http://141.218.60.56/~jnz1568/getInfo.php?workbook=18_08.xlsx&amp;sheet=U0&amp;row=4793&amp;col=7&amp;number=0.000786&amp;sourceID=14","0.000786")</f>
        <v>0.000786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HYPERLINK("http://141.218.60.56/~jnz1568/getInfo.php?workbook=18_08.xlsx&amp;sheet=U0&amp;row=4794&amp;col=6&amp;number=4&amp;sourceID=14","4")</f>
        <v>4</v>
      </c>
      <c r="G4794" s="4" t="str">
        <f>HYPERLINK("http://141.218.60.56/~jnz1568/getInfo.php?workbook=18_08.xlsx&amp;sheet=U0&amp;row=4794&amp;col=7&amp;number=0.000786&amp;sourceID=14","0.000786")</f>
        <v>0.000786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HYPERLINK("http://141.218.60.56/~jnz1568/getInfo.php?workbook=18_08.xlsx&amp;sheet=U0&amp;row=4795&amp;col=6&amp;number=4.1&amp;sourceID=14","4.1")</f>
        <v>4.1</v>
      </c>
      <c r="G4795" s="4" t="str">
        <f>HYPERLINK("http://141.218.60.56/~jnz1568/getInfo.php?workbook=18_08.xlsx&amp;sheet=U0&amp;row=4795&amp;col=7&amp;number=0.000786&amp;sourceID=14","0.000786")</f>
        <v>0.000786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HYPERLINK("http://141.218.60.56/~jnz1568/getInfo.php?workbook=18_08.xlsx&amp;sheet=U0&amp;row=4796&amp;col=6&amp;number=4.2&amp;sourceID=14","4.2")</f>
        <v>4.2</v>
      </c>
      <c r="G4796" s="4" t="str">
        <f>HYPERLINK("http://141.218.60.56/~jnz1568/getInfo.php?workbook=18_08.xlsx&amp;sheet=U0&amp;row=4796&amp;col=7&amp;number=0.000785&amp;sourceID=14","0.000785")</f>
        <v>0.000785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HYPERLINK("http://141.218.60.56/~jnz1568/getInfo.php?workbook=18_08.xlsx&amp;sheet=U0&amp;row=4797&amp;col=6&amp;number=4.3&amp;sourceID=14","4.3")</f>
        <v>4.3</v>
      </c>
      <c r="G4797" s="4" t="str">
        <f>HYPERLINK("http://141.218.60.56/~jnz1568/getInfo.php?workbook=18_08.xlsx&amp;sheet=U0&amp;row=4797&amp;col=7&amp;number=0.000784&amp;sourceID=14","0.000784")</f>
        <v>0.000784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HYPERLINK("http://141.218.60.56/~jnz1568/getInfo.php?workbook=18_08.xlsx&amp;sheet=U0&amp;row=4798&amp;col=6&amp;number=4.4&amp;sourceID=14","4.4")</f>
        <v>4.4</v>
      </c>
      <c r="G4798" s="4" t="str">
        <f>HYPERLINK("http://141.218.60.56/~jnz1568/getInfo.php?workbook=18_08.xlsx&amp;sheet=U0&amp;row=4798&amp;col=7&amp;number=0.000783&amp;sourceID=14","0.000783")</f>
        <v>0.000783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HYPERLINK("http://141.218.60.56/~jnz1568/getInfo.php?workbook=18_08.xlsx&amp;sheet=U0&amp;row=4799&amp;col=6&amp;number=4.5&amp;sourceID=14","4.5")</f>
        <v>4.5</v>
      </c>
      <c r="G4799" s="4" t="str">
        <f>HYPERLINK("http://141.218.60.56/~jnz1568/getInfo.php?workbook=18_08.xlsx&amp;sheet=U0&amp;row=4799&amp;col=7&amp;number=0.000782&amp;sourceID=14","0.000782")</f>
        <v>0.000782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HYPERLINK("http://141.218.60.56/~jnz1568/getInfo.php?workbook=18_08.xlsx&amp;sheet=U0&amp;row=4800&amp;col=6&amp;number=4.6&amp;sourceID=14","4.6")</f>
        <v>4.6</v>
      </c>
      <c r="G4800" s="4" t="str">
        <f>HYPERLINK("http://141.218.60.56/~jnz1568/getInfo.php?workbook=18_08.xlsx&amp;sheet=U0&amp;row=4800&amp;col=7&amp;number=0.000781&amp;sourceID=14","0.000781")</f>
        <v>0.000781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HYPERLINK("http://141.218.60.56/~jnz1568/getInfo.php?workbook=18_08.xlsx&amp;sheet=U0&amp;row=4801&amp;col=6&amp;number=4.7&amp;sourceID=14","4.7")</f>
        <v>4.7</v>
      </c>
      <c r="G4801" s="4" t="str">
        <f>HYPERLINK("http://141.218.60.56/~jnz1568/getInfo.php?workbook=18_08.xlsx&amp;sheet=U0&amp;row=4801&amp;col=7&amp;number=0.000779&amp;sourceID=14","0.000779")</f>
        <v>0.000779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HYPERLINK("http://141.218.60.56/~jnz1568/getInfo.php?workbook=18_08.xlsx&amp;sheet=U0&amp;row=4802&amp;col=6&amp;number=4.8&amp;sourceID=14","4.8")</f>
        <v>4.8</v>
      </c>
      <c r="G4802" s="4" t="str">
        <f>HYPERLINK("http://141.218.60.56/~jnz1568/getInfo.php?workbook=18_08.xlsx&amp;sheet=U0&amp;row=4802&amp;col=7&amp;number=0.000777&amp;sourceID=14","0.000777")</f>
        <v>0.000777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HYPERLINK("http://141.218.60.56/~jnz1568/getInfo.php?workbook=18_08.xlsx&amp;sheet=U0&amp;row=4803&amp;col=6&amp;number=4.9&amp;sourceID=14","4.9")</f>
        <v>4.9</v>
      </c>
      <c r="G4803" s="4" t="str">
        <f>HYPERLINK("http://141.218.60.56/~jnz1568/getInfo.php?workbook=18_08.xlsx&amp;sheet=U0&amp;row=4803&amp;col=7&amp;number=0.000774&amp;sourceID=14","0.000774")</f>
        <v>0.000774</v>
      </c>
    </row>
    <row r="4804" spans="1:7">
      <c r="A4804" s="3">
        <v>18</v>
      </c>
      <c r="B4804" s="3">
        <v>8</v>
      </c>
      <c r="C4804" s="3" t="s">
        <v>68</v>
      </c>
      <c r="D4804" s="3">
        <v>5</v>
      </c>
      <c r="E4804" s="3">
        <v>1</v>
      </c>
      <c r="F4804" s="4" t="str">
        <f>HYPERLINK("http://141.218.60.56/~jnz1568/getInfo.php?workbook=18_08.xlsx&amp;sheet=U0&amp;row=4804&amp;col=6&amp;number=3&amp;sourceID=14","3")</f>
        <v>3</v>
      </c>
      <c r="G4804" s="4" t="str">
        <f>HYPERLINK("http://141.218.60.56/~jnz1568/getInfo.php?workbook=18_08.xlsx&amp;sheet=U0&amp;row=4804&amp;col=7&amp;number=0.00341&amp;sourceID=14","0.00341")</f>
        <v>0.00341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HYPERLINK("http://141.218.60.56/~jnz1568/getInfo.php?workbook=18_08.xlsx&amp;sheet=U0&amp;row=4805&amp;col=6&amp;number=3.1&amp;sourceID=14","3.1")</f>
        <v>3.1</v>
      </c>
      <c r="G4805" s="4" t="str">
        <f>HYPERLINK("http://141.218.60.56/~jnz1568/getInfo.php?workbook=18_08.xlsx&amp;sheet=U0&amp;row=4805&amp;col=7&amp;number=0.00341&amp;sourceID=14","0.00341")</f>
        <v>0.00341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HYPERLINK("http://141.218.60.56/~jnz1568/getInfo.php?workbook=18_08.xlsx&amp;sheet=U0&amp;row=4806&amp;col=6&amp;number=3.2&amp;sourceID=14","3.2")</f>
        <v>3.2</v>
      </c>
      <c r="G4806" s="4" t="str">
        <f>HYPERLINK("http://141.218.60.56/~jnz1568/getInfo.php?workbook=18_08.xlsx&amp;sheet=U0&amp;row=4806&amp;col=7&amp;number=0.00341&amp;sourceID=14","0.00341")</f>
        <v>0.00341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HYPERLINK("http://141.218.60.56/~jnz1568/getInfo.php?workbook=18_08.xlsx&amp;sheet=U0&amp;row=4807&amp;col=6&amp;number=3.3&amp;sourceID=14","3.3")</f>
        <v>3.3</v>
      </c>
      <c r="G4807" s="4" t="str">
        <f>HYPERLINK("http://141.218.60.56/~jnz1568/getInfo.php?workbook=18_08.xlsx&amp;sheet=U0&amp;row=4807&amp;col=7&amp;number=0.00341&amp;sourceID=14","0.00341")</f>
        <v>0.00341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HYPERLINK("http://141.218.60.56/~jnz1568/getInfo.php?workbook=18_08.xlsx&amp;sheet=U0&amp;row=4808&amp;col=6&amp;number=3.4&amp;sourceID=14","3.4")</f>
        <v>3.4</v>
      </c>
      <c r="G4808" s="4" t="str">
        <f>HYPERLINK("http://141.218.60.56/~jnz1568/getInfo.php?workbook=18_08.xlsx&amp;sheet=U0&amp;row=4808&amp;col=7&amp;number=0.00341&amp;sourceID=14","0.00341")</f>
        <v>0.00341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HYPERLINK("http://141.218.60.56/~jnz1568/getInfo.php?workbook=18_08.xlsx&amp;sheet=U0&amp;row=4809&amp;col=6&amp;number=3.5&amp;sourceID=14","3.5")</f>
        <v>3.5</v>
      </c>
      <c r="G4809" s="4" t="str">
        <f>HYPERLINK("http://141.218.60.56/~jnz1568/getInfo.php?workbook=18_08.xlsx&amp;sheet=U0&amp;row=4809&amp;col=7&amp;number=0.00341&amp;sourceID=14","0.00341")</f>
        <v>0.00341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HYPERLINK("http://141.218.60.56/~jnz1568/getInfo.php?workbook=18_08.xlsx&amp;sheet=U0&amp;row=4810&amp;col=6&amp;number=3.6&amp;sourceID=14","3.6")</f>
        <v>3.6</v>
      </c>
      <c r="G4810" s="4" t="str">
        <f>HYPERLINK("http://141.218.60.56/~jnz1568/getInfo.php?workbook=18_08.xlsx&amp;sheet=U0&amp;row=4810&amp;col=7&amp;number=0.0034&amp;sourceID=14","0.0034")</f>
        <v>0.0034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HYPERLINK("http://141.218.60.56/~jnz1568/getInfo.php?workbook=18_08.xlsx&amp;sheet=U0&amp;row=4811&amp;col=6&amp;number=3.7&amp;sourceID=14","3.7")</f>
        <v>3.7</v>
      </c>
      <c r="G4811" s="4" t="str">
        <f>HYPERLINK("http://141.218.60.56/~jnz1568/getInfo.php?workbook=18_08.xlsx&amp;sheet=U0&amp;row=4811&amp;col=7&amp;number=0.0034&amp;sourceID=14","0.0034")</f>
        <v>0.0034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HYPERLINK("http://141.218.60.56/~jnz1568/getInfo.php?workbook=18_08.xlsx&amp;sheet=U0&amp;row=4812&amp;col=6&amp;number=3.8&amp;sourceID=14","3.8")</f>
        <v>3.8</v>
      </c>
      <c r="G4812" s="4" t="str">
        <f>HYPERLINK("http://141.218.60.56/~jnz1568/getInfo.php?workbook=18_08.xlsx&amp;sheet=U0&amp;row=4812&amp;col=7&amp;number=0.0034&amp;sourceID=14","0.0034")</f>
        <v>0.0034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HYPERLINK("http://141.218.60.56/~jnz1568/getInfo.php?workbook=18_08.xlsx&amp;sheet=U0&amp;row=4813&amp;col=6&amp;number=3.9&amp;sourceID=14","3.9")</f>
        <v>3.9</v>
      </c>
      <c r="G4813" s="4" t="str">
        <f>HYPERLINK("http://141.218.60.56/~jnz1568/getInfo.php?workbook=18_08.xlsx&amp;sheet=U0&amp;row=4813&amp;col=7&amp;number=0.0034&amp;sourceID=14","0.0034")</f>
        <v>0.0034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HYPERLINK("http://141.218.60.56/~jnz1568/getInfo.php?workbook=18_08.xlsx&amp;sheet=U0&amp;row=4814&amp;col=6&amp;number=4&amp;sourceID=14","4")</f>
        <v>4</v>
      </c>
      <c r="G4814" s="4" t="str">
        <f>HYPERLINK("http://141.218.60.56/~jnz1568/getInfo.php?workbook=18_08.xlsx&amp;sheet=U0&amp;row=4814&amp;col=7&amp;number=0.0034&amp;sourceID=14","0.0034")</f>
        <v>0.0034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HYPERLINK("http://141.218.60.56/~jnz1568/getInfo.php?workbook=18_08.xlsx&amp;sheet=U0&amp;row=4815&amp;col=6&amp;number=4.1&amp;sourceID=14","4.1")</f>
        <v>4.1</v>
      </c>
      <c r="G4815" s="4" t="str">
        <f>HYPERLINK("http://141.218.60.56/~jnz1568/getInfo.php?workbook=18_08.xlsx&amp;sheet=U0&amp;row=4815&amp;col=7&amp;number=0.0034&amp;sourceID=14","0.0034")</f>
        <v>0.0034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HYPERLINK("http://141.218.60.56/~jnz1568/getInfo.php?workbook=18_08.xlsx&amp;sheet=U0&amp;row=4816&amp;col=6&amp;number=4.2&amp;sourceID=14","4.2")</f>
        <v>4.2</v>
      </c>
      <c r="G4816" s="4" t="str">
        <f>HYPERLINK("http://141.218.60.56/~jnz1568/getInfo.php?workbook=18_08.xlsx&amp;sheet=U0&amp;row=4816&amp;col=7&amp;number=0.0034&amp;sourceID=14","0.0034")</f>
        <v>0.0034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HYPERLINK("http://141.218.60.56/~jnz1568/getInfo.php?workbook=18_08.xlsx&amp;sheet=U0&amp;row=4817&amp;col=6&amp;number=4.3&amp;sourceID=14","4.3")</f>
        <v>4.3</v>
      </c>
      <c r="G4817" s="4" t="str">
        <f>HYPERLINK("http://141.218.60.56/~jnz1568/getInfo.php?workbook=18_08.xlsx&amp;sheet=U0&amp;row=4817&amp;col=7&amp;number=0.00339&amp;sourceID=14","0.00339")</f>
        <v>0.00339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HYPERLINK("http://141.218.60.56/~jnz1568/getInfo.php?workbook=18_08.xlsx&amp;sheet=U0&amp;row=4818&amp;col=6&amp;number=4.4&amp;sourceID=14","4.4")</f>
        <v>4.4</v>
      </c>
      <c r="G4818" s="4" t="str">
        <f>HYPERLINK("http://141.218.60.56/~jnz1568/getInfo.php?workbook=18_08.xlsx&amp;sheet=U0&amp;row=4818&amp;col=7&amp;number=0.00339&amp;sourceID=14","0.00339")</f>
        <v>0.00339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HYPERLINK("http://141.218.60.56/~jnz1568/getInfo.php?workbook=18_08.xlsx&amp;sheet=U0&amp;row=4819&amp;col=6&amp;number=4.5&amp;sourceID=14","4.5")</f>
        <v>4.5</v>
      </c>
      <c r="G4819" s="4" t="str">
        <f>HYPERLINK("http://141.218.60.56/~jnz1568/getInfo.php?workbook=18_08.xlsx&amp;sheet=U0&amp;row=4819&amp;col=7&amp;number=0.00338&amp;sourceID=14","0.00338")</f>
        <v>0.00338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HYPERLINK("http://141.218.60.56/~jnz1568/getInfo.php?workbook=18_08.xlsx&amp;sheet=U0&amp;row=4820&amp;col=6&amp;number=4.6&amp;sourceID=14","4.6")</f>
        <v>4.6</v>
      </c>
      <c r="G4820" s="4" t="str">
        <f>HYPERLINK("http://141.218.60.56/~jnz1568/getInfo.php?workbook=18_08.xlsx&amp;sheet=U0&amp;row=4820&amp;col=7&amp;number=0.00338&amp;sourceID=14","0.00338")</f>
        <v>0.00338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HYPERLINK("http://141.218.60.56/~jnz1568/getInfo.php?workbook=18_08.xlsx&amp;sheet=U0&amp;row=4821&amp;col=6&amp;number=4.7&amp;sourceID=14","4.7")</f>
        <v>4.7</v>
      </c>
      <c r="G4821" s="4" t="str">
        <f>HYPERLINK("http://141.218.60.56/~jnz1568/getInfo.php?workbook=18_08.xlsx&amp;sheet=U0&amp;row=4821&amp;col=7&amp;number=0.00337&amp;sourceID=14","0.00337")</f>
        <v>0.00337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HYPERLINK("http://141.218.60.56/~jnz1568/getInfo.php?workbook=18_08.xlsx&amp;sheet=U0&amp;row=4822&amp;col=6&amp;number=4.8&amp;sourceID=14","4.8")</f>
        <v>4.8</v>
      </c>
      <c r="G4822" s="4" t="str">
        <f>HYPERLINK("http://141.218.60.56/~jnz1568/getInfo.php?workbook=18_08.xlsx&amp;sheet=U0&amp;row=4822&amp;col=7&amp;number=0.00336&amp;sourceID=14","0.00336")</f>
        <v>0.00336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HYPERLINK("http://141.218.60.56/~jnz1568/getInfo.php?workbook=18_08.xlsx&amp;sheet=U0&amp;row=4823&amp;col=6&amp;number=4.9&amp;sourceID=14","4.9")</f>
        <v>4.9</v>
      </c>
      <c r="G4823" s="4" t="str">
        <f>HYPERLINK("http://141.218.60.56/~jnz1568/getInfo.php?workbook=18_08.xlsx&amp;sheet=U0&amp;row=4823&amp;col=7&amp;number=0.00335&amp;sourceID=14","0.00335")</f>
        <v>0.00335</v>
      </c>
    </row>
    <row r="4824" spans="1:7">
      <c r="A4824" s="3">
        <v>18</v>
      </c>
      <c r="B4824" s="3">
        <v>8</v>
      </c>
      <c r="C4824" s="3" t="s">
        <v>68</v>
      </c>
      <c r="D4824" s="3">
        <v>6</v>
      </c>
      <c r="E4824" s="3">
        <v>1</v>
      </c>
      <c r="F4824" s="4" t="str">
        <f>HYPERLINK("http://141.218.60.56/~jnz1568/getInfo.php?workbook=18_08.xlsx&amp;sheet=U0&amp;row=4824&amp;col=6&amp;number=3&amp;sourceID=14","3")</f>
        <v>3</v>
      </c>
      <c r="G4824" s="4" t="str">
        <f>HYPERLINK("http://141.218.60.56/~jnz1568/getInfo.php?workbook=18_08.xlsx&amp;sheet=U0&amp;row=4824&amp;col=7&amp;number=0.00152&amp;sourceID=14","0.00152")</f>
        <v>0.00152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HYPERLINK("http://141.218.60.56/~jnz1568/getInfo.php?workbook=18_08.xlsx&amp;sheet=U0&amp;row=4825&amp;col=6&amp;number=3.1&amp;sourceID=14","3.1")</f>
        <v>3.1</v>
      </c>
      <c r="G4825" s="4" t="str">
        <f>HYPERLINK("http://141.218.60.56/~jnz1568/getInfo.php?workbook=18_08.xlsx&amp;sheet=U0&amp;row=4825&amp;col=7&amp;number=0.00152&amp;sourceID=14","0.00152")</f>
        <v>0.00152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HYPERLINK("http://141.218.60.56/~jnz1568/getInfo.php?workbook=18_08.xlsx&amp;sheet=U0&amp;row=4826&amp;col=6&amp;number=3.2&amp;sourceID=14","3.2")</f>
        <v>3.2</v>
      </c>
      <c r="G4826" s="4" t="str">
        <f>HYPERLINK("http://141.218.60.56/~jnz1568/getInfo.php?workbook=18_08.xlsx&amp;sheet=U0&amp;row=4826&amp;col=7&amp;number=0.00152&amp;sourceID=14","0.00152")</f>
        <v>0.00152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HYPERLINK("http://141.218.60.56/~jnz1568/getInfo.php?workbook=18_08.xlsx&amp;sheet=U0&amp;row=4827&amp;col=6&amp;number=3.3&amp;sourceID=14","3.3")</f>
        <v>3.3</v>
      </c>
      <c r="G4827" s="4" t="str">
        <f>HYPERLINK("http://141.218.60.56/~jnz1568/getInfo.php?workbook=18_08.xlsx&amp;sheet=U0&amp;row=4827&amp;col=7&amp;number=0.00152&amp;sourceID=14","0.00152")</f>
        <v>0.00152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HYPERLINK("http://141.218.60.56/~jnz1568/getInfo.php?workbook=18_08.xlsx&amp;sheet=U0&amp;row=4828&amp;col=6&amp;number=3.4&amp;sourceID=14","3.4")</f>
        <v>3.4</v>
      </c>
      <c r="G4828" s="4" t="str">
        <f>HYPERLINK("http://141.218.60.56/~jnz1568/getInfo.php?workbook=18_08.xlsx&amp;sheet=U0&amp;row=4828&amp;col=7&amp;number=0.00152&amp;sourceID=14","0.00152")</f>
        <v>0.00152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HYPERLINK("http://141.218.60.56/~jnz1568/getInfo.php?workbook=18_08.xlsx&amp;sheet=U0&amp;row=4829&amp;col=6&amp;number=3.5&amp;sourceID=14","3.5")</f>
        <v>3.5</v>
      </c>
      <c r="G4829" s="4" t="str">
        <f>HYPERLINK("http://141.218.60.56/~jnz1568/getInfo.php?workbook=18_08.xlsx&amp;sheet=U0&amp;row=4829&amp;col=7&amp;number=0.00152&amp;sourceID=14","0.00152")</f>
        <v>0.00152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HYPERLINK("http://141.218.60.56/~jnz1568/getInfo.php?workbook=18_08.xlsx&amp;sheet=U0&amp;row=4830&amp;col=6&amp;number=3.6&amp;sourceID=14","3.6")</f>
        <v>3.6</v>
      </c>
      <c r="G4830" s="4" t="str">
        <f>HYPERLINK("http://141.218.60.56/~jnz1568/getInfo.php?workbook=18_08.xlsx&amp;sheet=U0&amp;row=4830&amp;col=7&amp;number=0.00152&amp;sourceID=14","0.00152")</f>
        <v>0.00152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HYPERLINK("http://141.218.60.56/~jnz1568/getInfo.php?workbook=18_08.xlsx&amp;sheet=U0&amp;row=4831&amp;col=6&amp;number=3.7&amp;sourceID=14","3.7")</f>
        <v>3.7</v>
      </c>
      <c r="G4831" s="4" t="str">
        <f>HYPERLINK("http://141.218.60.56/~jnz1568/getInfo.php?workbook=18_08.xlsx&amp;sheet=U0&amp;row=4831&amp;col=7&amp;number=0.00152&amp;sourceID=14","0.00152")</f>
        <v>0.00152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HYPERLINK("http://141.218.60.56/~jnz1568/getInfo.php?workbook=18_08.xlsx&amp;sheet=U0&amp;row=4832&amp;col=6&amp;number=3.8&amp;sourceID=14","3.8")</f>
        <v>3.8</v>
      </c>
      <c r="G4832" s="4" t="str">
        <f>HYPERLINK("http://141.218.60.56/~jnz1568/getInfo.php?workbook=18_08.xlsx&amp;sheet=U0&amp;row=4832&amp;col=7&amp;number=0.00152&amp;sourceID=14","0.00152")</f>
        <v>0.00152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HYPERLINK("http://141.218.60.56/~jnz1568/getInfo.php?workbook=18_08.xlsx&amp;sheet=U0&amp;row=4833&amp;col=6&amp;number=3.9&amp;sourceID=14","3.9")</f>
        <v>3.9</v>
      </c>
      <c r="G4833" s="4" t="str">
        <f>HYPERLINK("http://141.218.60.56/~jnz1568/getInfo.php?workbook=18_08.xlsx&amp;sheet=U0&amp;row=4833&amp;col=7&amp;number=0.00152&amp;sourceID=14","0.00152")</f>
        <v>0.00152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HYPERLINK("http://141.218.60.56/~jnz1568/getInfo.php?workbook=18_08.xlsx&amp;sheet=U0&amp;row=4834&amp;col=6&amp;number=4&amp;sourceID=14","4")</f>
        <v>4</v>
      </c>
      <c r="G4834" s="4" t="str">
        <f>HYPERLINK("http://141.218.60.56/~jnz1568/getInfo.php?workbook=18_08.xlsx&amp;sheet=U0&amp;row=4834&amp;col=7&amp;number=0.00152&amp;sourceID=14","0.00152")</f>
        <v>0.00152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HYPERLINK("http://141.218.60.56/~jnz1568/getInfo.php?workbook=18_08.xlsx&amp;sheet=U0&amp;row=4835&amp;col=6&amp;number=4.1&amp;sourceID=14","4.1")</f>
        <v>4.1</v>
      </c>
      <c r="G4835" s="4" t="str">
        <f>HYPERLINK("http://141.218.60.56/~jnz1568/getInfo.php?workbook=18_08.xlsx&amp;sheet=U0&amp;row=4835&amp;col=7&amp;number=0.00152&amp;sourceID=14","0.00152")</f>
        <v>0.00152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HYPERLINK("http://141.218.60.56/~jnz1568/getInfo.php?workbook=18_08.xlsx&amp;sheet=U0&amp;row=4836&amp;col=6&amp;number=4.2&amp;sourceID=14","4.2")</f>
        <v>4.2</v>
      </c>
      <c r="G4836" s="4" t="str">
        <f>HYPERLINK("http://141.218.60.56/~jnz1568/getInfo.php?workbook=18_08.xlsx&amp;sheet=U0&amp;row=4836&amp;col=7&amp;number=0.00152&amp;sourceID=14","0.00152")</f>
        <v>0.00152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HYPERLINK("http://141.218.60.56/~jnz1568/getInfo.php?workbook=18_08.xlsx&amp;sheet=U0&amp;row=4837&amp;col=6&amp;number=4.3&amp;sourceID=14","4.3")</f>
        <v>4.3</v>
      </c>
      <c r="G4837" s="4" t="str">
        <f>HYPERLINK("http://141.218.60.56/~jnz1568/getInfo.php?workbook=18_08.xlsx&amp;sheet=U0&amp;row=4837&amp;col=7&amp;number=0.00152&amp;sourceID=14","0.00152")</f>
        <v>0.00152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HYPERLINK("http://141.218.60.56/~jnz1568/getInfo.php?workbook=18_08.xlsx&amp;sheet=U0&amp;row=4838&amp;col=6&amp;number=4.4&amp;sourceID=14","4.4")</f>
        <v>4.4</v>
      </c>
      <c r="G4838" s="4" t="str">
        <f>HYPERLINK("http://141.218.60.56/~jnz1568/getInfo.php?workbook=18_08.xlsx&amp;sheet=U0&amp;row=4838&amp;col=7&amp;number=0.00151&amp;sourceID=14","0.00151")</f>
        <v>0.00151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HYPERLINK("http://141.218.60.56/~jnz1568/getInfo.php?workbook=18_08.xlsx&amp;sheet=U0&amp;row=4839&amp;col=6&amp;number=4.5&amp;sourceID=14","4.5")</f>
        <v>4.5</v>
      </c>
      <c r="G4839" s="4" t="str">
        <f>HYPERLINK("http://141.218.60.56/~jnz1568/getInfo.php?workbook=18_08.xlsx&amp;sheet=U0&amp;row=4839&amp;col=7&amp;number=0.00151&amp;sourceID=14","0.00151")</f>
        <v>0.00151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HYPERLINK("http://141.218.60.56/~jnz1568/getInfo.php?workbook=18_08.xlsx&amp;sheet=U0&amp;row=4840&amp;col=6&amp;number=4.6&amp;sourceID=14","4.6")</f>
        <v>4.6</v>
      </c>
      <c r="G4840" s="4" t="str">
        <f>HYPERLINK("http://141.218.60.56/~jnz1568/getInfo.php?workbook=18_08.xlsx&amp;sheet=U0&amp;row=4840&amp;col=7&amp;number=0.00151&amp;sourceID=14","0.00151")</f>
        <v>0.00151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HYPERLINK("http://141.218.60.56/~jnz1568/getInfo.php?workbook=18_08.xlsx&amp;sheet=U0&amp;row=4841&amp;col=6&amp;number=4.7&amp;sourceID=14","4.7")</f>
        <v>4.7</v>
      </c>
      <c r="G4841" s="4" t="str">
        <f>HYPERLINK("http://141.218.60.56/~jnz1568/getInfo.php?workbook=18_08.xlsx&amp;sheet=U0&amp;row=4841&amp;col=7&amp;number=0.00151&amp;sourceID=14","0.00151")</f>
        <v>0.00151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HYPERLINK("http://141.218.60.56/~jnz1568/getInfo.php?workbook=18_08.xlsx&amp;sheet=U0&amp;row=4842&amp;col=6&amp;number=4.8&amp;sourceID=14","4.8")</f>
        <v>4.8</v>
      </c>
      <c r="G4842" s="4" t="str">
        <f>HYPERLINK("http://141.218.60.56/~jnz1568/getInfo.php?workbook=18_08.xlsx&amp;sheet=U0&amp;row=4842&amp;col=7&amp;number=0.0015&amp;sourceID=14","0.0015")</f>
        <v>0.0015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HYPERLINK("http://141.218.60.56/~jnz1568/getInfo.php?workbook=18_08.xlsx&amp;sheet=U0&amp;row=4843&amp;col=6&amp;number=4.9&amp;sourceID=14","4.9")</f>
        <v>4.9</v>
      </c>
      <c r="G4843" s="4" t="str">
        <f>HYPERLINK("http://141.218.60.56/~jnz1568/getInfo.php?workbook=18_08.xlsx&amp;sheet=U0&amp;row=4843&amp;col=7&amp;number=0.0015&amp;sourceID=14","0.0015")</f>
        <v>0.0015</v>
      </c>
    </row>
    <row r="4844" spans="1:7">
      <c r="A4844" s="3">
        <v>18</v>
      </c>
      <c r="B4844" s="3">
        <v>8</v>
      </c>
      <c r="C4844" s="3" t="s">
        <v>68</v>
      </c>
      <c r="D4844" s="3">
        <v>7</v>
      </c>
      <c r="E4844" s="3">
        <v>1</v>
      </c>
      <c r="F4844" s="4" t="str">
        <f>HYPERLINK("http://141.218.60.56/~jnz1568/getInfo.php?workbook=18_08.xlsx&amp;sheet=U0&amp;row=4844&amp;col=6&amp;number=3&amp;sourceID=14","3")</f>
        <v>3</v>
      </c>
      <c r="G4844" s="4" t="str">
        <f>HYPERLINK("http://141.218.60.56/~jnz1568/getInfo.php?workbook=18_08.xlsx&amp;sheet=U0&amp;row=4844&amp;col=7&amp;number=0.00295&amp;sourceID=14","0.00295")</f>
        <v>0.00295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HYPERLINK("http://141.218.60.56/~jnz1568/getInfo.php?workbook=18_08.xlsx&amp;sheet=U0&amp;row=4845&amp;col=6&amp;number=3.1&amp;sourceID=14","3.1")</f>
        <v>3.1</v>
      </c>
      <c r="G4845" s="4" t="str">
        <f>HYPERLINK("http://141.218.60.56/~jnz1568/getInfo.php?workbook=18_08.xlsx&amp;sheet=U0&amp;row=4845&amp;col=7&amp;number=0.00295&amp;sourceID=14","0.00295")</f>
        <v>0.00295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HYPERLINK("http://141.218.60.56/~jnz1568/getInfo.php?workbook=18_08.xlsx&amp;sheet=U0&amp;row=4846&amp;col=6&amp;number=3.2&amp;sourceID=14","3.2")</f>
        <v>3.2</v>
      </c>
      <c r="G4846" s="4" t="str">
        <f>HYPERLINK("http://141.218.60.56/~jnz1568/getInfo.php?workbook=18_08.xlsx&amp;sheet=U0&amp;row=4846&amp;col=7&amp;number=0.00295&amp;sourceID=14","0.00295")</f>
        <v>0.00295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HYPERLINK("http://141.218.60.56/~jnz1568/getInfo.php?workbook=18_08.xlsx&amp;sheet=U0&amp;row=4847&amp;col=6&amp;number=3.3&amp;sourceID=14","3.3")</f>
        <v>3.3</v>
      </c>
      <c r="G4847" s="4" t="str">
        <f>HYPERLINK("http://141.218.60.56/~jnz1568/getInfo.php?workbook=18_08.xlsx&amp;sheet=U0&amp;row=4847&amp;col=7&amp;number=0.00295&amp;sourceID=14","0.00295")</f>
        <v>0.00295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HYPERLINK("http://141.218.60.56/~jnz1568/getInfo.php?workbook=18_08.xlsx&amp;sheet=U0&amp;row=4848&amp;col=6&amp;number=3.4&amp;sourceID=14","3.4")</f>
        <v>3.4</v>
      </c>
      <c r="G4848" s="4" t="str">
        <f>HYPERLINK("http://141.218.60.56/~jnz1568/getInfo.php?workbook=18_08.xlsx&amp;sheet=U0&amp;row=4848&amp;col=7&amp;number=0.00295&amp;sourceID=14","0.00295")</f>
        <v>0.00295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HYPERLINK("http://141.218.60.56/~jnz1568/getInfo.php?workbook=18_08.xlsx&amp;sheet=U0&amp;row=4849&amp;col=6&amp;number=3.5&amp;sourceID=14","3.5")</f>
        <v>3.5</v>
      </c>
      <c r="G4849" s="4" t="str">
        <f>HYPERLINK("http://141.218.60.56/~jnz1568/getInfo.php?workbook=18_08.xlsx&amp;sheet=U0&amp;row=4849&amp;col=7&amp;number=0.00295&amp;sourceID=14","0.00295")</f>
        <v>0.00295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HYPERLINK("http://141.218.60.56/~jnz1568/getInfo.php?workbook=18_08.xlsx&amp;sheet=U0&amp;row=4850&amp;col=6&amp;number=3.6&amp;sourceID=14","3.6")</f>
        <v>3.6</v>
      </c>
      <c r="G4850" s="4" t="str">
        <f>HYPERLINK("http://141.218.60.56/~jnz1568/getInfo.php?workbook=18_08.xlsx&amp;sheet=U0&amp;row=4850&amp;col=7&amp;number=0.00295&amp;sourceID=14","0.00295")</f>
        <v>0.00295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HYPERLINK("http://141.218.60.56/~jnz1568/getInfo.php?workbook=18_08.xlsx&amp;sheet=U0&amp;row=4851&amp;col=6&amp;number=3.7&amp;sourceID=14","3.7")</f>
        <v>3.7</v>
      </c>
      <c r="G4851" s="4" t="str">
        <f>HYPERLINK("http://141.218.60.56/~jnz1568/getInfo.php?workbook=18_08.xlsx&amp;sheet=U0&amp;row=4851&amp;col=7&amp;number=0.00295&amp;sourceID=14","0.00295")</f>
        <v>0.00295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HYPERLINK("http://141.218.60.56/~jnz1568/getInfo.php?workbook=18_08.xlsx&amp;sheet=U0&amp;row=4852&amp;col=6&amp;number=3.8&amp;sourceID=14","3.8")</f>
        <v>3.8</v>
      </c>
      <c r="G4852" s="4" t="str">
        <f>HYPERLINK("http://141.218.60.56/~jnz1568/getInfo.php?workbook=18_08.xlsx&amp;sheet=U0&amp;row=4852&amp;col=7&amp;number=0.00295&amp;sourceID=14","0.00295")</f>
        <v>0.00295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HYPERLINK("http://141.218.60.56/~jnz1568/getInfo.php?workbook=18_08.xlsx&amp;sheet=U0&amp;row=4853&amp;col=6&amp;number=3.9&amp;sourceID=14","3.9")</f>
        <v>3.9</v>
      </c>
      <c r="G4853" s="4" t="str">
        <f>HYPERLINK("http://141.218.60.56/~jnz1568/getInfo.php?workbook=18_08.xlsx&amp;sheet=U0&amp;row=4853&amp;col=7&amp;number=0.00295&amp;sourceID=14","0.00295")</f>
        <v>0.00295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HYPERLINK("http://141.218.60.56/~jnz1568/getInfo.php?workbook=18_08.xlsx&amp;sheet=U0&amp;row=4854&amp;col=6&amp;number=4&amp;sourceID=14","4")</f>
        <v>4</v>
      </c>
      <c r="G4854" s="4" t="str">
        <f>HYPERLINK("http://141.218.60.56/~jnz1568/getInfo.php?workbook=18_08.xlsx&amp;sheet=U0&amp;row=4854&amp;col=7&amp;number=0.00295&amp;sourceID=14","0.00295")</f>
        <v>0.00295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HYPERLINK("http://141.218.60.56/~jnz1568/getInfo.php?workbook=18_08.xlsx&amp;sheet=U0&amp;row=4855&amp;col=6&amp;number=4.1&amp;sourceID=14","4.1")</f>
        <v>4.1</v>
      </c>
      <c r="G4855" s="4" t="str">
        <f>HYPERLINK("http://141.218.60.56/~jnz1568/getInfo.php?workbook=18_08.xlsx&amp;sheet=U0&amp;row=4855&amp;col=7&amp;number=0.00295&amp;sourceID=14","0.00295")</f>
        <v>0.00295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HYPERLINK("http://141.218.60.56/~jnz1568/getInfo.php?workbook=18_08.xlsx&amp;sheet=U0&amp;row=4856&amp;col=6&amp;number=4.2&amp;sourceID=14","4.2")</f>
        <v>4.2</v>
      </c>
      <c r="G4856" s="4" t="str">
        <f>HYPERLINK("http://141.218.60.56/~jnz1568/getInfo.php?workbook=18_08.xlsx&amp;sheet=U0&amp;row=4856&amp;col=7&amp;number=0.00295&amp;sourceID=14","0.00295")</f>
        <v>0.00295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HYPERLINK("http://141.218.60.56/~jnz1568/getInfo.php?workbook=18_08.xlsx&amp;sheet=U0&amp;row=4857&amp;col=6&amp;number=4.3&amp;sourceID=14","4.3")</f>
        <v>4.3</v>
      </c>
      <c r="G4857" s="4" t="str">
        <f>HYPERLINK("http://141.218.60.56/~jnz1568/getInfo.php?workbook=18_08.xlsx&amp;sheet=U0&amp;row=4857&amp;col=7&amp;number=0.00295&amp;sourceID=14","0.00295")</f>
        <v>0.00295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HYPERLINK("http://141.218.60.56/~jnz1568/getInfo.php?workbook=18_08.xlsx&amp;sheet=U0&amp;row=4858&amp;col=6&amp;number=4.4&amp;sourceID=14","4.4")</f>
        <v>4.4</v>
      </c>
      <c r="G4858" s="4" t="str">
        <f>HYPERLINK("http://141.218.60.56/~jnz1568/getInfo.php?workbook=18_08.xlsx&amp;sheet=U0&amp;row=4858&amp;col=7&amp;number=0.00294&amp;sourceID=14","0.00294")</f>
        <v>0.00294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HYPERLINK("http://141.218.60.56/~jnz1568/getInfo.php?workbook=18_08.xlsx&amp;sheet=U0&amp;row=4859&amp;col=6&amp;number=4.5&amp;sourceID=14","4.5")</f>
        <v>4.5</v>
      </c>
      <c r="G4859" s="4" t="str">
        <f>HYPERLINK("http://141.218.60.56/~jnz1568/getInfo.php?workbook=18_08.xlsx&amp;sheet=U0&amp;row=4859&amp;col=7&amp;number=0.00294&amp;sourceID=14","0.00294")</f>
        <v>0.00294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HYPERLINK("http://141.218.60.56/~jnz1568/getInfo.php?workbook=18_08.xlsx&amp;sheet=U0&amp;row=4860&amp;col=6&amp;number=4.6&amp;sourceID=14","4.6")</f>
        <v>4.6</v>
      </c>
      <c r="G4860" s="4" t="str">
        <f>HYPERLINK("http://141.218.60.56/~jnz1568/getInfo.php?workbook=18_08.xlsx&amp;sheet=U0&amp;row=4860&amp;col=7&amp;number=0.00294&amp;sourceID=14","0.00294")</f>
        <v>0.00294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HYPERLINK("http://141.218.60.56/~jnz1568/getInfo.php?workbook=18_08.xlsx&amp;sheet=U0&amp;row=4861&amp;col=6&amp;number=4.7&amp;sourceID=14","4.7")</f>
        <v>4.7</v>
      </c>
      <c r="G4861" s="4" t="str">
        <f>HYPERLINK("http://141.218.60.56/~jnz1568/getInfo.php?workbook=18_08.xlsx&amp;sheet=U0&amp;row=4861&amp;col=7&amp;number=0.00294&amp;sourceID=14","0.00294")</f>
        <v>0.00294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HYPERLINK("http://141.218.60.56/~jnz1568/getInfo.php?workbook=18_08.xlsx&amp;sheet=U0&amp;row=4862&amp;col=6&amp;number=4.8&amp;sourceID=14","4.8")</f>
        <v>4.8</v>
      </c>
      <c r="G4862" s="4" t="str">
        <f>HYPERLINK("http://141.218.60.56/~jnz1568/getInfo.php?workbook=18_08.xlsx&amp;sheet=U0&amp;row=4862&amp;col=7&amp;number=0.00294&amp;sourceID=14","0.00294")</f>
        <v>0.00294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HYPERLINK("http://141.218.60.56/~jnz1568/getInfo.php?workbook=18_08.xlsx&amp;sheet=U0&amp;row=4863&amp;col=6&amp;number=4.9&amp;sourceID=14","4.9")</f>
        <v>4.9</v>
      </c>
      <c r="G4863" s="4" t="str">
        <f>HYPERLINK("http://141.218.60.56/~jnz1568/getInfo.php?workbook=18_08.xlsx&amp;sheet=U0&amp;row=4863&amp;col=7&amp;number=0.00293&amp;sourceID=14","0.00293")</f>
        <v>0.00293</v>
      </c>
    </row>
    <row r="4864" spans="1:7">
      <c r="A4864" s="3">
        <v>18</v>
      </c>
      <c r="B4864" s="3">
        <v>8</v>
      </c>
      <c r="C4864" s="3" t="s">
        <v>68</v>
      </c>
      <c r="D4864" s="3">
        <v>8</v>
      </c>
      <c r="E4864" s="3">
        <v>1</v>
      </c>
      <c r="F4864" s="4" t="str">
        <f>HYPERLINK("http://141.218.60.56/~jnz1568/getInfo.php?workbook=18_08.xlsx&amp;sheet=U0&amp;row=4864&amp;col=6&amp;number=3&amp;sourceID=14","3")</f>
        <v>3</v>
      </c>
      <c r="G4864" s="4" t="str">
        <f>HYPERLINK("http://141.218.60.56/~jnz1568/getInfo.php?workbook=18_08.xlsx&amp;sheet=U0&amp;row=4864&amp;col=7&amp;number=0.000467&amp;sourceID=14","0.000467")</f>
        <v>0.000467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HYPERLINK("http://141.218.60.56/~jnz1568/getInfo.php?workbook=18_08.xlsx&amp;sheet=U0&amp;row=4865&amp;col=6&amp;number=3.1&amp;sourceID=14","3.1")</f>
        <v>3.1</v>
      </c>
      <c r="G4865" s="4" t="str">
        <f>HYPERLINK("http://141.218.60.56/~jnz1568/getInfo.php?workbook=18_08.xlsx&amp;sheet=U0&amp;row=4865&amp;col=7&amp;number=0.000467&amp;sourceID=14","0.000467")</f>
        <v>0.000467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HYPERLINK("http://141.218.60.56/~jnz1568/getInfo.php?workbook=18_08.xlsx&amp;sheet=U0&amp;row=4866&amp;col=6&amp;number=3.2&amp;sourceID=14","3.2")</f>
        <v>3.2</v>
      </c>
      <c r="G4866" s="4" t="str">
        <f>HYPERLINK("http://141.218.60.56/~jnz1568/getInfo.php?workbook=18_08.xlsx&amp;sheet=U0&amp;row=4866&amp;col=7&amp;number=0.000467&amp;sourceID=14","0.000467")</f>
        <v>0.000467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HYPERLINK("http://141.218.60.56/~jnz1568/getInfo.php?workbook=18_08.xlsx&amp;sheet=U0&amp;row=4867&amp;col=6&amp;number=3.3&amp;sourceID=14","3.3")</f>
        <v>3.3</v>
      </c>
      <c r="G4867" s="4" t="str">
        <f>HYPERLINK("http://141.218.60.56/~jnz1568/getInfo.php?workbook=18_08.xlsx&amp;sheet=U0&amp;row=4867&amp;col=7&amp;number=0.000467&amp;sourceID=14","0.000467")</f>
        <v>0.000467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HYPERLINK("http://141.218.60.56/~jnz1568/getInfo.php?workbook=18_08.xlsx&amp;sheet=U0&amp;row=4868&amp;col=6&amp;number=3.4&amp;sourceID=14","3.4")</f>
        <v>3.4</v>
      </c>
      <c r="G4868" s="4" t="str">
        <f>HYPERLINK("http://141.218.60.56/~jnz1568/getInfo.php?workbook=18_08.xlsx&amp;sheet=U0&amp;row=4868&amp;col=7&amp;number=0.000466&amp;sourceID=14","0.000466")</f>
        <v>0.000466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HYPERLINK("http://141.218.60.56/~jnz1568/getInfo.php?workbook=18_08.xlsx&amp;sheet=U0&amp;row=4869&amp;col=6&amp;number=3.5&amp;sourceID=14","3.5")</f>
        <v>3.5</v>
      </c>
      <c r="G4869" s="4" t="str">
        <f>HYPERLINK("http://141.218.60.56/~jnz1568/getInfo.php?workbook=18_08.xlsx&amp;sheet=U0&amp;row=4869&amp;col=7&amp;number=0.000466&amp;sourceID=14","0.000466")</f>
        <v>0.000466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HYPERLINK("http://141.218.60.56/~jnz1568/getInfo.php?workbook=18_08.xlsx&amp;sheet=U0&amp;row=4870&amp;col=6&amp;number=3.6&amp;sourceID=14","3.6")</f>
        <v>3.6</v>
      </c>
      <c r="G4870" s="4" t="str">
        <f>HYPERLINK("http://141.218.60.56/~jnz1568/getInfo.php?workbook=18_08.xlsx&amp;sheet=U0&amp;row=4870&amp;col=7&amp;number=0.000466&amp;sourceID=14","0.000466")</f>
        <v>0.000466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HYPERLINK("http://141.218.60.56/~jnz1568/getInfo.php?workbook=18_08.xlsx&amp;sheet=U0&amp;row=4871&amp;col=6&amp;number=3.7&amp;sourceID=14","3.7")</f>
        <v>3.7</v>
      </c>
      <c r="G4871" s="4" t="str">
        <f>HYPERLINK("http://141.218.60.56/~jnz1568/getInfo.php?workbook=18_08.xlsx&amp;sheet=U0&amp;row=4871&amp;col=7&amp;number=0.000466&amp;sourceID=14","0.000466")</f>
        <v>0.000466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HYPERLINK("http://141.218.60.56/~jnz1568/getInfo.php?workbook=18_08.xlsx&amp;sheet=U0&amp;row=4872&amp;col=6&amp;number=3.8&amp;sourceID=14","3.8")</f>
        <v>3.8</v>
      </c>
      <c r="G4872" s="4" t="str">
        <f>HYPERLINK("http://141.218.60.56/~jnz1568/getInfo.php?workbook=18_08.xlsx&amp;sheet=U0&amp;row=4872&amp;col=7&amp;number=0.000466&amp;sourceID=14","0.000466")</f>
        <v>0.000466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HYPERLINK("http://141.218.60.56/~jnz1568/getInfo.php?workbook=18_08.xlsx&amp;sheet=U0&amp;row=4873&amp;col=6&amp;number=3.9&amp;sourceID=14","3.9")</f>
        <v>3.9</v>
      </c>
      <c r="G4873" s="4" t="str">
        <f>HYPERLINK("http://141.218.60.56/~jnz1568/getInfo.php?workbook=18_08.xlsx&amp;sheet=U0&amp;row=4873&amp;col=7&amp;number=0.000466&amp;sourceID=14","0.000466")</f>
        <v>0.000466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HYPERLINK("http://141.218.60.56/~jnz1568/getInfo.php?workbook=18_08.xlsx&amp;sheet=U0&amp;row=4874&amp;col=6&amp;number=4&amp;sourceID=14","4")</f>
        <v>4</v>
      </c>
      <c r="G4874" s="4" t="str">
        <f>HYPERLINK("http://141.218.60.56/~jnz1568/getInfo.php?workbook=18_08.xlsx&amp;sheet=U0&amp;row=4874&amp;col=7&amp;number=0.000466&amp;sourceID=14","0.000466")</f>
        <v>0.000466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HYPERLINK("http://141.218.60.56/~jnz1568/getInfo.php?workbook=18_08.xlsx&amp;sheet=U0&amp;row=4875&amp;col=6&amp;number=4.1&amp;sourceID=14","4.1")</f>
        <v>4.1</v>
      </c>
      <c r="G4875" s="4" t="str">
        <f>HYPERLINK("http://141.218.60.56/~jnz1568/getInfo.php?workbook=18_08.xlsx&amp;sheet=U0&amp;row=4875&amp;col=7&amp;number=0.000465&amp;sourceID=14","0.000465")</f>
        <v>0.000465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HYPERLINK("http://141.218.60.56/~jnz1568/getInfo.php?workbook=18_08.xlsx&amp;sheet=U0&amp;row=4876&amp;col=6&amp;number=4.2&amp;sourceID=14","4.2")</f>
        <v>4.2</v>
      </c>
      <c r="G4876" s="4" t="str">
        <f>HYPERLINK("http://141.218.60.56/~jnz1568/getInfo.php?workbook=18_08.xlsx&amp;sheet=U0&amp;row=4876&amp;col=7&amp;number=0.000465&amp;sourceID=14","0.000465")</f>
        <v>0.000465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HYPERLINK("http://141.218.60.56/~jnz1568/getInfo.php?workbook=18_08.xlsx&amp;sheet=U0&amp;row=4877&amp;col=6&amp;number=4.3&amp;sourceID=14","4.3")</f>
        <v>4.3</v>
      </c>
      <c r="G4877" s="4" t="str">
        <f>HYPERLINK("http://141.218.60.56/~jnz1568/getInfo.php?workbook=18_08.xlsx&amp;sheet=U0&amp;row=4877&amp;col=7&amp;number=0.000465&amp;sourceID=14","0.000465")</f>
        <v>0.000465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HYPERLINK("http://141.218.60.56/~jnz1568/getInfo.php?workbook=18_08.xlsx&amp;sheet=U0&amp;row=4878&amp;col=6&amp;number=4.4&amp;sourceID=14","4.4")</f>
        <v>4.4</v>
      </c>
      <c r="G4878" s="4" t="str">
        <f>HYPERLINK("http://141.218.60.56/~jnz1568/getInfo.php?workbook=18_08.xlsx&amp;sheet=U0&amp;row=4878&amp;col=7&amp;number=0.000464&amp;sourceID=14","0.000464")</f>
        <v>0.000464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HYPERLINK("http://141.218.60.56/~jnz1568/getInfo.php?workbook=18_08.xlsx&amp;sheet=U0&amp;row=4879&amp;col=6&amp;number=4.5&amp;sourceID=14","4.5")</f>
        <v>4.5</v>
      </c>
      <c r="G4879" s="4" t="str">
        <f>HYPERLINK("http://141.218.60.56/~jnz1568/getInfo.php?workbook=18_08.xlsx&amp;sheet=U0&amp;row=4879&amp;col=7&amp;number=0.000464&amp;sourceID=14","0.000464")</f>
        <v>0.000464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HYPERLINK("http://141.218.60.56/~jnz1568/getInfo.php?workbook=18_08.xlsx&amp;sheet=U0&amp;row=4880&amp;col=6&amp;number=4.6&amp;sourceID=14","4.6")</f>
        <v>4.6</v>
      </c>
      <c r="G4880" s="4" t="str">
        <f>HYPERLINK("http://141.218.60.56/~jnz1568/getInfo.php?workbook=18_08.xlsx&amp;sheet=U0&amp;row=4880&amp;col=7&amp;number=0.000463&amp;sourceID=14","0.000463")</f>
        <v>0.000463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HYPERLINK("http://141.218.60.56/~jnz1568/getInfo.php?workbook=18_08.xlsx&amp;sheet=U0&amp;row=4881&amp;col=6&amp;number=4.7&amp;sourceID=14","4.7")</f>
        <v>4.7</v>
      </c>
      <c r="G4881" s="4" t="str">
        <f>HYPERLINK("http://141.218.60.56/~jnz1568/getInfo.php?workbook=18_08.xlsx&amp;sheet=U0&amp;row=4881&amp;col=7&amp;number=0.000462&amp;sourceID=14","0.000462")</f>
        <v>0.000462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HYPERLINK("http://141.218.60.56/~jnz1568/getInfo.php?workbook=18_08.xlsx&amp;sheet=U0&amp;row=4882&amp;col=6&amp;number=4.8&amp;sourceID=14","4.8")</f>
        <v>4.8</v>
      </c>
      <c r="G4882" s="4" t="str">
        <f>HYPERLINK("http://141.218.60.56/~jnz1568/getInfo.php?workbook=18_08.xlsx&amp;sheet=U0&amp;row=4882&amp;col=7&amp;number=0.000461&amp;sourceID=14","0.000461")</f>
        <v>0.000461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HYPERLINK("http://141.218.60.56/~jnz1568/getInfo.php?workbook=18_08.xlsx&amp;sheet=U0&amp;row=4883&amp;col=6&amp;number=4.9&amp;sourceID=14","4.9")</f>
        <v>4.9</v>
      </c>
      <c r="G4883" s="4" t="str">
        <f>HYPERLINK("http://141.218.60.56/~jnz1568/getInfo.php?workbook=18_08.xlsx&amp;sheet=U0&amp;row=4883&amp;col=7&amp;number=0.000459&amp;sourceID=14","0.000459")</f>
        <v>0.000459</v>
      </c>
    </row>
    <row r="4884" spans="1:7">
      <c r="A4884" s="3">
        <v>18</v>
      </c>
      <c r="B4884" s="3">
        <v>8</v>
      </c>
      <c r="C4884" s="3" t="s">
        <v>68</v>
      </c>
      <c r="D4884" s="3">
        <v>9</v>
      </c>
      <c r="E4884" s="3">
        <v>1</v>
      </c>
      <c r="F4884" s="4" t="str">
        <f>HYPERLINK("http://141.218.60.56/~jnz1568/getInfo.php?workbook=18_08.xlsx&amp;sheet=U0&amp;row=4884&amp;col=6&amp;number=3&amp;sourceID=14","3")</f>
        <v>3</v>
      </c>
      <c r="G4884" s="4" t="str">
        <f>HYPERLINK("http://141.218.60.56/~jnz1568/getInfo.php?workbook=18_08.xlsx&amp;sheet=U0&amp;row=4884&amp;col=7&amp;number=0.0148&amp;sourceID=14","0.0148")</f>
        <v>0.0148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HYPERLINK("http://141.218.60.56/~jnz1568/getInfo.php?workbook=18_08.xlsx&amp;sheet=U0&amp;row=4885&amp;col=6&amp;number=3.1&amp;sourceID=14","3.1")</f>
        <v>3.1</v>
      </c>
      <c r="G4885" s="4" t="str">
        <f>HYPERLINK("http://141.218.60.56/~jnz1568/getInfo.php?workbook=18_08.xlsx&amp;sheet=U0&amp;row=4885&amp;col=7&amp;number=0.0148&amp;sourceID=14","0.0148")</f>
        <v>0.0148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HYPERLINK("http://141.218.60.56/~jnz1568/getInfo.php?workbook=18_08.xlsx&amp;sheet=U0&amp;row=4886&amp;col=6&amp;number=3.2&amp;sourceID=14","3.2")</f>
        <v>3.2</v>
      </c>
      <c r="G4886" s="4" t="str">
        <f>HYPERLINK("http://141.218.60.56/~jnz1568/getInfo.php?workbook=18_08.xlsx&amp;sheet=U0&amp;row=4886&amp;col=7&amp;number=0.0148&amp;sourceID=14","0.0148")</f>
        <v>0.0148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HYPERLINK("http://141.218.60.56/~jnz1568/getInfo.php?workbook=18_08.xlsx&amp;sheet=U0&amp;row=4887&amp;col=6&amp;number=3.3&amp;sourceID=14","3.3")</f>
        <v>3.3</v>
      </c>
      <c r="G4887" s="4" t="str">
        <f>HYPERLINK("http://141.218.60.56/~jnz1568/getInfo.php?workbook=18_08.xlsx&amp;sheet=U0&amp;row=4887&amp;col=7&amp;number=0.0148&amp;sourceID=14","0.0148")</f>
        <v>0.0148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HYPERLINK("http://141.218.60.56/~jnz1568/getInfo.php?workbook=18_08.xlsx&amp;sheet=U0&amp;row=4888&amp;col=6&amp;number=3.4&amp;sourceID=14","3.4")</f>
        <v>3.4</v>
      </c>
      <c r="G4888" s="4" t="str">
        <f>HYPERLINK("http://141.218.60.56/~jnz1568/getInfo.php?workbook=18_08.xlsx&amp;sheet=U0&amp;row=4888&amp;col=7&amp;number=0.0148&amp;sourceID=14","0.0148")</f>
        <v>0.0148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HYPERLINK("http://141.218.60.56/~jnz1568/getInfo.php?workbook=18_08.xlsx&amp;sheet=U0&amp;row=4889&amp;col=6&amp;number=3.5&amp;sourceID=14","3.5")</f>
        <v>3.5</v>
      </c>
      <c r="G4889" s="4" t="str">
        <f>HYPERLINK("http://141.218.60.56/~jnz1568/getInfo.php?workbook=18_08.xlsx&amp;sheet=U0&amp;row=4889&amp;col=7&amp;number=0.0148&amp;sourceID=14","0.0148")</f>
        <v>0.0148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HYPERLINK("http://141.218.60.56/~jnz1568/getInfo.php?workbook=18_08.xlsx&amp;sheet=U0&amp;row=4890&amp;col=6&amp;number=3.6&amp;sourceID=14","3.6")</f>
        <v>3.6</v>
      </c>
      <c r="G4890" s="4" t="str">
        <f>HYPERLINK("http://141.218.60.56/~jnz1568/getInfo.php?workbook=18_08.xlsx&amp;sheet=U0&amp;row=4890&amp;col=7&amp;number=0.0148&amp;sourceID=14","0.0148")</f>
        <v>0.0148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HYPERLINK("http://141.218.60.56/~jnz1568/getInfo.php?workbook=18_08.xlsx&amp;sheet=U0&amp;row=4891&amp;col=6&amp;number=3.7&amp;sourceID=14","3.7")</f>
        <v>3.7</v>
      </c>
      <c r="G4891" s="4" t="str">
        <f>HYPERLINK("http://141.218.60.56/~jnz1568/getInfo.php?workbook=18_08.xlsx&amp;sheet=U0&amp;row=4891&amp;col=7&amp;number=0.0148&amp;sourceID=14","0.0148")</f>
        <v>0.0148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HYPERLINK("http://141.218.60.56/~jnz1568/getInfo.php?workbook=18_08.xlsx&amp;sheet=U0&amp;row=4892&amp;col=6&amp;number=3.8&amp;sourceID=14","3.8")</f>
        <v>3.8</v>
      </c>
      <c r="G4892" s="4" t="str">
        <f>HYPERLINK("http://141.218.60.56/~jnz1568/getInfo.php?workbook=18_08.xlsx&amp;sheet=U0&amp;row=4892&amp;col=7&amp;number=0.0148&amp;sourceID=14","0.0148")</f>
        <v>0.0148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HYPERLINK("http://141.218.60.56/~jnz1568/getInfo.php?workbook=18_08.xlsx&amp;sheet=U0&amp;row=4893&amp;col=6&amp;number=3.9&amp;sourceID=14","3.9")</f>
        <v>3.9</v>
      </c>
      <c r="G4893" s="4" t="str">
        <f>HYPERLINK("http://141.218.60.56/~jnz1568/getInfo.php?workbook=18_08.xlsx&amp;sheet=U0&amp;row=4893&amp;col=7&amp;number=0.0148&amp;sourceID=14","0.0148")</f>
        <v>0.0148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HYPERLINK("http://141.218.60.56/~jnz1568/getInfo.php?workbook=18_08.xlsx&amp;sheet=U0&amp;row=4894&amp;col=6&amp;number=4&amp;sourceID=14","4")</f>
        <v>4</v>
      </c>
      <c r="G4894" s="4" t="str">
        <f>HYPERLINK("http://141.218.60.56/~jnz1568/getInfo.php?workbook=18_08.xlsx&amp;sheet=U0&amp;row=4894&amp;col=7&amp;number=0.0148&amp;sourceID=14","0.0148")</f>
        <v>0.0148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HYPERLINK("http://141.218.60.56/~jnz1568/getInfo.php?workbook=18_08.xlsx&amp;sheet=U0&amp;row=4895&amp;col=6&amp;number=4.1&amp;sourceID=14","4.1")</f>
        <v>4.1</v>
      </c>
      <c r="G4895" s="4" t="str">
        <f>HYPERLINK("http://141.218.60.56/~jnz1568/getInfo.php?workbook=18_08.xlsx&amp;sheet=U0&amp;row=4895&amp;col=7&amp;number=0.0149&amp;sourceID=14","0.0149")</f>
        <v>0.0149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HYPERLINK("http://141.218.60.56/~jnz1568/getInfo.php?workbook=18_08.xlsx&amp;sheet=U0&amp;row=4896&amp;col=6&amp;number=4.2&amp;sourceID=14","4.2")</f>
        <v>4.2</v>
      </c>
      <c r="G4896" s="4" t="str">
        <f>HYPERLINK("http://141.218.60.56/~jnz1568/getInfo.php?workbook=18_08.xlsx&amp;sheet=U0&amp;row=4896&amp;col=7&amp;number=0.0149&amp;sourceID=14","0.0149")</f>
        <v>0.0149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HYPERLINK("http://141.218.60.56/~jnz1568/getInfo.php?workbook=18_08.xlsx&amp;sheet=U0&amp;row=4897&amp;col=6&amp;number=4.3&amp;sourceID=14","4.3")</f>
        <v>4.3</v>
      </c>
      <c r="G4897" s="4" t="str">
        <f>HYPERLINK("http://141.218.60.56/~jnz1568/getInfo.php?workbook=18_08.xlsx&amp;sheet=U0&amp;row=4897&amp;col=7&amp;number=0.0149&amp;sourceID=14","0.0149")</f>
        <v>0.0149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HYPERLINK("http://141.218.60.56/~jnz1568/getInfo.php?workbook=18_08.xlsx&amp;sheet=U0&amp;row=4898&amp;col=6&amp;number=4.4&amp;sourceID=14","4.4")</f>
        <v>4.4</v>
      </c>
      <c r="G4898" s="4" t="str">
        <f>HYPERLINK("http://141.218.60.56/~jnz1568/getInfo.php?workbook=18_08.xlsx&amp;sheet=U0&amp;row=4898&amp;col=7&amp;number=0.0149&amp;sourceID=14","0.0149")</f>
        <v>0.0149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HYPERLINK("http://141.218.60.56/~jnz1568/getInfo.php?workbook=18_08.xlsx&amp;sheet=U0&amp;row=4899&amp;col=6&amp;number=4.5&amp;sourceID=14","4.5")</f>
        <v>4.5</v>
      </c>
      <c r="G4899" s="4" t="str">
        <f>HYPERLINK("http://141.218.60.56/~jnz1568/getInfo.php?workbook=18_08.xlsx&amp;sheet=U0&amp;row=4899&amp;col=7&amp;number=0.0149&amp;sourceID=14","0.0149")</f>
        <v>0.0149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HYPERLINK("http://141.218.60.56/~jnz1568/getInfo.php?workbook=18_08.xlsx&amp;sheet=U0&amp;row=4900&amp;col=6&amp;number=4.6&amp;sourceID=14","4.6")</f>
        <v>4.6</v>
      </c>
      <c r="G4900" s="4" t="str">
        <f>HYPERLINK("http://141.218.60.56/~jnz1568/getInfo.php?workbook=18_08.xlsx&amp;sheet=U0&amp;row=4900&amp;col=7&amp;number=0.015&amp;sourceID=14","0.015")</f>
        <v>0.015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HYPERLINK("http://141.218.60.56/~jnz1568/getInfo.php?workbook=18_08.xlsx&amp;sheet=U0&amp;row=4901&amp;col=6&amp;number=4.7&amp;sourceID=14","4.7")</f>
        <v>4.7</v>
      </c>
      <c r="G4901" s="4" t="str">
        <f>HYPERLINK("http://141.218.60.56/~jnz1568/getInfo.php?workbook=18_08.xlsx&amp;sheet=U0&amp;row=4901&amp;col=7&amp;number=0.015&amp;sourceID=14","0.015")</f>
        <v>0.015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HYPERLINK("http://141.218.60.56/~jnz1568/getInfo.php?workbook=18_08.xlsx&amp;sheet=U0&amp;row=4902&amp;col=6&amp;number=4.8&amp;sourceID=14","4.8")</f>
        <v>4.8</v>
      </c>
      <c r="G4902" s="4" t="str">
        <f>HYPERLINK("http://141.218.60.56/~jnz1568/getInfo.php?workbook=18_08.xlsx&amp;sheet=U0&amp;row=4902&amp;col=7&amp;number=0.015&amp;sourceID=14","0.015")</f>
        <v>0.015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HYPERLINK("http://141.218.60.56/~jnz1568/getInfo.php?workbook=18_08.xlsx&amp;sheet=U0&amp;row=4903&amp;col=6&amp;number=4.9&amp;sourceID=14","4.9")</f>
        <v>4.9</v>
      </c>
      <c r="G4903" s="4" t="str">
        <f>HYPERLINK("http://141.218.60.56/~jnz1568/getInfo.php?workbook=18_08.xlsx&amp;sheet=U0&amp;row=4903&amp;col=7&amp;number=0.0151&amp;sourceID=14","0.0151")</f>
        <v>0.0151</v>
      </c>
    </row>
    <row r="4904" spans="1:7">
      <c r="A4904" s="3">
        <v>18</v>
      </c>
      <c r="B4904" s="3">
        <v>8</v>
      </c>
      <c r="C4904" s="3" t="s">
        <v>69</v>
      </c>
      <c r="D4904" s="3">
        <v>0</v>
      </c>
      <c r="E4904" s="3">
        <v>1</v>
      </c>
      <c r="F4904" s="4" t="str">
        <f>HYPERLINK("http://141.218.60.56/~jnz1568/getInfo.php?workbook=18_08.xlsx&amp;sheet=U0&amp;row=4904&amp;col=6&amp;number=3&amp;sourceID=14","3")</f>
        <v>3</v>
      </c>
      <c r="G4904" s="4" t="str">
        <f>HYPERLINK("http://141.218.60.56/~jnz1568/getInfo.php?workbook=18_08.xlsx&amp;sheet=U0&amp;row=4904&amp;col=7&amp;number=0.00209&amp;sourceID=14","0.00209")</f>
        <v>0.00209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HYPERLINK("http://141.218.60.56/~jnz1568/getInfo.php?workbook=18_08.xlsx&amp;sheet=U0&amp;row=4905&amp;col=6&amp;number=3.1&amp;sourceID=14","3.1")</f>
        <v>3.1</v>
      </c>
      <c r="G4905" s="4" t="str">
        <f>HYPERLINK("http://141.218.60.56/~jnz1568/getInfo.php?workbook=18_08.xlsx&amp;sheet=U0&amp;row=4905&amp;col=7&amp;number=0.00209&amp;sourceID=14","0.00209")</f>
        <v>0.00209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HYPERLINK("http://141.218.60.56/~jnz1568/getInfo.php?workbook=18_08.xlsx&amp;sheet=U0&amp;row=4906&amp;col=6&amp;number=3.2&amp;sourceID=14","3.2")</f>
        <v>3.2</v>
      </c>
      <c r="G4906" s="4" t="str">
        <f>HYPERLINK("http://141.218.60.56/~jnz1568/getInfo.php?workbook=18_08.xlsx&amp;sheet=U0&amp;row=4906&amp;col=7&amp;number=0.00209&amp;sourceID=14","0.00209")</f>
        <v>0.00209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HYPERLINK("http://141.218.60.56/~jnz1568/getInfo.php?workbook=18_08.xlsx&amp;sheet=U0&amp;row=4907&amp;col=6&amp;number=3.3&amp;sourceID=14","3.3")</f>
        <v>3.3</v>
      </c>
      <c r="G4907" s="4" t="str">
        <f>HYPERLINK("http://141.218.60.56/~jnz1568/getInfo.php?workbook=18_08.xlsx&amp;sheet=U0&amp;row=4907&amp;col=7&amp;number=0.00209&amp;sourceID=14","0.00209")</f>
        <v>0.00209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HYPERLINK("http://141.218.60.56/~jnz1568/getInfo.php?workbook=18_08.xlsx&amp;sheet=U0&amp;row=4908&amp;col=6&amp;number=3.4&amp;sourceID=14","3.4")</f>
        <v>3.4</v>
      </c>
      <c r="G4908" s="4" t="str">
        <f>HYPERLINK("http://141.218.60.56/~jnz1568/getInfo.php?workbook=18_08.xlsx&amp;sheet=U0&amp;row=4908&amp;col=7&amp;number=0.00209&amp;sourceID=14","0.00209")</f>
        <v>0.00209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HYPERLINK("http://141.218.60.56/~jnz1568/getInfo.php?workbook=18_08.xlsx&amp;sheet=U0&amp;row=4909&amp;col=6&amp;number=3.5&amp;sourceID=14","3.5")</f>
        <v>3.5</v>
      </c>
      <c r="G4909" s="4" t="str">
        <f>HYPERLINK("http://141.218.60.56/~jnz1568/getInfo.php?workbook=18_08.xlsx&amp;sheet=U0&amp;row=4909&amp;col=7&amp;number=0.00209&amp;sourceID=14","0.00209")</f>
        <v>0.00209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HYPERLINK("http://141.218.60.56/~jnz1568/getInfo.php?workbook=18_08.xlsx&amp;sheet=U0&amp;row=4910&amp;col=6&amp;number=3.6&amp;sourceID=14","3.6")</f>
        <v>3.6</v>
      </c>
      <c r="G4910" s="4" t="str">
        <f>HYPERLINK("http://141.218.60.56/~jnz1568/getInfo.php?workbook=18_08.xlsx&amp;sheet=U0&amp;row=4910&amp;col=7&amp;number=0.00209&amp;sourceID=14","0.00209")</f>
        <v>0.00209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HYPERLINK("http://141.218.60.56/~jnz1568/getInfo.php?workbook=18_08.xlsx&amp;sheet=U0&amp;row=4911&amp;col=6&amp;number=3.7&amp;sourceID=14","3.7")</f>
        <v>3.7</v>
      </c>
      <c r="G4911" s="4" t="str">
        <f>HYPERLINK("http://141.218.60.56/~jnz1568/getInfo.php?workbook=18_08.xlsx&amp;sheet=U0&amp;row=4911&amp;col=7&amp;number=0.00209&amp;sourceID=14","0.00209")</f>
        <v>0.00209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HYPERLINK("http://141.218.60.56/~jnz1568/getInfo.php?workbook=18_08.xlsx&amp;sheet=U0&amp;row=4912&amp;col=6&amp;number=3.8&amp;sourceID=14","3.8")</f>
        <v>3.8</v>
      </c>
      <c r="G4912" s="4" t="str">
        <f>HYPERLINK("http://141.218.60.56/~jnz1568/getInfo.php?workbook=18_08.xlsx&amp;sheet=U0&amp;row=4912&amp;col=7&amp;number=0.00209&amp;sourceID=14","0.00209")</f>
        <v>0.00209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HYPERLINK("http://141.218.60.56/~jnz1568/getInfo.php?workbook=18_08.xlsx&amp;sheet=U0&amp;row=4913&amp;col=6&amp;number=3.9&amp;sourceID=14","3.9")</f>
        <v>3.9</v>
      </c>
      <c r="G4913" s="4" t="str">
        <f>HYPERLINK("http://141.218.60.56/~jnz1568/getInfo.php?workbook=18_08.xlsx&amp;sheet=U0&amp;row=4913&amp;col=7&amp;number=0.00208&amp;sourceID=14","0.00208")</f>
        <v>0.00208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HYPERLINK("http://141.218.60.56/~jnz1568/getInfo.php?workbook=18_08.xlsx&amp;sheet=U0&amp;row=4914&amp;col=6&amp;number=4&amp;sourceID=14","4")</f>
        <v>4</v>
      </c>
      <c r="G4914" s="4" t="str">
        <f>HYPERLINK("http://141.218.60.56/~jnz1568/getInfo.php?workbook=18_08.xlsx&amp;sheet=U0&amp;row=4914&amp;col=7&amp;number=0.00208&amp;sourceID=14","0.00208")</f>
        <v>0.00208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HYPERLINK("http://141.218.60.56/~jnz1568/getInfo.php?workbook=18_08.xlsx&amp;sheet=U0&amp;row=4915&amp;col=6&amp;number=4.1&amp;sourceID=14","4.1")</f>
        <v>4.1</v>
      </c>
      <c r="G4915" s="4" t="str">
        <f>HYPERLINK("http://141.218.60.56/~jnz1568/getInfo.php?workbook=18_08.xlsx&amp;sheet=U0&amp;row=4915&amp;col=7&amp;number=0.00208&amp;sourceID=14","0.00208")</f>
        <v>0.00208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HYPERLINK("http://141.218.60.56/~jnz1568/getInfo.php?workbook=18_08.xlsx&amp;sheet=U0&amp;row=4916&amp;col=6&amp;number=4.2&amp;sourceID=14","4.2")</f>
        <v>4.2</v>
      </c>
      <c r="G4916" s="4" t="str">
        <f>HYPERLINK("http://141.218.60.56/~jnz1568/getInfo.php?workbook=18_08.xlsx&amp;sheet=U0&amp;row=4916&amp;col=7&amp;number=0.00208&amp;sourceID=14","0.00208")</f>
        <v>0.00208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HYPERLINK("http://141.218.60.56/~jnz1568/getInfo.php?workbook=18_08.xlsx&amp;sheet=U0&amp;row=4917&amp;col=6&amp;number=4.3&amp;sourceID=14","4.3")</f>
        <v>4.3</v>
      </c>
      <c r="G4917" s="4" t="str">
        <f>HYPERLINK("http://141.218.60.56/~jnz1568/getInfo.php?workbook=18_08.xlsx&amp;sheet=U0&amp;row=4917&amp;col=7&amp;number=0.00208&amp;sourceID=14","0.00208")</f>
        <v>0.00208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HYPERLINK("http://141.218.60.56/~jnz1568/getInfo.php?workbook=18_08.xlsx&amp;sheet=U0&amp;row=4918&amp;col=6&amp;number=4.4&amp;sourceID=14","4.4")</f>
        <v>4.4</v>
      </c>
      <c r="G4918" s="4" t="str">
        <f>HYPERLINK("http://141.218.60.56/~jnz1568/getInfo.php?workbook=18_08.xlsx&amp;sheet=U0&amp;row=4918&amp;col=7&amp;number=0.00208&amp;sourceID=14","0.00208")</f>
        <v>0.00208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HYPERLINK("http://141.218.60.56/~jnz1568/getInfo.php?workbook=18_08.xlsx&amp;sheet=U0&amp;row=4919&amp;col=6&amp;number=4.5&amp;sourceID=14","4.5")</f>
        <v>4.5</v>
      </c>
      <c r="G4919" s="4" t="str">
        <f>HYPERLINK("http://141.218.60.56/~jnz1568/getInfo.php?workbook=18_08.xlsx&amp;sheet=U0&amp;row=4919&amp;col=7&amp;number=0.00207&amp;sourceID=14","0.00207")</f>
        <v>0.00207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HYPERLINK("http://141.218.60.56/~jnz1568/getInfo.php?workbook=18_08.xlsx&amp;sheet=U0&amp;row=4920&amp;col=6&amp;number=4.6&amp;sourceID=14","4.6")</f>
        <v>4.6</v>
      </c>
      <c r="G4920" s="4" t="str">
        <f>HYPERLINK("http://141.218.60.56/~jnz1568/getInfo.php?workbook=18_08.xlsx&amp;sheet=U0&amp;row=4920&amp;col=7&amp;number=0.00207&amp;sourceID=14","0.00207")</f>
        <v>0.00207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HYPERLINK("http://141.218.60.56/~jnz1568/getInfo.php?workbook=18_08.xlsx&amp;sheet=U0&amp;row=4921&amp;col=6&amp;number=4.7&amp;sourceID=14","4.7")</f>
        <v>4.7</v>
      </c>
      <c r="G4921" s="4" t="str">
        <f>HYPERLINK("http://141.218.60.56/~jnz1568/getInfo.php?workbook=18_08.xlsx&amp;sheet=U0&amp;row=4921&amp;col=7&amp;number=0.00206&amp;sourceID=14","0.00206")</f>
        <v>0.00206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HYPERLINK("http://141.218.60.56/~jnz1568/getInfo.php?workbook=18_08.xlsx&amp;sheet=U0&amp;row=4922&amp;col=6&amp;number=4.8&amp;sourceID=14","4.8")</f>
        <v>4.8</v>
      </c>
      <c r="G4922" s="4" t="str">
        <f>HYPERLINK("http://141.218.60.56/~jnz1568/getInfo.php?workbook=18_08.xlsx&amp;sheet=U0&amp;row=4922&amp;col=7&amp;number=0.00206&amp;sourceID=14","0.00206")</f>
        <v>0.00206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HYPERLINK("http://141.218.60.56/~jnz1568/getInfo.php?workbook=18_08.xlsx&amp;sheet=U0&amp;row=4923&amp;col=6&amp;number=4.9&amp;sourceID=14","4.9")</f>
        <v>4.9</v>
      </c>
      <c r="G4923" s="4" t="str">
        <f>HYPERLINK("http://141.218.60.56/~jnz1568/getInfo.php?workbook=18_08.xlsx&amp;sheet=U0&amp;row=4923&amp;col=7&amp;number=0.00205&amp;sourceID=14","0.00205")</f>
        <v>0.00205</v>
      </c>
    </row>
    <row r="4924" spans="1:7">
      <c r="A4924" s="3">
        <v>18</v>
      </c>
      <c r="B4924" s="3">
        <v>8</v>
      </c>
      <c r="C4924" s="3" t="s">
        <v>69</v>
      </c>
      <c r="D4924" s="3">
        <v>1</v>
      </c>
      <c r="E4924" s="3">
        <v>1</v>
      </c>
      <c r="F4924" s="4" t="str">
        <f>HYPERLINK("http://141.218.60.56/~jnz1568/getInfo.php?workbook=18_08.xlsx&amp;sheet=U0&amp;row=4924&amp;col=6&amp;number=3&amp;sourceID=14","3")</f>
        <v>3</v>
      </c>
      <c r="G4924" s="4" t="str">
        <f>HYPERLINK("http://141.218.60.56/~jnz1568/getInfo.php?workbook=18_08.xlsx&amp;sheet=U0&amp;row=4924&amp;col=7&amp;number=0.00437&amp;sourceID=14","0.00437")</f>
        <v>0.00437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HYPERLINK("http://141.218.60.56/~jnz1568/getInfo.php?workbook=18_08.xlsx&amp;sheet=U0&amp;row=4925&amp;col=6&amp;number=3.1&amp;sourceID=14","3.1")</f>
        <v>3.1</v>
      </c>
      <c r="G4925" s="4" t="str">
        <f>HYPERLINK("http://141.218.60.56/~jnz1568/getInfo.php?workbook=18_08.xlsx&amp;sheet=U0&amp;row=4925&amp;col=7&amp;number=0.00437&amp;sourceID=14","0.00437")</f>
        <v>0.00437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HYPERLINK("http://141.218.60.56/~jnz1568/getInfo.php?workbook=18_08.xlsx&amp;sheet=U0&amp;row=4926&amp;col=6&amp;number=3.2&amp;sourceID=14","3.2")</f>
        <v>3.2</v>
      </c>
      <c r="G4926" s="4" t="str">
        <f>HYPERLINK("http://141.218.60.56/~jnz1568/getInfo.php?workbook=18_08.xlsx&amp;sheet=U0&amp;row=4926&amp;col=7&amp;number=0.00437&amp;sourceID=14","0.00437")</f>
        <v>0.00437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HYPERLINK("http://141.218.60.56/~jnz1568/getInfo.php?workbook=18_08.xlsx&amp;sheet=U0&amp;row=4927&amp;col=6&amp;number=3.3&amp;sourceID=14","3.3")</f>
        <v>3.3</v>
      </c>
      <c r="G4927" s="4" t="str">
        <f>HYPERLINK("http://141.218.60.56/~jnz1568/getInfo.php?workbook=18_08.xlsx&amp;sheet=U0&amp;row=4927&amp;col=7&amp;number=0.00437&amp;sourceID=14","0.00437")</f>
        <v>0.00437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HYPERLINK("http://141.218.60.56/~jnz1568/getInfo.php?workbook=18_08.xlsx&amp;sheet=U0&amp;row=4928&amp;col=6&amp;number=3.4&amp;sourceID=14","3.4")</f>
        <v>3.4</v>
      </c>
      <c r="G4928" s="4" t="str">
        <f>HYPERLINK("http://141.218.60.56/~jnz1568/getInfo.php?workbook=18_08.xlsx&amp;sheet=U0&amp;row=4928&amp;col=7&amp;number=0.00437&amp;sourceID=14","0.00437")</f>
        <v>0.00437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HYPERLINK("http://141.218.60.56/~jnz1568/getInfo.php?workbook=18_08.xlsx&amp;sheet=U0&amp;row=4929&amp;col=6&amp;number=3.5&amp;sourceID=14","3.5")</f>
        <v>3.5</v>
      </c>
      <c r="G4929" s="4" t="str">
        <f>HYPERLINK("http://141.218.60.56/~jnz1568/getInfo.php?workbook=18_08.xlsx&amp;sheet=U0&amp;row=4929&amp;col=7&amp;number=0.00437&amp;sourceID=14","0.00437")</f>
        <v>0.00437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HYPERLINK("http://141.218.60.56/~jnz1568/getInfo.php?workbook=18_08.xlsx&amp;sheet=U0&amp;row=4930&amp;col=6&amp;number=3.6&amp;sourceID=14","3.6")</f>
        <v>3.6</v>
      </c>
      <c r="G4930" s="4" t="str">
        <f>HYPERLINK("http://141.218.60.56/~jnz1568/getInfo.php?workbook=18_08.xlsx&amp;sheet=U0&amp;row=4930&amp;col=7&amp;number=0.00437&amp;sourceID=14","0.00437")</f>
        <v>0.00437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HYPERLINK("http://141.218.60.56/~jnz1568/getInfo.php?workbook=18_08.xlsx&amp;sheet=U0&amp;row=4931&amp;col=6&amp;number=3.7&amp;sourceID=14","3.7")</f>
        <v>3.7</v>
      </c>
      <c r="G4931" s="4" t="str">
        <f>HYPERLINK("http://141.218.60.56/~jnz1568/getInfo.php?workbook=18_08.xlsx&amp;sheet=U0&amp;row=4931&amp;col=7&amp;number=0.00437&amp;sourceID=14","0.00437")</f>
        <v>0.00437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HYPERLINK("http://141.218.60.56/~jnz1568/getInfo.php?workbook=18_08.xlsx&amp;sheet=U0&amp;row=4932&amp;col=6&amp;number=3.8&amp;sourceID=14","3.8")</f>
        <v>3.8</v>
      </c>
      <c r="G4932" s="4" t="str">
        <f>HYPERLINK("http://141.218.60.56/~jnz1568/getInfo.php?workbook=18_08.xlsx&amp;sheet=U0&amp;row=4932&amp;col=7&amp;number=0.00436&amp;sourceID=14","0.00436")</f>
        <v>0.00436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HYPERLINK("http://141.218.60.56/~jnz1568/getInfo.php?workbook=18_08.xlsx&amp;sheet=U0&amp;row=4933&amp;col=6&amp;number=3.9&amp;sourceID=14","3.9")</f>
        <v>3.9</v>
      </c>
      <c r="G4933" s="4" t="str">
        <f>HYPERLINK("http://141.218.60.56/~jnz1568/getInfo.php?workbook=18_08.xlsx&amp;sheet=U0&amp;row=4933&amp;col=7&amp;number=0.00436&amp;sourceID=14","0.00436")</f>
        <v>0.00436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HYPERLINK("http://141.218.60.56/~jnz1568/getInfo.php?workbook=18_08.xlsx&amp;sheet=U0&amp;row=4934&amp;col=6&amp;number=4&amp;sourceID=14","4")</f>
        <v>4</v>
      </c>
      <c r="G4934" s="4" t="str">
        <f>HYPERLINK("http://141.218.60.56/~jnz1568/getInfo.php?workbook=18_08.xlsx&amp;sheet=U0&amp;row=4934&amp;col=7&amp;number=0.00436&amp;sourceID=14","0.00436")</f>
        <v>0.00436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HYPERLINK("http://141.218.60.56/~jnz1568/getInfo.php?workbook=18_08.xlsx&amp;sheet=U0&amp;row=4935&amp;col=6&amp;number=4.1&amp;sourceID=14","4.1")</f>
        <v>4.1</v>
      </c>
      <c r="G4935" s="4" t="str">
        <f>HYPERLINK("http://141.218.60.56/~jnz1568/getInfo.php?workbook=18_08.xlsx&amp;sheet=U0&amp;row=4935&amp;col=7&amp;number=0.00436&amp;sourceID=14","0.00436")</f>
        <v>0.00436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HYPERLINK("http://141.218.60.56/~jnz1568/getInfo.php?workbook=18_08.xlsx&amp;sheet=U0&amp;row=4936&amp;col=6&amp;number=4.2&amp;sourceID=14","4.2")</f>
        <v>4.2</v>
      </c>
      <c r="G4936" s="4" t="str">
        <f>HYPERLINK("http://141.218.60.56/~jnz1568/getInfo.php?workbook=18_08.xlsx&amp;sheet=U0&amp;row=4936&amp;col=7&amp;number=0.00435&amp;sourceID=14","0.00435")</f>
        <v>0.00435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HYPERLINK("http://141.218.60.56/~jnz1568/getInfo.php?workbook=18_08.xlsx&amp;sheet=U0&amp;row=4937&amp;col=6&amp;number=4.3&amp;sourceID=14","4.3")</f>
        <v>4.3</v>
      </c>
      <c r="G4937" s="4" t="str">
        <f>HYPERLINK("http://141.218.60.56/~jnz1568/getInfo.php?workbook=18_08.xlsx&amp;sheet=U0&amp;row=4937&amp;col=7&amp;number=0.00435&amp;sourceID=14","0.00435")</f>
        <v>0.00435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HYPERLINK("http://141.218.60.56/~jnz1568/getInfo.php?workbook=18_08.xlsx&amp;sheet=U0&amp;row=4938&amp;col=6&amp;number=4.4&amp;sourceID=14","4.4")</f>
        <v>4.4</v>
      </c>
      <c r="G4938" s="4" t="str">
        <f>HYPERLINK("http://141.218.60.56/~jnz1568/getInfo.php?workbook=18_08.xlsx&amp;sheet=U0&amp;row=4938&amp;col=7&amp;number=0.00434&amp;sourceID=14","0.00434")</f>
        <v>0.00434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HYPERLINK("http://141.218.60.56/~jnz1568/getInfo.php?workbook=18_08.xlsx&amp;sheet=U0&amp;row=4939&amp;col=6&amp;number=4.5&amp;sourceID=14","4.5")</f>
        <v>4.5</v>
      </c>
      <c r="G4939" s="4" t="str">
        <f>HYPERLINK("http://141.218.60.56/~jnz1568/getInfo.php?workbook=18_08.xlsx&amp;sheet=U0&amp;row=4939&amp;col=7&amp;number=0.00433&amp;sourceID=14","0.00433")</f>
        <v>0.00433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HYPERLINK("http://141.218.60.56/~jnz1568/getInfo.php?workbook=18_08.xlsx&amp;sheet=U0&amp;row=4940&amp;col=6&amp;number=4.6&amp;sourceID=14","4.6")</f>
        <v>4.6</v>
      </c>
      <c r="G4940" s="4" t="str">
        <f>HYPERLINK("http://141.218.60.56/~jnz1568/getInfo.php?workbook=18_08.xlsx&amp;sheet=U0&amp;row=4940&amp;col=7&amp;number=0.00432&amp;sourceID=14","0.00432")</f>
        <v>0.00432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HYPERLINK("http://141.218.60.56/~jnz1568/getInfo.php?workbook=18_08.xlsx&amp;sheet=U0&amp;row=4941&amp;col=6&amp;number=4.7&amp;sourceID=14","4.7")</f>
        <v>4.7</v>
      </c>
      <c r="G4941" s="4" t="str">
        <f>HYPERLINK("http://141.218.60.56/~jnz1568/getInfo.php?workbook=18_08.xlsx&amp;sheet=U0&amp;row=4941&amp;col=7&amp;number=0.00431&amp;sourceID=14","0.00431")</f>
        <v>0.00431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HYPERLINK("http://141.218.60.56/~jnz1568/getInfo.php?workbook=18_08.xlsx&amp;sheet=U0&amp;row=4942&amp;col=6&amp;number=4.8&amp;sourceID=14","4.8")</f>
        <v>4.8</v>
      </c>
      <c r="G4942" s="4" t="str">
        <f>HYPERLINK("http://141.218.60.56/~jnz1568/getInfo.php?workbook=18_08.xlsx&amp;sheet=U0&amp;row=4942&amp;col=7&amp;number=0.0043&amp;sourceID=14","0.0043")</f>
        <v>0.0043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HYPERLINK("http://141.218.60.56/~jnz1568/getInfo.php?workbook=18_08.xlsx&amp;sheet=U0&amp;row=4943&amp;col=6&amp;number=4.9&amp;sourceID=14","4.9")</f>
        <v>4.9</v>
      </c>
      <c r="G4943" s="4" t="str">
        <f>HYPERLINK("http://141.218.60.56/~jnz1568/getInfo.php?workbook=18_08.xlsx&amp;sheet=U0&amp;row=4943&amp;col=7&amp;number=0.00428&amp;sourceID=14","0.00428")</f>
        <v>0.00428</v>
      </c>
    </row>
    <row r="4944" spans="1:7">
      <c r="A4944" s="3">
        <v>18</v>
      </c>
      <c r="B4944" s="3">
        <v>8</v>
      </c>
      <c r="C4944" s="3" t="s">
        <v>69</v>
      </c>
      <c r="D4944" s="3">
        <v>2</v>
      </c>
      <c r="E4944" s="3">
        <v>1</v>
      </c>
      <c r="F4944" s="4" t="str">
        <f>HYPERLINK("http://141.218.60.56/~jnz1568/getInfo.php?workbook=18_08.xlsx&amp;sheet=U0&amp;row=4944&amp;col=6&amp;number=3&amp;sourceID=14","3")</f>
        <v>3</v>
      </c>
      <c r="G4944" s="4" t="str">
        <f>HYPERLINK("http://141.218.60.56/~jnz1568/getInfo.php?workbook=18_08.xlsx&amp;sheet=U0&amp;row=4944&amp;col=7&amp;number=0.00124&amp;sourceID=14","0.00124")</f>
        <v>0.00124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HYPERLINK("http://141.218.60.56/~jnz1568/getInfo.php?workbook=18_08.xlsx&amp;sheet=U0&amp;row=4945&amp;col=6&amp;number=3.1&amp;sourceID=14","3.1")</f>
        <v>3.1</v>
      </c>
      <c r="G4945" s="4" t="str">
        <f>HYPERLINK("http://141.218.60.56/~jnz1568/getInfo.php?workbook=18_08.xlsx&amp;sheet=U0&amp;row=4945&amp;col=7&amp;number=0.00124&amp;sourceID=14","0.00124")</f>
        <v>0.00124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HYPERLINK("http://141.218.60.56/~jnz1568/getInfo.php?workbook=18_08.xlsx&amp;sheet=U0&amp;row=4946&amp;col=6&amp;number=3.2&amp;sourceID=14","3.2")</f>
        <v>3.2</v>
      </c>
      <c r="G4946" s="4" t="str">
        <f>HYPERLINK("http://141.218.60.56/~jnz1568/getInfo.php?workbook=18_08.xlsx&amp;sheet=U0&amp;row=4946&amp;col=7&amp;number=0.00124&amp;sourceID=14","0.00124")</f>
        <v>0.00124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HYPERLINK("http://141.218.60.56/~jnz1568/getInfo.php?workbook=18_08.xlsx&amp;sheet=U0&amp;row=4947&amp;col=6&amp;number=3.3&amp;sourceID=14","3.3")</f>
        <v>3.3</v>
      </c>
      <c r="G4947" s="4" t="str">
        <f>HYPERLINK("http://141.218.60.56/~jnz1568/getInfo.php?workbook=18_08.xlsx&amp;sheet=U0&amp;row=4947&amp;col=7&amp;number=0.00124&amp;sourceID=14","0.00124")</f>
        <v>0.00124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HYPERLINK("http://141.218.60.56/~jnz1568/getInfo.php?workbook=18_08.xlsx&amp;sheet=U0&amp;row=4948&amp;col=6&amp;number=3.4&amp;sourceID=14","3.4")</f>
        <v>3.4</v>
      </c>
      <c r="G4948" s="4" t="str">
        <f>HYPERLINK("http://141.218.60.56/~jnz1568/getInfo.php?workbook=18_08.xlsx&amp;sheet=U0&amp;row=4948&amp;col=7&amp;number=0.00124&amp;sourceID=14","0.00124")</f>
        <v>0.00124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HYPERLINK("http://141.218.60.56/~jnz1568/getInfo.php?workbook=18_08.xlsx&amp;sheet=U0&amp;row=4949&amp;col=6&amp;number=3.5&amp;sourceID=14","3.5")</f>
        <v>3.5</v>
      </c>
      <c r="G4949" s="4" t="str">
        <f>HYPERLINK("http://141.218.60.56/~jnz1568/getInfo.php?workbook=18_08.xlsx&amp;sheet=U0&amp;row=4949&amp;col=7&amp;number=0.00124&amp;sourceID=14","0.00124")</f>
        <v>0.00124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HYPERLINK("http://141.218.60.56/~jnz1568/getInfo.php?workbook=18_08.xlsx&amp;sheet=U0&amp;row=4950&amp;col=6&amp;number=3.6&amp;sourceID=14","3.6")</f>
        <v>3.6</v>
      </c>
      <c r="G4950" s="4" t="str">
        <f>HYPERLINK("http://141.218.60.56/~jnz1568/getInfo.php?workbook=18_08.xlsx&amp;sheet=U0&amp;row=4950&amp;col=7&amp;number=0.00124&amp;sourceID=14","0.00124")</f>
        <v>0.00124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HYPERLINK("http://141.218.60.56/~jnz1568/getInfo.php?workbook=18_08.xlsx&amp;sheet=U0&amp;row=4951&amp;col=6&amp;number=3.7&amp;sourceID=14","3.7")</f>
        <v>3.7</v>
      </c>
      <c r="G4951" s="4" t="str">
        <f>HYPERLINK("http://141.218.60.56/~jnz1568/getInfo.php?workbook=18_08.xlsx&amp;sheet=U0&amp;row=4951&amp;col=7&amp;number=0.00124&amp;sourceID=14","0.00124")</f>
        <v>0.00124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HYPERLINK("http://141.218.60.56/~jnz1568/getInfo.php?workbook=18_08.xlsx&amp;sheet=U0&amp;row=4952&amp;col=6&amp;number=3.8&amp;sourceID=14","3.8")</f>
        <v>3.8</v>
      </c>
      <c r="G4952" s="4" t="str">
        <f>HYPERLINK("http://141.218.60.56/~jnz1568/getInfo.php?workbook=18_08.xlsx&amp;sheet=U0&amp;row=4952&amp;col=7&amp;number=0.00124&amp;sourceID=14","0.00124")</f>
        <v>0.00124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HYPERLINK("http://141.218.60.56/~jnz1568/getInfo.php?workbook=18_08.xlsx&amp;sheet=U0&amp;row=4953&amp;col=6&amp;number=3.9&amp;sourceID=14","3.9")</f>
        <v>3.9</v>
      </c>
      <c r="G4953" s="4" t="str">
        <f>HYPERLINK("http://141.218.60.56/~jnz1568/getInfo.php?workbook=18_08.xlsx&amp;sheet=U0&amp;row=4953&amp;col=7&amp;number=0.00124&amp;sourceID=14","0.00124")</f>
        <v>0.00124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HYPERLINK("http://141.218.60.56/~jnz1568/getInfo.php?workbook=18_08.xlsx&amp;sheet=U0&amp;row=4954&amp;col=6&amp;number=4&amp;sourceID=14","4")</f>
        <v>4</v>
      </c>
      <c r="G4954" s="4" t="str">
        <f>HYPERLINK("http://141.218.60.56/~jnz1568/getInfo.php?workbook=18_08.xlsx&amp;sheet=U0&amp;row=4954&amp;col=7&amp;number=0.00124&amp;sourceID=14","0.00124")</f>
        <v>0.00124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HYPERLINK("http://141.218.60.56/~jnz1568/getInfo.php?workbook=18_08.xlsx&amp;sheet=U0&amp;row=4955&amp;col=6&amp;number=4.1&amp;sourceID=14","4.1")</f>
        <v>4.1</v>
      </c>
      <c r="G4955" s="4" t="str">
        <f>HYPERLINK("http://141.218.60.56/~jnz1568/getInfo.php?workbook=18_08.xlsx&amp;sheet=U0&amp;row=4955&amp;col=7&amp;number=0.00124&amp;sourceID=14","0.00124")</f>
        <v>0.00124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HYPERLINK("http://141.218.60.56/~jnz1568/getInfo.php?workbook=18_08.xlsx&amp;sheet=U0&amp;row=4956&amp;col=6&amp;number=4.2&amp;sourceID=14","4.2")</f>
        <v>4.2</v>
      </c>
      <c r="G4956" s="4" t="str">
        <f>HYPERLINK("http://141.218.60.56/~jnz1568/getInfo.php?workbook=18_08.xlsx&amp;sheet=U0&amp;row=4956&amp;col=7&amp;number=0.00124&amp;sourceID=14","0.00124")</f>
        <v>0.00124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HYPERLINK("http://141.218.60.56/~jnz1568/getInfo.php?workbook=18_08.xlsx&amp;sheet=U0&amp;row=4957&amp;col=6&amp;number=4.3&amp;sourceID=14","4.3")</f>
        <v>4.3</v>
      </c>
      <c r="G4957" s="4" t="str">
        <f>HYPERLINK("http://141.218.60.56/~jnz1568/getInfo.php?workbook=18_08.xlsx&amp;sheet=U0&amp;row=4957&amp;col=7&amp;number=0.00123&amp;sourceID=14","0.00123")</f>
        <v>0.00123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HYPERLINK("http://141.218.60.56/~jnz1568/getInfo.php?workbook=18_08.xlsx&amp;sheet=U0&amp;row=4958&amp;col=6&amp;number=4.4&amp;sourceID=14","4.4")</f>
        <v>4.4</v>
      </c>
      <c r="G4958" s="4" t="str">
        <f>HYPERLINK("http://141.218.60.56/~jnz1568/getInfo.php?workbook=18_08.xlsx&amp;sheet=U0&amp;row=4958&amp;col=7&amp;number=0.00123&amp;sourceID=14","0.00123")</f>
        <v>0.00123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HYPERLINK("http://141.218.60.56/~jnz1568/getInfo.php?workbook=18_08.xlsx&amp;sheet=U0&amp;row=4959&amp;col=6&amp;number=4.5&amp;sourceID=14","4.5")</f>
        <v>4.5</v>
      </c>
      <c r="G4959" s="4" t="str">
        <f>HYPERLINK("http://141.218.60.56/~jnz1568/getInfo.php?workbook=18_08.xlsx&amp;sheet=U0&amp;row=4959&amp;col=7&amp;number=0.00123&amp;sourceID=14","0.00123")</f>
        <v>0.00123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HYPERLINK("http://141.218.60.56/~jnz1568/getInfo.php?workbook=18_08.xlsx&amp;sheet=U0&amp;row=4960&amp;col=6&amp;number=4.6&amp;sourceID=14","4.6")</f>
        <v>4.6</v>
      </c>
      <c r="G4960" s="4" t="str">
        <f>HYPERLINK("http://141.218.60.56/~jnz1568/getInfo.php?workbook=18_08.xlsx&amp;sheet=U0&amp;row=4960&amp;col=7&amp;number=0.00123&amp;sourceID=14","0.00123")</f>
        <v>0.00123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HYPERLINK("http://141.218.60.56/~jnz1568/getInfo.php?workbook=18_08.xlsx&amp;sheet=U0&amp;row=4961&amp;col=6&amp;number=4.7&amp;sourceID=14","4.7")</f>
        <v>4.7</v>
      </c>
      <c r="G4961" s="4" t="str">
        <f>HYPERLINK("http://141.218.60.56/~jnz1568/getInfo.php?workbook=18_08.xlsx&amp;sheet=U0&amp;row=4961&amp;col=7&amp;number=0.00123&amp;sourceID=14","0.00123")</f>
        <v>0.00123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HYPERLINK("http://141.218.60.56/~jnz1568/getInfo.php?workbook=18_08.xlsx&amp;sheet=U0&amp;row=4962&amp;col=6&amp;number=4.8&amp;sourceID=14","4.8")</f>
        <v>4.8</v>
      </c>
      <c r="G4962" s="4" t="str">
        <f>HYPERLINK("http://141.218.60.56/~jnz1568/getInfo.php?workbook=18_08.xlsx&amp;sheet=U0&amp;row=4962&amp;col=7&amp;number=0.00123&amp;sourceID=14","0.00123")</f>
        <v>0.00123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HYPERLINK("http://141.218.60.56/~jnz1568/getInfo.php?workbook=18_08.xlsx&amp;sheet=U0&amp;row=4963&amp;col=6&amp;number=4.9&amp;sourceID=14","4.9")</f>
        <v>4.9</v>
      </c>
      <c r="G4963" s="4" t="str">
        <f>HYPERLINK("http://141.218.60.56/~jnz1568/getInfo.php?workbook=18_08.xlsx&amp;sheet=U0&amp;row=4963&amp;col=7&amp;number=0.00122&amp;sourceID=14","0.00122")</f>
        <v>0.00122</v>
      </c>
    </row>
    <row r="4964" spans="1:7">
      <c r="A4964" s="3">
        <v>18</v>
      </c>
      <c r="B4964" s="3">
        <v>8</v>
      </c>
      <c r="C4964" s="3" t="s">
        <v>69</v>
      </c>
      <c r="D4964" s="3">
        <v>3</v>
      </c>
      <c r="E4964" s="3">
        <v>1</v>
      </c>
      <c r="F4964" s="4" t="str">
        <f>HYPERLINK("http://141.218.60.56/~jnz1568/getInfo.php?workbook=18_08.xlsx&amp;sheet=U0&amp;row=4964&amp;col=6&amp;number=3&amp;sourceID=14","3")</f>
        <v>3</v>
      </c>
      <c r="G4964" s="4" t="str">
        <f>HYPERLINK("http://141.218.60.56/~jnz1568/getInfo.php?workbook=18_08.xlsx&amp;sheet=U0&amp;row=4964&amp;col=7&amp;number=0.0466&amp;sourceID=14","0.0466")</f>
        <v>0.0466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HYPERLINK("http://141.218.60.56/~jnz1568/getInfo.php?workbook=18_08.xlsx&amp;sheet=U0&amp;row=4965&amp;col=6&amp;number=3.1&amp;sourceID=14","3.1")</f>
        <v>3.1</v>
      </c>
      <c r="G4965" s="4" t="str">
        <f>HYPERLINK("http://141.218.60.56/~jnz1568/getInfo.php?workbook=18_08.xlsx&amp;sheet=U0&amp;row=4965&amp;col=7&amp;number=0.0466&amp;sourceID=14","0.0466")</f>
        <v>0.0466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HYPERLINK("http://141.218.60.56/~jnz1568/getInfo.php?workbook=18_08.xlsx&amp;sheet=U0&amp;row=4966&amp;col=6&amp;number=3.2&amp;sourceID=14","3.2")</f>
        <v>3.2</v>
      </c>
      <c r="G4966" s="4" t="str">
        <f>HYPERLINK("http://141.218.60.56/~jnz1568/getInfo.php?workbook=18_08.xlsx&amp;sheet=U0&amp;row=4966&amp;col=7&amp;number=0.0466&amp;sourceID=14","0.0466")</f>
        <v>0.0466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HYPERLINK("http://141.218.60.56/~jnz1568/getInfo.php?workbook=18_08.xlsx&amp;sheet=U0&amp;row=4967&amp;col=6&amp;number=3.3&amp;sourceID=14","3.3")</f>
        <v>3.3</v>
      </c>
      <c r="G4967" s="4" t="str">
        <f>HYPERLINK("http://141.218.60.56/~jnz1568/getInfo.php?workbook=18_08.xlsx&amp;sheet=U0&amp;row=4967&amp;col=7&amp;number=0.0466&amp;sourceID=14","0.0466")</f>
        <v>0.0466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HYPERLINK("http://141.218.60.56/~jnz1568/getInfo.php?workbook=18_08.xlsx&amp;sheet=U0&amp;row=4968&amp;col=6&amp;number=3.4&amp;sourceID=14","3.4")</f>
        <v>3.4</v>
      </c>
      <c r="G4968" s="4" t="str">
        <f>HYPERLINK("http://141.218.60.56/~jnz1568/getInfo.php?workbook=18_08.xlsx&amp;sheet=U0&amp;row=4968&amp;col=7&amp;number=0.0466&amp;sourceID=14","0.0466")</f>
        <v>0.0466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HYPERLINK("http://141.218.60.56/~jnz1568/getInfo.php?workbook=18_08.xlsx&amp;sheet=U0&amp;row=4969&amp;col=6&amp;number=3.5&amp;sourceID=14","3.5")</f>
        <v>3.5</v>
      </c>
      <c r="G4969" s="4" t="str">
        <f>HYPERLINK("http://141.218.60.56/~jnz1568/getInfo.php?workbook=18_08.xlsx&amp;sheet=U0&amp;row=4969&amp;col=7&amp;number=0.0466&amp;sourceID=14","0.0466")</f>
        <v>0.0466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HYPERLINK("http://141.218.60.56/~jnz1568/getInfo.php?workbook=18_08.xlsx&amp;sheet=U0&amp;row=4970&amp;col=6&amp;number=3.6&amp;sourceID=14","3.6")</f>
        <v>3.6</v>
      </c>
      <c r="G4970" s="4" t="str">
        <f>HYPERLINK("http://141.218.60.56/~jnz1568/getInfo.php?workbook=18_08.xlsx&amp;sheet=U0&amp;row=4970&amp;col=7&amp;number=0.0466&amp;sourceID=14","0.0466")</f>
        <v>0.0466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HYPERLINK("http://141.218.60.56/~jnz1568/getInfo.php?workbook=18_08.xlsx&amp;sheet=U0&amp;row=4971&amp;col=6&amp;number=3.7&amp;sourceID=14","3.7")</f>
        <v>3.7</v>
      </c>
      <c r="G4971" s="4" t="str">
        <f>HYPERLINK("http://141.218.60.56/~jnz1568/getInfo.php?workbook=18_08.xlsx&amp;sheet=U0&amp;row=4971&amp;col=7&amp;number=0.0466&amp;sourceID=14","0.0466")</f>
        <v>0.0466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HYPERLINK("http://141.218.60.56/~jnz1568/getInfo.php?workbook=18_08.xlsx&amp;sheet=U0&amp;row=4972&amp;col=6&amp;number=3.8&amp;sourceID=14","3.8")</f>
        <v>3.8</v>
      </c>
      <c r="G4972" s="4" t="str">
        <f>HYPERLINK("http://141.218.60.56/~jnz1568/getInfo.php?workbook=18_08.xlsx&amp;sheet=U0&amp;row=4972&amp;col=7&amp;number=0.0466&amp;sourceID=14","0.0466")</f>
        <v>0.0466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HYPERLINK("http://141.218.60.56/~jnz1568/getInfo.php?workbook=18_08.xlsx&amp;sheet=U0&amp;row=4973&amp;col=6&amp;number=3.9&amp;sourceID=14","3.9")</f>
        <v>3.9</v>
      </c>
      <c r="G4973" s="4" t="str">
        <f>HYPERLINK("http://141.218.60.56/~jnz1568/getInfo.php?workbook=18_08.xlsx&amp;sheet=U0&amp;row=4973&amp;col=7&amp;number=0.0466&amp;sourceID=14","0.0466")</f>
        <v>0.0466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HYPERLINK("http://141.218.60.56/~jnz1568/getInfo.php?workbook=18_08.xlsx&amp;sheet=U0&amp;row=4974&amp;col=6&amp;number=4&amp;sourceID=14","4")</f>
        <v>4</v>
      </c>
      <c r="G4974" s="4" t="str">
        <f>HYPERLINK("http://141.218.60.56/~jnz1568/getInfo.php?workbook=18_08.xlsx&amp;sheet=U0&amp;row=4974&amp;col=7&amp;number=0.0467&amp;sourceID=14","0.0467")</f>
        <v>0.0467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HYPERLINK("http://141.218.60.56/~jnz1568/getInfo.php?workbook=18_08.xlsx&amp;sheet=U0&amp;row=4975&amp;col=6&amp;number=4.1&amp;sourceID=14","4.1")</f>
        <v>4.1</v>
      </c>
      <c r="G4975" s="4" t="str">
        <f>HYPERLINK("http://141.218.60.56/~jnz1568/getInfo.php?workbook=18_08.xlsx&amp;sheet=U0&amp;row=4975&amp;col=7&amp;number=0.0467&amp;sourceID=14","0.0467")</f>
        <v>0.0467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HYPERLINK("http://141.218.60.56/~jnz1568/getInfo.php?workbook=18_08.xlsx&amp;sheet=U0&amp;row=4976&amp;col=6&amp;number=4.2&amp;sourceID=14","4.2")</f>
        <v>4.2</v>
      </c>
      <c r="G4976" s="4" t="str">
        <f>HYPERLINK("http://141.218.60.56/~jnz1568/getInfo.php?workbook=18_08.xlsx&amp;sheet=U0&amp;row=4976&amp;col=7&amp;number=0.0468&amp;sourceID=14","0.0468")</f>
        <v>0.0468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HYPERLINK("http://141.218.60.56/~jnz1568/getInfo.php?workbook=18_08.xlsx&amp;sheet=U0&amp;row=4977&amp;col=6&amp;number=4.3&amp;sourceID=14","4.3")</f>
        <v>4.3</v>
      </c>
      <c r="G4977" s="4" t="str">
        <f>HYPERLINK("http://141.218.60.56/~jnz1568/getInfo.php?workbook=18_08.xlsx&amp;sheet=U0&amp;row=4977&amp;col=7&amp;number=0.0468&amp;sourceID=14","0.0468")</f>
        <v>0.0468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HYPERLINK("http://141.218.60.56/~jnz1568/getInfo.php?workbook=18_08.xlsx&amp;sheet=U0&amp;row=4978&amp;col=6&amp;number=4.4&amp;sourceID=14","4.4")</f>
        <v>4.4</v>
      </c>
      <c r="G4978" s="4" t="str">
        <f>HYPERLINK("http://141.218.60.56/~jnz1568/getInfo.php?workbook=18_08.xlsx&amp;sheet=U0&amp;row=4978&amp;col=7&amp;number=0.0469&amp;sourceID=14","0.0469")</f>
        <v>0.0469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HYPERLINK("http://141.218.60.56/~jnz1568/getInfo.php?workbook=18_08.xlsx&amp;sheet=U0&amp;row=4979&amp;col=6&amp;number=4.5&amp;sourceID=14","4.5")</f>
        <v>4.5</v>
      </c>
      <c r="G4979" s="4" t="str">
        <f>HYPERLINK("http://141.218.60.56/~jnz1568/getInfo.php?workbook=18_08.xlsx&amp;sheet=U0&amp;row=4979&amp;col=7&amp;number=0.047&amp;sourceID=14","0.047")</f>
        <v>0.047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HYPERLINK("http://141.218.60.56/~jnz1568/getInfo.php?workbook=18_08.xlsx&amp;sheet=U0&amp;row=4980&amp;col=6&amp;number=4.6&amp;sourceID=14","4.6")</f>
        <v>4.6</v>
      </c>
      <c r="G4980" s="4" t="str">
        <f>HYPERLINK("http://141.218.60.56/~jnz1568/getInfo.php?workbook=18_08.xlsx&amp;sheet=U0&amp;row=4980&amp;col=7&amp;number=0.0471&amp;sourceID=14","0.0471")</f>
        <v>0.0471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HYPERLINK("http://141.218.60.56/~jnz1568/getInfo.php?workbook=18_08.xlsx&amp;sheet=U0&amp;row=4981&amp;col=6&amp;number=4.7&amp;sourceID=14","4.7")</f>
        <v>4.7</v>
      </c>
      <c r="G4981" s="4" t="str">
        <f>HYPERLINK("http://141.218.60.56/~jnz1568/getInfo.php?workbook=18_08.xlsx&amp;sheet=U0&amp;row=4981&amp;col=7&amp;number=0.0472&amp;sourceID=14","0.0472")</f>
        <v>0.0472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HYPERLINK("http://141.218.60.56/~jnz1568/getInfo.php?workbook=18_08.xlsx&amp;sheet=U0&amp;row=4982&amp;col=6&amp;number=4.8&amp;sourceID=14","4.8")</f>
        <v>4.8</v>
      </c>
      <c r="G4982" s="4" t="str">
        <f>HYPERLINK("http://141.218.60.56/~jnz1568/getInfo.php?workbook=18_08.xlsx&amp;sheet=U0&amp;row=4982&amp;col=7&amp;number=0.0474&amp;sourceID=14","0.0474")</f>
        <v>0.0474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HYPERLINK("http://141.218.60.56/~jnz1568/getInfo.php?workbook=18_08.xlsx&amp;sheet=U0&amp;row=4983&amp;col=6&amp;number=4.9&amp;sourceID=14","4.9")</f>
        <v>4.9</v>
      </c>
      <c r="G4983" s="4" t="str">
        <f>HYPERLINK("http://141.218.60.56/~jnz1568/getInfo.php?workbook=18_08.xlsx&amp;sheet=U0&amp;row=4983&amp;col=7&amp;number=0.0476&amp;sourceID=14","0.0476")</f>
        <v>0.0476</v>
      </c>
    </row>
    <row r="4984" spans="1:7">
      <c r="A4984" s="3">
        <v>18</v>
      </c>
      <c r="B4984" s="3">
        <v>8</v>
      </c>
      <c r="C4984" s="3" t="s">
        <v>69</v>
      </c>
      <c r="D4984" s="3">
        <v>4</v>
      </c>
      <c r="E4984" s="3">
        <v>1</v>
      </c>
      <c r="F4984" s="4" t="str">
        <f>HYPERLINK("http://141.218.60.56/~jnz1568/getInfo.php?workbook=18_08.xlsx&amp;sheet=U0&amp;row=4984&amp;col=6&amp;number=3&amp;sourceID=14","3")</f>
        <v>3</v>
      </c>
      <c r="G4984" s="4" t="str">
        <f>HYPERLINK("http://141.218.60.56/~jnz1568/getInfo.php?workbook=18_08.xlsx&amp;sheet=U0&amp;row=4984&amp;col=7&amp;number=0.00185&amp;sourceID=14","0.00185")</f>
        <v>0.00185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HYPERLINK("http://141.218.60.56/~jnz1568/getInfo.php?workbook=18_08.xlsx&amp;sheet=U0&amp;row=4985&amp;col=6&amp;number=3.1&amp;sourceID=14","3.1")</f>
        <v>3.1</v>
      </c>
      <c r="G4985" s="4" t="str">
        <f>HYPERLINK("http://141.218.60.56/~jnz1568/getInfo.php?workbook=18_08.xlsx&amp;sheet=U0&amp;row=4985&amp;col=7&amp;number=0.00185&amp;sourceID=14","0.00185")</f>
        <v>0.00185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HYPERLINK("http://141.218.60.56/~jnz1568/getInfo.php?workbook=18_08.xlsx&amp;sheet=U0&amp;row=4986&amp;col=6&amp;number=3.2&amp;sourceID=14","3.2")</f>
        <v>3.2</v>
      </c>
      <c r="G4986" s="4" t="str">
        <f>HYPERLINK("http://141.218.60.56/~jnz1568/getInfo.php?workbook=18_08.xlsx&amp;sheet=U0&amp;row=4986&amp;col=7&amp;number=0.00185&amp;sourceID=14","0.00185")</f>
        <v>0.00185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HYPERLINK("http://141.218.60.56/~jnz1568/getInfo.php?workbook=18_08.xlsx&amp;sheet=U0&amp;row=4987&amp;col=6&amp;number=3.3&amp;sourceID=14","3.3")</f>
        <v>3.3</v>
      </c>
      <c r="G4987" s="4" t="str">
        <f>HYPERLINK("http://141.218.60.56/~jnz1568/getInfo.php?workbook=18_08.xlsx&amp;sheet=U0&amp;row=4987&amp;col=7&amp;number=0.00185&amp;sourceID=14","0.00185")</f>
        <v>0.00185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HYPERLINK("http://141.218.60.56/~jnz1568/getInfo.php?workbook=18_08.xlsx&amp;sheet=U0&amp;row=4988&amp;col=6&amp;number=3.4&amp;sourceID=14","3.4")</f>
        <v>3.4</v>
      </c>
      <c r="G4988" s="4" t="str">
        <f>HYPERLINK("http://141.218.60.56/~jnz1568/getInfo.php?workbook=18_08.xlsx&amp;sheet=U0&amp;row=4988&amp;col=7&amp;number=0.00185&amp;sourceID=14","0.00185")</f>
        <v>0.00185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HYPERLINK("http://141.218.60.56/~jnz1568/getInfo.php?workbook=18_08.xlsx&amp;sheet=U0&amp;row=4989&amp;col=6&amp;number=3.5&amp;sourceID=14","3.5")</f>
        <v>3.5</v>
      </c>
      <c r="G4989" s="4" t="str">
        <f>HYPERLINK("http://141.218.60.56/~jnz1568/getInfo.php?workbook=18_08.xlsx&amp;sheet=U0&amp;row=4989&amp;col=7&amp;number=0.00185&amp;sourceID=14","0.00185")</f>
        <v>0.00185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HYPERLINK("http://141.218.60.56/~jnz1568/getInfo.php?workbook=18_08.xlsx&amp;sheet=U0&amp;row=4990&amp;col=6&amp;number=3.6&amp;sourceID=14","3.6")</f>
        <v>3.6</v>
      </c>
      <c r="G4990" s="4" t="str">
        <f>HYPERLINK("http://141.218.60.56/~jnz1568/getInfo.php?workbook=18_08.xlsx&amp;sheet=U0&amp;row=4990&amp;col=7&amp;number=0.00185&amp;sourceID=14","0.00185")</f>
        <v>0.00185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HYPERLINK("http://141.218.60.56/~jnz1568/getInfo.php?workbook=18_08.xlsx&amp;sheet=U0&amp;row=4991&amp;col=6&amp;number=3.7&amp;sourceID=14","3.7")</f>
        <v>3.7</v>
      </c>
      <c r="G4991" s="4" t="str">
        <f>HYPERLINK("http://141.218.60.56/~jnz1568/getInfo.php?workbook=18_08.xlsx&amp;sheet=U0&amp;row=4991&amp;col=7&amp;number=0.00184&amp;sourceID=14","0.00184")</f>
        <v>0.00184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HYPERLINK("http://141.218.60.56/~jnz1568/getInfo.php?workbook=18_08.xlsx&amp;sheet=U0&amp;row=4992&amp;col=6&amp;number=3.8&amp;sourceID=14","3.8")</f>
        <v>3.8</v>
      </c>
      <c r="G4992" s="4" t="str">
        <f>HYPERLINK("http://141.218.60.56/~jnz1568/getInfo.php?workbook=18_08.xlsx&amp;sheet=U0&amp;row=4992&amp;col=7&amp;number=0.00184&amp;sourceID=14","0.00184")</f>
        <v>0.00184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HYPERLINK("http://141.218.60.56/~jnz1568/getInfo.php?workbook=18_08.xlsx&amp;sheet=U0&amp;row=4993&amp;col=6&amp;number=3.9&amp;sourceID=14","3.9")</f>
        <v>3.9</v>
      </c>
      <c r="G4993" s="4" t="str">
        <f>HYPERLINK("http://141.218.60.56/~jnz1568/getInfo.php?workbook=18_08.xlsx&amp;sheet=U0&amp;row=4993&amp;col=7&amp;number=0.00184&amp;sourceID=14","0.00184")</f>
        <v>0.00184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HYPERLINK("http://141.218.60.56/~jnz1568/getInfo.php?workbook=18_08.xlsx&amp;sheet=U0&amp;row=4994&amp;col=6&amp;number=4&amp;sourceID=14","4")</f>
        <v>4</v>
      </c>
      <c r="G4994" s="4" t="str">
        <f>HYPERLINK("http://141.218.60.56/~jnz1568/getInfo.php?workbook=18_08.xlsx&amp;sheet=U0&amp;row=4994&amp;col=7&amp;number=0.00184&amp;sourceID=14","0.00184")</f>
        <v>0.00184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HYPERLINK("http://141.218.60.56/~jnz1568/getInfo.php?workbook=18_08.xlsx&amp;sheet=U0&amp;row=4995&amp;col=6&amp;number=4.1&amp;sourceID=14","4.1")</f>
        <v>4.1</v>
      </c>
      <c r="G4995" s="4" t="str">
        <f>HYPERLINK("http://141.218.60.56/~jnz1568/getInfo.php?workbook=18_08.xlsx&amp;sheet=U0&amp;row=4995&amp;col=7&amp;number=0.00184&amp;sourceID=14","0.00184")</f>
        <v>0.00184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HYPERLINK("http://141.218.60.56/~jnz1568/getInfo.php?workbook=18_08.xlsx&amp;sheet=U0&amp;row=4996&amp;col=6&amp;number=4.2&amp;sourceID=14","4.2")</f>
        <v>4.2</v>
      </c>
      <c r="G4996" s="4" t="str">
        <f>HYPERLINK("http://141.218.60.56/~jnz1568/getInfo.php?workbook=18_08.xlsx&amp;sheet=U0&amp;row=4996&amp;col=7&amp;number=0.00184&amp;sourceID=14","0.00184")</f>
        <v>0.00184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HYPERLINK("http://141.218.60.56/~jnz1568/getInfo.php?workbook=18_08.xlsx&amp;sheet=U0&amp;row=4997&amp;col=6&amp;number=4.3&amp;sourceID=14","4.3")</f>
        <v>4.3</v>
      </c>
      <c r="G4997" s="4" t="str">
        <f>HYPERLINK("http://141.218.60.56/~jnz1568/getInfo.php?workbook=18_08.xlsx&amp;sheet=U0&amp;row=4997&amp;col=7&amp;number=0.00184&amp;sourceID=14","0.00184")</f>
        <v>0.00184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HYPERLINK("http://141.218.60.56/~jnz1568/getInfo.php?workbook=18_08.xlsx&amp;sheet=U0&amp;row=4998&amp;col=6&amp;number=4.4&amp;sourceID=14","4.4")</f>
        <v>4.4</v>
      </c>
      <c r="G4998" s="4" t="str">
        <f>HYPERLINK("http://141.218.60.56/~jnz1568/getInfo.php?workbook=18_08.xlsx&amp;sheet=U0&amp;row=4998&amp;col=7&amp;number=0.00184&amp;sourceID=14","0.00184")</f>
        <v>0.00184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HYPERLINK("http://141.218.60.56/~jnz1568/getInfo.php?workbook=18_08.xlsx&amp;sheet=U0&amp;row=4999&amp;col=6&amp;number=4.5&amp;sourceID=14","4.5")</f>
        <v>4.5</v>
      </c>
      <c r="G4999" s="4" t="str">
        <f>HYPERLINK("http://141.218.60.56/~jnz1568/getInfo.php?workbook=18_08.xlsx&amp;sheet=U0&amp;row=4999&amp;col=7&amp;number=0.00183&amp;sourceID=14","0.00183")</f>
        <v>0.00183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HYPERLINK("http://141.218.60.56/~jnz1568/getInfo.php?workbook=18_08.xlsx&amp;sheet=U0&amp;row=5000&amp;col=6&amp;number=4.6&amp;sourceID=14","4.6")</f>
        <v>4.6</v>
      </c>
      <c r="G5000" s="4" t="str">
        <f>HYPERLINK("http://141.218.60.56/~jnz1568/getInfo.php?workbook=18_08.xlsx&amp;sheet=U0&amp;row=5000&amp;col=7&amp;number=0.00183&amp;sourceID=14","0.00183")</f>
        <v>0.00183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HYPERLINK("http://141.218.60.56/~jnz1568/getInfo.php?workbook=18_08.xlsx&amp;sheet=U0&amp;row=5001&amp;col=6&amp;number=4.7&amp;sourceID=14","4.7")</f>
        <v>4.7</v>
      </c>
      <c r="G5001" s="4" t="str">
        <f>HYPERLINK("http://141.218.60.56/~jnz1568/getInfo.php?workbook=18_08.xlsx&amp;sheet=U0&amp;row=5001&amp;col=7&amp;number=0.00183&amp;sourceID=14","0.00183")</f>
        <v>0.00183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HYPERLINK("http://141.218.60.56/~jnz1568/getInfo.php?workbook=18_08.xlsx&amp;sheet=U0&amp;row=5002&amp;col=6&amp;number=4.8&amp;sourceID=14","4.8")</f>
        <v>4.8</v>
      </c>
      <c r="G5002" s="4" t="str">
        <f>HYPERLINK("http://141.218.60.56/~jnz1568/getInfo.php?workbook=18_08.xlsx&amp;sheet=U0&amp;row=5002&amp;col=7&amp;number=0.00182&amp;sourceID=14","0.00182")</f>
        <v>0.00182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HYPERLINK("http://141.218.60.56/~jnz1568/getInfo.php?workbook=18_08.xlsx&amp;sheet=U0&amp;row=5003&amp;col=6&amp;number=4.9&amp;sourceID=14","4.9")</f>
        <v>4.9</v>
      </c>
      <c r="G5003" s="4" t="str">
        <f>HYPERLINK("http://141.218.60.56/~jnz1568/getInfo.php?workbook=18_08.xlsx&amp;sheet=U0&amp;row=5003&amp;col=7&amp;number=0.00181&amp;sourceID=14","0.00181")</f>
        <v>0.00181</v>
      </c>
    </row>
    <row r="5004" spans="1:7">
      <c r="A5004" s="3">
        <v>18</v>
      </c>
      <c r="B5004" s="3">
        <v>8</v>
      </c>
      <c r="C5004" s="3" t="s">
        <v>69</v>
      </c>
      <c r="D5004" s="3">
        <v>5</v>
      </c>
      <c r="E5004" s="3">
        <v>1</v>
      </c>
      <c r="F5004" s="4" t="str">
        <f>HYPERLINK("http://141.218.60.56/~jnz1568/getInfo.php?workbook=18_08.xlsx&amp;sheet=U0&amp;row=5004&amp;col=6&amp;number=3&amp;sourceID=14","3")</f>
        <v>3</v>
      </c>
      <c r="G5004" s="4" t="str">
        <f>HYPERLINK("http://141.218.60.56/~jnz1568/getInfo.php?workbook=18_08.xlsx&amp;sheet=U0&amp;row=5004&amp;col=7&amp;number=0.00342&amp;sourceID=14","0.00342")</f>
        <v>0.00342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HYPERLINK("http://141.218.60.56/~jnz1568/getInfo.php?workbook=18_08.xlsx&amp;sheet=U0&amp;row=5005&amp;col=6&amp;number=3.1&amp;sourceID=14","3.1")</f>
        <v>3.1</v>
      </c>
      <c r="G5005" s="4" t="str">
        <f>HYPERLINK("http://141.218.60.56/~jnz1568/getInfo.php?workbook=18_08.xlsx&amp;sheet=U0&amp;row=5005&amp;col=7&amp;number=0.00342&amp;sourceID=14","0.00342")</f>
        <v>0.00342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HYPERLINK("http://141.218.60.56/~jnz1568/getInfo.php?workbook=18_08.xlsx&amp;sheet=U0&amp;row=5006&amp;col=6&amp;number=3.2&amp;sourceID=14","3.2")</f>
        <v>3.2</v>
      </c>
      <c r="G5006" s="4" t="str">
        <f>HYPERLINK("http://141.218.60.56/~jnz1568/getInfo.php?workbook=18_08.xlsx&amp;sheet=U0&amp;row=5006&amp;col=7&amp;number=0.00342&amp;sourceID=14","0.00342")</f>
        <v>0.00342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HYPERLINK("http://141.218.60.56/~jnz1568/getInfo.php?workbook=18_08.xlsx&amp;sheet=U0&amp;row=5007&amp;col=6&amp;number=3.3&amp;sourceID=14","3.3")</f>
        <v>3.3</v>
      </c>
      <c r="G5007" s="4" t="str">
        <f>HYPERLINK("http://141.218.60.56/~jnz1568/getInfo.php?workbook=18_08.xlsx&amp;sheet=U0&amp;row=5007&amp;col=7&amp;number=0.00342&amp;sourceID=14","0.00342")</f>
        <v>0.00342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HYPERLINK("http://141.218.60.56/~jnz1568/getInfo.php?workbook=18_08.xlsx&amp;sheet=U0&amp;row=5008&amp;col=6&amp;number=3.4&amp;sourceID=14","3.4")</f>
        <v>3.4</v>
      </c>
      <c r="G5008" s="4" t="str">
        <f>HYPERLINK("http://141.218.60.56/~jnz1568/getInfo.php?workbook=18_08.xlsx&amp;sheet=U0&amp;row=5008&amp;col=7&amp;number=0.00342&amp;sourceID=14","0.00342")</f>
        <v>0.00342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HYPERLINK("http://141.218.60.56/~jnz1568/getInfo.php?workbook=18_08.xlsx&amp;sheet=U0&amp;row=5009&amp;col=6&amp;number=3.5&amp;sourceID=14","3.5")</f>
        <v>3.5</v>
      </c>
      <c r="G5009" s="4" t="str">
        <f>HYPERLINK("http://141.218.60.56/~jnz1568/getInfo.php?workbook=18_08.xlsx&amp;sheet=U0&amp;row=5009&amp;col=7&amp;number=0.00341&amp;sourceID=14","0.00341")</f>
        <v>0.00341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HYPERLINK("http://141.218.60.56/~jnz1568/getInfo.php?workbook=18_08.xlsx&amp;sheet=U0&amp;row=5010&amp;col=6&amp;number=3.6&amp;sourceID=14","3.6")</f>
        <v>3.6</v>
      </c>
      <c r="G5010" s="4" t="str">
        <f>HYPERLINK("http://141.218.60.56/~jnz1568/getInfo.php?workbook=18_08.xlsx&amp;sheet=U0&amp;row=5010&amp;col=7&amp;number=0.00341&amp;sourceID=14","0.00341")</f>
        <v>0.00341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HYPERLINK("http://141.218.60.56/~jnz1568/getInfo.php?workbook=18_08.xlsx&amp;sheet=U0&amp;row=5011&amp;col=6&amp;number=3.7&amp;sourceID=14","3.7")</f>
        <v>3.7</v>
      </c>
      <c r="G5011" s="4" t="str">
        <f>HYPERLINK("http://141.218.60.56/~jnz1568/getInfo.php?workbook=18_08.xlsx&amp;sheet=U0&amp;row=5011&amp;col=7&amp;number=0.00341&amp;sourceID=14","0.00341")</f>
        <v>0.00341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HYPERLINK("http://141.218.60.56/~jnz1568/getInfo.php?workbook=18_08.xlsx&amp;sheet=U0&amp;row=5012&amp;col=6&amp;number=3.8&amp;sourceID=14","3.8")</f>
        <v>3.8</v>
      </c>
      <c r="G5012" s="4" t="str">
        <f>HYPERLINK("http://141.218.60.56/~jnz1568/getInfo.php?workbook=18_08.xlsx&amp;sheet=U0&amp;row=5012&amp;col=7&amp;number=0.00341&amp;sourceID=14","0.00341")</f>
        <v>0.00341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HYPERLINK("http://141.218.60.56/~jnz1568/getInfo.php?workbook=18_08.xlsx&amp;sheet=U0&amp;row=5013&amp;col=6&amp;number=3.9&amp;sourceID=14","3.9")</f>
        <v>3.9</v>
      </c>
      <c r="G5013" s="4" t="str">
        <f>HYPERLINK("http://141.218.60.56/~jnz1568/getInfo.php?workbook=18_08.xlsx&amp;sheet=U0&amp;row=5013&amp;col=7&amp;number=0.00341&amp;sourceID=14","0.00341")</f>
        <v>0.00341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HYPERLINK("http://141.218.60.56/~jnz1568/getInfo.php?workbook=18_08.xlsx&amp;sheet=U0&amp;row=5014&amp;col=6&amp;number=4&amp;sourceID=14","4")</f>
        <v>4</v>
      </c>
      <c r="G5014" s="4" t="str">
        <f>HYPERLINK("http://141.218.60.56/~jnz1568/getInfo.php?workbook=18_08.xlsx&amp;sheet=U0&amp;row=5014&amp;col=7&amp;number=0.00341&amp;sourceID=14","0.00341")</f>
        <v>0.00341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HYPERLINK("http://141.218.60.56/~jnz1568/getInfo.php?workbook=18_08.xlsx&amp;sheet=U0&amp;row=5015&amp;col=6&amp;number=4.1&amp;sourceID=14","4.1")</f>
        <v>4.1</v>
      </c>
      <c r="G5015" s="4" t="str">
        <f>HYPERLINK("http://141.218.60.56/~jnz1568/getInfo.php?workbook=18_08.xlsx&amp;sheet=U0&amp;row=5015&amp;col=7&amp;number=0.0034&amp;sourceID=14","0.0034")</f>
        <v>0.0034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HYPERLINK("http://141.218.60.56/~jnz1568/getInfo.php?workbook=18_08.xlsx&amp;sheet=U0&amp;row=5016&amp;col=6&amp;number=4.2&amp;sourceID=14","4.2")</f>
        <v>4.2</v>
      </c>
      <c r="G5016" s="4" t="str">
        <f>HYPERLINK("http://141.218.60.56/~jnz1568/getInfo.php?workbook=18_08.xlsx&amp;sheet=U0&amp;row=5016&amp;col=7&amp;number=0.0034&amp;sourceID=14","0.0034")</f>
        <v>0.0034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HYPERLINK("http://141.218.60.56/~jnz1568/getInfo.php?workbook=18_08.xlsx&amp;sheet=U0&amp;row=5017&amp;col=6&amp;number=4.3&amp;sourceID=14","4.3")</f>
        <v>4.3</v>
      </c>
      <c r="G5017" s="4" t="str">
        <f>HYPERLINK("http://141.218.60.56/~jnz1568/getInfo.php?workbook=18_08.xlsx&amp;sheet=U0&amp;row=5017&amp;col=7&amp;number=0.0034&amp;sourceID=14","0.0034")</f>
        <v>0.0034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HYPERLINK("http://141.218.60.56/~jnz1568/getInfo.php?workbook=18_08.xlsx&amp;sheet=U0&amp;row=5018&amp;col=6&amp;number=4.4&amp;sourceID=14","4.4")</f>
        <v>4.4</v>
      </c>
      <c r="G5018" s="4" t="str">
        <f>HYPERLINK("http://141.218.60.56/~jnz1568/getInfo.php?workbook=18_08.xlsx&amp;sheet=U0&amp;row=5018&amp;col=7&amp;number=0.00339&amp;sourceID=14","0.00339")</f>
        <v>0.00339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HYPERLINK("http://141.218.60.56/~jnz1568/getInfo.php?workbook=18_08.xlsx&amp;sheet=U0&amp;row=5019&amp;col=6&amp;number=4.5&amp;sourceID=14","4.5")</f>
        <v>4.5</v>
      </c>
      <c r="G5019" s="4" t="str">
        <f>HYPERLINK("http://141.218.60.56/~jnz1568/getInfo.php?workbook=18_08.xlsx&amp;sheet=U0&amp;row=5019&amp;col=7&amp;number=0.00338&amp;sourceID=14","0.00338")</f>
        <v>0.00338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HYPERLINK("http://141.218.60.56/~jnz1568/getInfo.php?workbook=18_08.xlsx&amp;sheet=U0&amp;row=5020&amp;col=6&amp;number=4.6&amp;sourceID=14","4.6")</f>
        <v>4.6</v>
      </c>
      <c r="G5020" s="4" t="str">
        <f>HYPERLINK("http://141.218.60.56/~jnz1568/getInfo.php?workbook=18_08.xlsx&amp;sheet=U0&amp;row=5020&amp;col=7&amp;number=0.00338&amp;sourceID=14","0.00338")</f>
        <v>0.00338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HYPERLINK("http://141.218.60.56/~jnz1568/getInfo.php?workbook=18_08.xlsx&amp;sheet=U0&amp;row=5021&amp;col=6&amp;number=4.7&amp;sourceID=14","4.7")</f>
        <v>4.7</v>
      </c>
      <c r="G5021" s="4" t="str">
        <f>HYPERLINK("http://141.218.60.56/~jnz1568/getInfo.php?workbook=18_08.xlsx&amp;sheet=U0&amp;row=5021&amp;col=7&amp;number=0.00336&amp;sourceID=14","0.00336")</f>
        <v>0.00336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HYPERLINK("http://141.218.60.56/~jnz1568/getInfo.php?workbook=18_08.xlsx&amp;sheet=U0&amp;row=5022&amp;col=6&amp;number=4.8&amp;sourceID=14","4.8")</f>
        <v>4.8</v>
      </c>
      <c r="G5022" s="4" t="str">
        <f>HYPERLINK("http://141.218.60.56/~jnz1568/getInfo.php?workbook=18_08.xlsx&amp;sheet=U0&amp;row=5022&amp;col=7&amp;number=0.00335&amp;sourceID=14","0.00335")</f>
        <v>0.00335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HYPERLINK("http://141.218.60.56/~jnz1568/getInfo.php?workbook=18_08.xlsx&amp;sheet=U0&amp;row=5023&amp;col=6&amp;number=4.9&amp;sourceID=14","4.9")</f>
        <v>4.9</v>
      </c>
      <c r="G5023" s="4" t="str">
        <f>HYPERLINK("http://141.218.60.56/~jnz1568/getInfo.php?workbook=18_08.xlsx&amp;sheet=U0&amp;row=5023&amp;col=7&amp;number=0.00333&amp;sourceID=14","0.00333")</f>
        <v>0.00333</v>
      </c>
    </row>
    <row r="5024" spans="1:7">
      <c r="A5024" s="3">
        <v>18</v>
      </c>
      <c r="B5024" s="3">
        <v>8</v>
      </c>
      <c r="C5024" s="3" t="s">
        <v>69</v>
      </c>
      <c r="D5024" s="3">
        <v>6</v>
      </c>
      <c r="E5024" s="3">
        <v>1</v>
      </c>
      <c r="F5024" s="4" t="str">
        <f>HYPERLINK("http://141.218.60.56/~jnz1568/getInfo.php?workbook=18_08.xlsx&amp;sheet=U0&amp;row=5024&amp;col=6&amp;number=3&amp;sourceID=14","3")</f>
        <v>3</v>
      </c>
      <c r="G5024" s="4" t="str">
        <f>HYPERLINK("http://141.218.60.56/~jnz1568/getInfo.php?workbook=18_08.xlsx&amp;sheet=U0&amp;row=5024&amp;col=7&amp;number=0.00101&amp;sourceID=14","0.00101")</f>
        <v>0.00101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HYPERLINK("http://141.218.60.56/~jnz1568/getInfo.php?workbook=18_08.xlsx&amp;sheet=U0&amp;row=5025&amp;col=6&amp;number=3.1&amp;sourceID=14","3.1")</f>
        <v>3.1</v>
      </c>
      <c r="G5025" s="4" t="str">
        <f>HYPERLINK("http://141.218.60.56/~jnz1568/getInfo.php?workbook=18_08.xlsx&amp;sheet=U0&amp;row=5025&amp;col=7&amp;number=0.00101&amp;sourceID=14","0.00101")</f>
        <v>0.00101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HYPERLINK("http://141.218.60.56/~jnz1568/getInfo.php?workbook=18_08.xlsx&amp;sheet=U0&amp;row=5026&amp;col=6&amp;number=3.2&amp;sourceID=14","3.2")</f>
        <v>3.2</v>
      </c>
      <c r="G5026" s="4" t="str">
        <f>HYPERLINK("http://141.218.60.56/~jnz1568/getInfo.php?workbook=18_08.xlsx&amp;sheet=U0&amp;row=5026&amp;col=7&amp;number=0.00101&amp;sourceID=14","0.00101")</f>
        <v>0.00101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HYPERLINK("http://141.218.60.56/~jnz1568/getInfo.php?workbook=18_08.xlsx&amp;sheet=U0&amp;row=5027&amp;col=6&amp;number=3.3&amp;sourceID=14","3.3")</f>
        <v>3.3</v>
      </c>
      <c r="G5027" s="4" t="str">
        <f>HYPERLINK("http://141.218.60.56/~jnz1568/getInfo.php?workbook=18_08.xlsx&amp;sheet=U0&amp;row=5027&amp;col=7&amp;number=0.00101&amp;sourceID=14","0.00101")</f>
        <v>0.00101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HYPERLINK("http://141.218.60.56/~jnz1568/getInfo.php?workbook=18_08.xlsx&amp;sheet=U0&amp;row=5028&amp;col=6&amp;number=3.4&amp;sourceID=14","3.4")</f>
        <v>3.4</v>
      </c>
      <c r="G5028" s="4" t="str">
        <f>HYPERLINK("http://141.218.60.56/~jnz1568/getInfo.php?workbook=18_08.xlsx&amp;sheet=U0&amp;row=5028&amp;col=7&amp;number=0.00101&amp;sourceID=14","0.00101")</f>
        <v>0.00101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HYPERLINK("http://141.218.60.56/~jnz1568/getInfo.php?workbook=18_08.xlsx&amp;sheet=U0&amp;row=5029&amp;col=6&amp;number=3.5&amp;sourceID=14","3.5")</f>
        <v>3.5</v>
      </c>
      <c r="G5029" s="4" t="str">
        <f>HYPERLINK("http://141.218.60.56/~jnz1568/getInfo.php?workbook=18_08.xlsx&amp;sheet=U0&amp;row=5029&amp;col=7&amp;number=0.00101&amp;sourceID=14","0.00101")</f>
        <v>0.00101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HYPERLINK("http://141.218.60.56/~jnz1568/getInfo.php?workbook=18_08.xlsx&amp;sheet=U0&amp;row=5030&amp;col=6&amp;number=3.6&amp;sourceID=14","3.6")</f>
        <v>3.6</v>
      </c>
      <c r="G5030" s="4" t="str">
        <f>HYPERLINK("http://141.218.60.56/~jnz1568/getInfo.php?workbook=18_08.xlsx&amp;sheet=U0&amp;row=5030&amp;col=7&amp;number=0.00101&amp;sourceID=14","0.00101")</f>
        <v>0.00101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HYPERLINK("http://141.218.60.56/~jnz1568/getInfo.php?workbook=18_08.xlsx&amp;sheet=U0&amp;row=5031&amp;col=6&amp;number=3.7&amp;sourceID=14","3.7")</f>
        <v>3.7</v>
      </c>
      <c r="G5031" s="4" t="str">
        <f>HYPERLINK("http://141.218.60.56/~jnz1568/getInfo.php?workbook=18_08.xlsx&amp;sheet=U0&amp;row=5031&amp;col=7&amp;number=0.00101&amp;sourceID=14","0.00101")</f>
        <v>0.00101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HYPERLINK("http://141.218.60.56/~jnz1568/getInfo.php?workbook=18_08.xlsx&amp;sheet=U0&amp;row=5032&amp;col=6&amp;number=3.8&amp;sourceID=14","3.8")</f>
        <v>3.8</v>
      </c>
      <c r="G5032" s="4" t="str">
        <f>HYPERLINK("http://141.218.60.56/~jnz1568/getInfo.php?workbook=18_08.xlsx&amp;sheet=U0&amp;row=5032&amp;col=7&amp;number=0.00101&amp;sourceID=14","0.00101")</f>
        <v>0.00101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HYPERLINK("http://141.218.60.56/~jnz1568/getInfo.php?workbook=18_08.xlsx&amp;sheet=U0&amp;row=5033&amp;col=6&amp;number=3.9&amp;sourceID=14","3.9")</f>
        <v>3.9</v>
      </c>
      <c r="G5033" s="4" t="str">
        <f>HYPERLINK("http://141.218.60.56/~jnz1568/getInfo.php?workbook=18_08.xlsx&amp;sheet=U0&amp;row=5033&amp;col=7&amp;number=0.00101&amp;sourceID=14","0.00101")</f>
        <v>0.00101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HYPERLINK("http://141.218.60.56/~jnz1568/getInfo.php?workbook=18_08.xlsx&amp;sheet=U0&amp;row=5034&amp;col=6&amp;number=4&amp;sourceID=14","4")</f>
        <v>4</v>
      </c>
      <c r="G5034" s="4" t="str">
        <f>HYPERLINK("http://141.218.60.56/~jnz1568/getInfo.php?workbook=18_08.xlsx&amp;sheet=U0&amp;row=5034&amp;col=7&amp;number=0.00101&amp;sourceID=14","0.00101")</f>
        <v>0.00101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HYPERLINK("http://141.218.60.56/~jnz1568/getInfo.php?workbook=18_08.xlsx&amp;sheet=U0&amp;row=5035&amp;col=6&amp;number=4.1&amp;sourceID=14","4.1")</f>
        <v>4.1</v>
      </c>
      <c r="G5035" s="4" t="str">
        <f>HYPERLINK("http://141.218.60.56/~jnz1568/getInfo.php?workbook=18_08.xlsx&amp;sheet=U0&amp;row=5035&amp;col=7&amp;number=0.00101&amp;sourceID=14","0.00101")</f>
        <v>0.00101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HYPERLINK("http://141.218.60.56/~jnz1568/getInfo.php?workbook=18_08.xlsx&amp;sheet=U0&amp;row=5036&amp;col=6&amp;number=4.2&amp;sourceID=14","4.2")</f>
        <v>4.2</v>
      </c>
      <c r="G5036" s="4" t="str">
        <f>HYPERLINK("http://141.218.60.56/~jnz1568/getInfo.php?workbook=18_08.xlsx&amp;sheet=U0&amp;row=5036&amp;col=7&amp;number=0.00101&amp;sourceID=14","0.00101")</f>
        <v>0.00101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HYPERLINK("http://141.218.60.56/~jnz1568/getInfo.php?workbook=18_08.xlsx&amp;sheet=U0&amp;row=5037&amp;col=6&amp;number=4.3&amp;sourceID=14","4.3")</f>
        <v>4.3</v>
      </c>
      <c r="G5037" s="4" t="str">
        <f>HYPERLINK("http://141.218.60.56/~jnz1568/getInfo.php?workbook=18_08.xlsx&amp;sheet=U0&amp;row=5037&amp;col=7&amp;number=0.00101&amp;sourceID=14","0.00101")</f>
        <v>0.00101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HYPERLINK("http://141.218.60.56/~jnz1568/getInfo.php?workbook=18_08.xlsx&amp;sheet=U0&amp;row=5038&amp;col=6&amp;number=4.4&amp;sourceID=14","4.4")</f>
        <v>4.4</v>
      </c>
      <c r="G5038" s="4" t="str">
        <f>HYPERLINK("http://141.218.60.56/~jnz1568/getInfo.php?workbook=18_08.xlsx&amp;sheet=U0&amp;row=5038&amp;col=7&amp;number=0.00101&amp;sourceID=14","0.00101")</f>
        <v>0.00101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HYPERLINK("http://141.218.60.56/~jnz1568/getInfo.php?workbook=18_08.xlsx&amp;sheet=U0&amp;row=5039&amp;col=6&amp;number=4.5&amp;sourceID=14","4.5")</f>
        <v>4.5</v>
      </c>
      <c r="G5039" s="4" t="str">
        <f>HYPERLINK("http://141.218.60.56/~jnz1568/getInfo.php?workbook=18_08.xlsx&amp;sheet=U0&amp;row=5039&amp;col=7&amp;number=0.001&amp;sourceID=14","0.001")</f>
        <v>0.001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HYPERLINK("http://141.218.60.56/~jnz1568/getInfo.php?workbook=18_08.xlsx&amp;sheet=U0&amp;row=5040&amp;col=6&amp;number=4.6&amp;sourceID=14","4.6")</f>
        <v>4.6</v>
      </c>
      <c r="G5040" s="4" t="str">
        <f>HYPERLINK("http://141.218.60.56/~jnz1568/getInfo.php?workbook=18_08.xlsx&amp;sheet=U0&amp;row=5040&amp;col=7&amp;number=0.001&amp;sourceID=14","0.001")</f>
        <v>0.001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HYPERLINK("http://141.218.60.56/~jnz1568/getInfo.php?workbook=18_08.xlsx&amp;sheet=U0&amp;row=5041&amp;col=6&amp;number=4.7&amp;sourceID=14","4.7")</f>
        <v>4.7</v>
      </c>
      <c r="G5041" s="4" t="str">
        <f>HYPERLINK("http://141.218.60.56/~jnz1568/getInfo.php?workbook=18_08.xlsx&amp;sheet=U0&amp;row=5041&amp;col=7&amp;number=0.000998&amp;sourceID=14","0.000998")</f>
        <v>0.000998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HYPERLINK("http://141.218.60.56/~jnz1568/getInfo.php?workbook=18_08.xlsx&amp;sheet=U0&amp;row=5042&amp;col=6&amp;number=4.8&amp;sourceID=14","4.8")</f>
        <v>4.8</v>
      </c>
      <c r="G5042" s="4" t="str">
        <f>HYPERLINK("http://141.218.60.56/~jnz1568/getInfo.php?workbook=18_08.xlsx&amp;sheet=U0&amp;row=5042&amp;col=7&amp;number=0.000993&amp;sourceID=14","0.000993")</f>
        <v>0.000993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HYPERLINK("http://141.218.60.56/~jnz1568/getInfo.php?workbook=18_08.xlsx&amp;sheet=U0&amp;row=5043&amp;col=6&amp;number=4.9&amp;sourceID=14","4.9")</f>
        <v>4.9</v>
      </c>
      <c r="G5043" s="4" t="str">
        <f>HYPERLINK("http://141.218.60.56/~jnz1568/getInfo.php?workbook=18_08.xlsx&amp;sheet=U0&amp;row=5043&amp;col=7&amp;number=0.000988&amp;sourceID=14","0.000988")</f>
        <v>0.000988</v>
      </c>
    </row>
    <row r="5044" spans="1:7">
      <c r="A5044" s="3">
        <v>18</v>
      </c>
      <c r="B5044" s="3">
        <v>8</v>
      </c>
      <c r="C5044" s="3">
        <v>4</v>
      </c>
      <c r="D5044" s="3">
        <v>5</v>
      </c>
      <c r="E5044" s="3">
        <v>1</v>
      </c>
      <c r="F5044" s="4" t="str">
        <f>HYPERLINK("http://141.218.60.56/~jnz1568/getInfo.php?workbook=18_08.xlsx&amp;sheet=U0&amp;row=5044&amp;col=6&amp;number=3&amp;sourceID=14","3")</f>
        <v>3</v>
      </c>
      <c r="G5044" s="4" t="str">
        <f>HYPERLINK("http://141.218.60.56/~jnz1568/getInfo.php?workbook=18_08.xlsx&amp;sheet=U0&amp;row=5044&amp;col=7&amp;number=0.0455&amp;sourceID=14","0.0455")</f>
        <v>0.0455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HYPERLINK("http://141.218.60.56/~jnz1568/getInfo.php?workbook=18_08.xlsx&amp;sheet=U0&amp;row=5045&amp;col=6&amp;number=3.1&amp;sourceID=14","3.1")</f>
        <v>3.1</v>
      </c>
      <c r="G5045" s="4" t="str">
        <f>HYPERLINK("http://141.218.60.56/~jnz1568/getInfo.php?workbook=18_08.xlsx&amp;sheet=U0&amp;row=5045&amp;col=7&amp;number=0.0455&amp;sourceID=14","0.0455")</f>
        <v>0.0455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HYPERLINK("http://141.218.60.56/~jnz1568/getInfo.php?workbook=18_08.xlsx&amp;sheet=U0&amp;row=5046&amp;col=6&amp;number=3.2&amp;sourceID=14","3.2")</f>
        <v>3.2</v>
      </c>
      <c r="G5046" s="4" t="str">
        <f>HYPERLINK("http://141.218.60.56/~jnz1568/getInfo.php?workbook=18_08.xlsx&amp;sheet=U0&amp;row=5046&amp;col=7&amp;number=0.0455&amp;sourceID=14","0.0455")</f>
        <v>0.0455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HYPERLINK("http://141.218.60.56/~jnz1568/getInfo.php?workbook=18_08.xlsx&amp;sheet=U0&amp;row=5047&amp;col=6&amp;number=3.3&amp;sourceID=14","3.3")</f>
        <v>3.3</v>
      </c>
      <c r="G5047" s="4" t="str">
        <f>HYPERLINK("http://141.218.60.56/~jnz1568/getInfo.php?workbook=18_08.xlsx&amp;sheet=U0&amp;row=5047&amp;col=7&amp;number=0.0455&amp;sourceID=14","0.0455")</f>
        <v>0.0455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HYPERLINK("http://141.218.60.56/~jnz1568/getInfo.php?workbook=18_08.xlsx&amp;sheet=U0&amp;row=5048&amp;col=6&amp;number=3.4&amp;sourceID=14","3.4")</f>
        <v>3.4</v>
      </c>
      <c r="G5048" s="4" t="str">
        <f>HYPERLINK("http://141.218.60.56/~jnz1568/getInfo.php?workbook=18_08.xlsx&amp;sheet=U0&amp;row=5048&amp;col=7&amp;number=0.0455&amp;sourceID=14","0.0455")</f>
        <v>0.0455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HYPERLINK("http://141.218.60.56/~jnz1568/getInfo.php?workbook=18_08.xlsx&amp;sheet=U0&amp;row=5049&amp;col=6&amp;number=3.5&amp;sourceID=14","3.5")</f>
        <v>3.5</v>
      </c>
      <c r="G5049" s="4" t="str">
        <f>HYPERLINK("http://141.218.60.56/~jnz1568/getInfo.php?workbook=18_08.xlsx&amp;sheet=U0&amp;row=5049&amp;col=7&amp;number=0.0455&amp;sourceID=14","0.0455")</f>
        <v>0.0455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HYPERLINK("http://141.218.60.56/~jnz1568/getInfo.php?workbook=18_08.xlsx&amp;sheet=U0&amp;row=5050&amp;col=6&amp;number=3.6&amp;sourceID=14","3.6")</f>
        <v>3.6</v>
      </c>
      <c r="G5050" s="4" t="str">
        <f>HYPERLINK("http://141.218.60.56/~jnz1568/getInfo.php?workbook=18_08.xlsx&amp;sheet=U0&amp;row=5050&amp;col=7&amp;number=0.0456&amp;sourceID=14","0.0456")</f>
        <v>0.0456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HYPERLINK("http://141.218.60.56/~jnz1568/getInfo.php?workbook=18_08.xlsx&amp;sheet=U0&amp;row=5051&amp;col=6&amp;number=3.7&amp;sourceID=14","3.7")</f>
        <v>3.7</v>
      </c>
      <c r="G5051" s="4" t="str">
        <f>HYPERLINK("http://141.218.60.56/~jnz1568/getInfo.php?workbook=18_08.xlsx&amp;sheet=U0&amp;row=5051&amp;col=7&amp;number=0.0456&amp;sourceID=14","0.0456")</f>
        <v>0.0456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HYPERLINK("http://141.218.60.56/~jnz1568/getInfo.php?workbook=18_08.xlsx&amp;sheet=U0&amp;row=5052&amp;col=6&amp;number=3.8&amp;sourceID=14","3.8")</f>
        <v>3.8</v>
      </c>
      <c r="G5052" s="4" t="str">
        <f>HYPERLINK("http://141.218.60.56/~jnz1568/getInfo.php?workbook=18_08.xlsx&amp;sheet=U0&amp;row=5052&amp;col=7&amp;number=0.0456&amp;sourceID=14","0.0456")</f>
        <v>0.0456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HYPERLINK("http://141.218.60.56/~jnz1568/getInfo.php?workbook=18_08.xlsx&amp;sheet=U0&amp;row=5053&amp;col=6&amp;number=3.9&amp;sourceID=14","3.9")</f>
        <v>3.9</v>
      </c>
      <c r="G5053" s="4" t="str">
        <f>HYPERLINK("http://141.218.60.56/~jnz1568/getInfo.php?workbook=18_08.xlsx&amp;sheet=U0&amp;row=5053&amp;col=7&amp;number=0.0456&amp;sourceID=14","0.0456")</f>
        <v>0.0456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HYPERLINK("http://141.218.60.56/~jnz1568/getInfo.php?workbook=18_08.xlsx&amp;sheet=U0&amp;row=5054&amp;col=6&amp;number=4&amp;sourceID=14","4")</f>
        <v>4</v>
      </c>
      <c r="G5054" s="4" t="str">
        <f>HYPERLINK("http://141.218.60.56/~jnz1568/getInfo.php?workbook=18_08.xlsx&amp;sheet=U0&amp;row=5054&amp;col=7&amp;number=0.0456&amp;sourceID=14","0.0456")</f>
        <v>0.0456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HYPERLINK("http://141.218.60.56/~jnz1568/getInfo.php?workbook=18_08.xlsx&amp;sheet=U0&amp;row=5055&amp;col=6&amp;number=4.1&amp;sourceID=14","4.1")</f>
        <v>4.1</v>
      </c>
      <c r="G5055" s="4" t="str">
        <f>HYPERLINK("http://141.218.60.56/~jnz1568/getInfo.php?workbook=18_08.xlsx&amp;sheet=U0&amp;row=5055&amp;col=7&amp;number=0.0456&amp;sourceID=14","0.0456")</f>
        <v>0.0456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HYPERLINK("http://141.218.60.56/~jnz1568/getInfo.php?workbook=18_08.xlsx&amp;sheet=U0&amp;row=5056&amp;col=6&amp;number=4.2&amp;sourceID=14","4.2")</f>
        <v>4.2</v>
      </c>
      <c r="G5056" s="4" t="str">
        <f>HYPERLINK("http://141.218.60.56/~jnz1568/getInfo.php?workbook=18_08.xlsx&amp;sheet=U0&amp;row=5056&amp;col=7&amp;number=0.0456&amp;sourceID=14","0.0456")</f>
        <v>0.0456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HYPERLINK("http://141.218.60.56/~jnz1568/getInfo.php?workbook=18_08.xlsx&amp;sheet=U0&amp;row=5057&amp;col=6&amp;number=4.3&amp;sourceID=14","4.3")</f>
        <v>4.3</v>
      </c>
      <c r="G5057" s="4" t="str">
        <f>HYPERLINK("http://141.218.60.56/~jnz1568/getInfo.php?workbook=18_08.xlsx&amp;sheet=U0&amp;row=5057&amp;col=7&amp;number=0.0456&amp;sourceID=14","0.0456")</f>
        <v>0.0456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HYPERLINK("http://141.218.60.56/~jnz1568/getInfo.php?workbook=18_08.xlsx&amp;sheet=U0&amp;row=5058&amp;col=6&amp;number=4.4&amp;sourceID=14","4.4")</f>
        <v>4.4</v>
      </c>
      <c r="G5058" s="4" t="str">
        <f>HYPERLINK("http://141.218.60.56/~jnz1568/getInfo.php?workbook=18_08.xlsx&amp;sheet=U0&amp;row=5058&amp;col=7&amp;number=0.0456&amp;sourceID=14","0.0456")</f>
        <v>0.0456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HYPERLINK("http://141.218.60.56/~jnz1568/getInfo.php?workbook=18_08.xlsx&amp;sheet=U0&amp;row=5059&amp;col=6&amp;number=4.5&amp;sourceID=14","4.5")</f>
        <v>4.5</v>
      </c>
      <c r="G5059" s="4" t="str">
        <f>HYPERLINK("http://141.218.60.56/~jnz1568/getInfo.php?workbook=18_08.xlsx&amp;sheet=U0&amp;row=5059&amp;col=7&amp;number=0.0456&amp;sourceID=14","0.0456")</f>
        <v>0.0456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HYPERLINK("http://141.218.60.56/~jnz1568/getInfo.php?workbook=18_08.xlsx&amp;sheet=U0&amp;row=5060&amp;col=6&amp;number=4.6&amp;sourceID=14","4.6")</f>
        <v>4.6</v>
      </c>
      <c r="G5060" s="4" t="str">
        <f>HYPERLINK("http://141.218.60.56/~jnz1568/getInfo.php?workbook=18_08.xlsx&amp;sheet=U0&amp;row=5060&amp;col=7&amp;number=0.0457&amp;sourceID=14","0.0457")</f>
        <v>0.0457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HYPERLINK("http://141.218.60.56/~jnz1568/getInfo.php?workbook=18_08.xlsx&amp;sheet=U0&amp;row=5061&amp;col=6&amp;number=4.7&amp;sourceID=14","4.7")</f>
        <v>4.7</v>
      </c>
      <c r="G5061" s="4" t="str">
        <f>HYPERLINK("http://141.218.60.56/~jnz1568/getInfo.php?workbook=18_08.xlsx&amp;sheet=U0&amp;row=5061&amp;col=7&amp;number=0.0457&amp;sourceID=14","0.0457")</f>
        <v>0.0457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HYPERLINK("http://141.218.60.56/~jnz1568/getInfo.php?workbook=18_08.xlsx&amp;sheet=U0&amp;row=5062&amp;col=6&amp;number=4.8&amp;sourceID=14","4.8")</f>
        <v>4.8</v>
      </c>
      <c r="G5062" s="4" t="str">
        <f>HYPERLINK("http://141.218.60.56/~jnz1568/getInfo.php?workbook=18_08.xlsx&amp;sheet=U0&amp;row=5062&amp;col=7&amp;number=0.0457&amp;sourceID=14","0.0457")</f>
        <v>0.0457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HYPERLINK("http://141.218.60.56/~jnz1568/getInfo.php?workbook=18_08.xlsx&amp;sheet=U0&amp;row=5063&amp;col=6&amp;number=4.9&amp;sourceID=14","4.9")</f>
        <v>4.9</v>
      </c>
      <c r="G5063" s="4" t="str">
        <f>HYPERLINK("http://141.218.60.56/~jnz1568/getInfo.php?workbook=18_08.xlsx&amp;sheet=U0&amp;row=5063&amp;col=7&amp;number=0.0458&amp;sourceID=14","0.0458")</f>
        <v>0.0458</v>
      </c>
    </row>
    <row r="5064" spans="1:7">
      <c r="A5064" s="3">
        <v>18</v>
      </c>
      <c r="B5064" s="3">
        <v>8</v>
      </c>
      <c r="C5064" s="3">
        <v>4</v>
      </c>
      <c r="D5064" s="3">
        <v>6</v>
      </c>
      <c r="E5064" s="3">
        <v>1</v>
      </c>
      <c r="F5064" s="4" t="str">
        <f>HYPERLINK("http://141.218.60.56/~jnz1568/getInfo.php?workbook=18_08.xlsx&amp;sheet=U0&amp;row=5064&amp;col=6&amp;number=3&amp;sourceID=14","3")</f>
        <v>3</v>
      </c>
      <c r="G5064" s="4" t="str">
        <f>HYPERLINK("http://141.218.60.56/~jnz1568/getInfo.php?workbook=18_08.xlsx&amp;sheet=U0&amp;row=5064&amp;col=7&amp;number=0.0479&amp;sourceID=14","0.0479")</f>
        <v>0.0479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HYPERLINK("http://141.218.60.56/~jnz1568/getInfo.php?workbook=18_08.xlsx&amp;sheet=U0&amp;row=5065&amp;col=6&amp;number=3.1&amp;sourceID=14","3.1")</f>
        <v>3.1</v>
      </c>
      <c r="G5065" s="4" t="str">
        <f>HYPERLINK("http://141.218.60.56/~jnz1568/getInfo.php?workbook=18_08.xlsx&amp;sheet=U0&amp;row=5065&amp;col=7&amp;number=0.0479&amp;sourceID=14","0.0479")</f>
        <v>0.0479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HYPERLINK("http://141.218.60.56/~jnz1568/getInfo.php?workbook=18_08.xlsx&amp;sheet=U0&amp;row=5066&amp;col=6&amp;number=3.2&amp;sourceID=14","3.2")</f>
        <v>3.2</v>
      </c>
      <c r="G5066" s="4" t="str">
        <f>HYPERLINK("http://141.218.60.56/~jnz1568/getInfo.php?workbook=18_08.xlsx&amp;sheet=U0&amp;row=5066&amp;col=7&amp;number=0.0479&amp;sourceID=14","0.0479")</f>
        <v>0.0479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HYPERLINK("http://141.218.60.56/~jnz1568/getInfo.php?workbook=18_08.xlsx&amp;sheet=U0&amp;row=5067&amp;col=6&amp;number=3.3&amp;sourceID=14","3.3")</f>
        <v>3.3</v>
      </c>
      <c r="G5067" s="4" t="str">
        <f>HYPERLINK("http://141.218.60.56/~jnz1568/getInfo.php?workbook=18_08.xlsx&amp;sheet=U0&amp;row=5067&amp;col=7&amp;number=0.0479&amp;sourceID=14","0.0479")</f>
        <v>0.0479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HYPERLINK("http://141.218.60.56/~jnz1568/getInfo.php?workbook=18_08.xlsx&amp;sheet=U0&amp;row=5068&amp;col=6&amp;number=3.4&amp;sourceID=14","3.4")</f>
        <v>3.4</v>
      </c>
      <c r="G5068" s="4" t="str">
        <f>HYPERLINK("http://141.218.60.56/~jnz1568/getInfo.php?workbook=18_08.xlsx&amp;sheet=U0&amp;row=5068&amp;col=7&amp;number=0.0479&amp;sourceID=14","0.0479")</f>
        <v>0.0479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HYPERLINK("http://141.218.60.56/~jnz1568/getInfo.php?workbook=18_08.xlsx&amp;sheet=U0&amp;row=5069&amp;col=6&amp;number=3.5&amp;sourceID=14","3.5")</f>
        <v>3.5</v>
      </c>
      <c r="G5069" s="4" t="str">
        <f>HYPERLINK("http://141.218.60.56/~jnz1568/getInfo.php?workbook=18_08.xlsx&amp;sheet=U0&amp;row=5069&amp;col=7&amp;number=0.0479&amp;sourceID=14","0.0479")</f>
        <v>0.0479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HYPERLINK("http://141.218.60.56/~jnz1568/getInfo.php?workbook=18_08.xlsx&amp;sheet=U0&amp;row=5070&amp;col=6&amp;number=3.6&amp;sourceID=14","3.6")</f>
        <v>3.6</v>
      </c>
      <c r="G5070" s="4" t="str">
        <f>HYPERLINK("http://141.218.60.56/~jnz1568/getInfo.php?workbook=18_08.xlsx&amp;sheet=U0&amp;row=5070&amp;col=7&amp;number=0.0479&amp;sourceID=14","0.0479")</f>
        <v>0.0479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HYPERLINK("http://141.218.60.56/~jnz1568/getInfo.php?workbook=18_08.xlsx&amp;sheet=U0&amp;row=5071&amp;col=6&amp;number=3.7&amp;sourceID=14","3.7")</f>
        <v>3.7</v>
      </c>
      <c r="G5071" s="4" t="str">
        <f>HYPERLINK("http://141.218.60.56/~jnz1568/getInfo.php?workbook=18_08.xlsx&amp;sheet=U0&amp;row=5071&amp;col=7&amp;number=0.0479&amp;sourceID=14","0.0479")</f>
        <v>0.0479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HYPERLINK("http://141.218.60.56/~jnz1568/getInfo.php?workbook=18_08.xlsx&amp;sheet=U0&amp;row=5072&amp;col=6&amp;number=3.8&amp;sourceID=14","3.8")</f>
        <v>3.8</v>
      </c>
      <c r="G5072" s="4" t="str">
        <f>HYPERLINK("http://141.218.60.56/~jnz1568/getInfo.php?workbook=18_08.xlsx&amp;sheet=U0&amp;row=5072&amp;col=7&amp;number=0.0479&amp;sourceID=14","0.0479")</f>
        <v>0.0479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HYPERLINK("http://141.218.60.56/~jnz1568/getInfo.php?workbook=18_08.xlsx&amp;sheet=U0&amp;row=5073&amp;col=6&amp;number=3.9&amp;sourceID=14","3.9")</f>
        <v>3.9</v>
      </c>
      <c r="G5073" s="4" t="str">
        <f>HYPERLINK("http://141.218.60.56/~jnz1568/getInfo.php?workbook=18_08.xlsx&amp;sheet=U0&amp;row=5073&amp;col=7&amp;number=0.0479&amp;sourceID=14","0.0479")</f>
        <v>0.0479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HYPERLINK("http://141.218.60.56/~jnz1568/getInfo.php?workbook=18_08.xlsx&amp;sheet=U0&amp;row=5074&amp;col=6&amp;number=4&amp;sourceID=14","4")</f>
        <v>4</v>
      </c>
      <c r="G5074" s="4" t="str">
        <f>HYPERLINK("http://141.218.60.56/~jnz1568/getInfo.php?workbook=18_08.xlsx&amp;sheet=U0&amp;row=5074&amp;col=7&amp;number=0.0479&amp;sourceID=14","0.0479")</f>
        <v>0.0479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HYPERLINK("http://141.218.60.56/~jnz1568/getInfo.php?workbook=18_08.xlsx&amp;sheet=U0&amp;row=5075&amp;col=6&amp;number=4.1&amp;sourceID=14","4.1")</f>
        <v>4.1</v>
      </c>
      <c r="G5075" s="4" t="str">
        <f>HYPERLINK("http://141.218.60.56/~jnz1568/getInfo.php?workbook=18_08.xlsx&amp;sheet=U0&amp;row=5075&amp;col=7&amp;number=0.0479&amp;sourceID=14","0.0479")</f>
        <v>0.0479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HYPERLINK("http://141.218.60.56/~jnz1568/getInfo.php?workbook=18_08.xlsx&amp;sheet=U0&amp;row=5076&amp;col=6&amp;number=4.2&amp;sourceID=14","4.2")</f>
        <v>4.2</v>
      </c>
      <c r="G5076" s="4" t="str">
        <f>HYPERLINK("http://141.218.60.56/~jnz1568/getInfo.php?workbook=18_08.xlsx&amp;sheet=U0&amp;row=5076&amp;col=7&amp;number=0.0479&amp;sourceID=14","0.0479")</f>
        <v>0.0479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HYPERLINK("http://141.218.60.56/~jnz1568/getInfo.php?workbook=18_08.xlsx&amp;sheet=U0&amp;row=5077&amp;col=6&amp;number=4.3&amp;sourceID=14","4.3")</f>
        <v>4.3</v>
      </c>
      <c r="G5077" s="4" t="str">
        <f>HYPERLINK("http://141.218.60.56/~jnz1568/getInfo.php?workbook=18_08.xlsx&amp;sheet=U0&amp;row=5077&amp;col=7&amp;number=0.0479&amp;sourceID=14","0.0479")</f>
        <v>0.0479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HYPERLINK("http://141.218.60.56/~jnz1568/getInfo.php?workbook=18_08.xlsx&amp;sheet=U0&amp;row=5078&amp;col=6&amp;number=4.4&amp;sourceID=14","4.4")</f>
        <v>4.4</v>
      </c>
      <c r="G5078" s="4" t="str">
        <f>HYPERLINK("http://141.218.60.56/~jnz1568/getInfo.php?workbook=18_08.xlsx&amp;sheet=U0&amp;row=5078&amp;col=7&amp;number=0.0479&amp;sourceID=14","0.0479")</f>
        <v>0.0479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HYPERLINK("http://141.218.60.56/~jnz1568/getInfo.php?workbook=18_08.xlsx&amp;sheet=U0&amp;row=5079&amp;col=6&amp;number=4.5&amp;sourceID=14","4.5")</f>
        <v>4.5</v>
      </c>
      <c r="G5079" s="4" t="str">
        <f>HYPERLINK("http://141.218.60.56/~jnz1568/getInfo.php?workbook=18_08.xlsx&amp;sheet=U0&amp;row=5079&amp;col=7&amp;number=0.0478&amp;sourceID=14","0.0478")</f>
        <v>0.0478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HYPERLINK("http://141.218.60.56/~jnz1568/getInfo.php?workbook=18_08.xlsx&amp;sheet=U0&amp;row=5080&amp;col=6&amp;number=4.6&amp;sourceID=14","4.6")</f>
        <v>4.6</v>
      </c>
      <c r="G5080" s="4" t="str">
        <f>HYPERLINK("http://141.218.60.56/~jnz1568/getInfo.php?workbook=18_08.xlsx&amp;sheet=U0&amp;row=5080&amp;col=7&amp;number=0.0478&amp;sourceID=14","0.0478")</f>
        <v>0.0478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HYPERLINK("http://141.218.60.56/~jnz1568/getInfo.php?workbook=18_08.xlsx&amp;sheet=U0&amp;row=5081&amp;col=6&amp;number=4.7&amp;sourceID=14","4.7")</f>
        <v>4.7</v>
      </c>
      <c r="G5081" s="4" t="str">
        <f>HYPERLINK("http://141.218.60.56/~jnz1568/getInfo.php?workbook=18_08.xlsx&amp;sheet=U0&amp;row=5081&amp;col=7&amp;number=0.0478&amp;sourceID=14","0.0478")</f>
        <v>0.0478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HYPERLINK("http://141.218.60.56/~jnz1568/getInfo.php?workbook=18_08.xlsx&amp;sheet=U0&amp;row=5082&amp;col=6&amp;number=4.8&amp;sourceID=14","4.8")</f>
        <v>4.8</v>
      </c>
      <c r="G5082" s="4" t="str">
        <f>HYPERLINK("http://141.218.60.56/~jnz1568/getInfo.php?workbook=18_08.xlsx&amp;sheet=U0&amp;row=5082&amp;col=7&amp;number=0.0478&amp;sourceID=14","0.0478")</f>
        <v>0.0478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HYPERLINK("http://141.218.60.56/~jnz1568/getInfo.php?workbook=18_08.xlsx&amp;sheet=U0&amp;row=5083&amp;col=6&amp;number=4.9&amp;sourceID=14","4.9")</f>
        <v>4.9</v>
      </c>
      <c r="G5083" s="4" t="str">
        <f>HYPERLINK("http://141.218.60.56/~jnz1568/getInfo.php?workbook=18_08.xlsx&amp;sheet=U0&amp;row=5083&amp;col=7&amp;number=0.0478&amp;sourceID=14","0.0478")</f>
        <v>0.0478</v>
      </c>
    </row>
    <row r="5084" spans="1:7">
      <c r="A5084" s="3">
        <v>18</v>
      </c>
      <c r="B5084" s="3">
        <v>8</v>
      </c>
      <c r="C5084" s="3">
        <v>4</v>
      </c>
      <c r="D5084" s="3">
        <v>7</v>
      </c>
      <c r="E5084" s="3">
        <v>1</v>
      </c>
      <c r="F5084" s="4" t="str">
        <f>HYPERLINK("http://141.218.60.56/~jnz1568/getInfo.php?workbook=18_08.xlsx&amp;sheet=U0&amp;row=5084&amp;col=6&amp;number=3&amp;sourceID=14","3")</f>
        <v>3</v>
      </c>
      <c r="G5084" s="4" t="str">
        <f>HYPERLINK("http://141.218.60.56/~jnz1568/getInfo.php?workbook=18_08.xlsx&amp;sheet=U0&amp;row=5084&amp;col=7&amp;number=0.0235&amp;sourceID=14","0.0235")</f>
        <v>0.0235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HYPERLINK("http://141.218.60.56/~jnz1568/getInfo.php?workbook=18_08.xlsx&amp;sheet=U0&amp;row=5085&amp;col=6&amp;number=3.1&amp;sourceID=14","3.1")</f>
        <v>3.1</v>
      </c>
      <c r="G5085" s="4" t="str">
        <f>HYPERLINK("http://141.218.60.56/~jnz1568/getInfo.php?workbook=18_08.xlsx&amp;sheet=U0&amp;row=5085&amp;col=7&amp;number=0.0235&amp;sourceID=14","0.0235")</f>
        <v>0.0235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HYPERLINK("http://141.218.60.56/~jnz1568/getInfo.php?workbook=18_08.xlsx&amp;sheet=U0&amp;row=5086&amp;col=6&amp;number=3.2&amp;sourceID=14","3.2")</f>
        <v>3.2</v>
      </c>
      <c r="G5086" s="4" t="str">
        <f>HYPERLINK("http://141.218.60.56/~jnz1568/getInfo.php?workbook=18_08.xlsx&amp;sheet=U0&amp;row=5086&amp;col=7&amp;number=0.0235&amp;sourceID=14","0.0235")</f>
        <v>0.0235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HYPERLINK("http://141.218.60.56/~jnz1568/getInfo.php?workbook=18_08.xlsx&amp;sheet=U0&amp;row=5087&amp;col=6&amp;number=3.3&amp;sourceID=14","3.3")</f>
        <v>3.3</v>
      </c>
      <c r="G5087" s="4" t="str">
        <f>HYPERLINK("http://141.218.60.56/~jnz1568/getInfo.php?workbook=18_08.xlsx&amp;sheet=U0&amp;row=5087&amp;col=7&amp;number=0.0235&amp;sourceID=14","0.0235")</f>
        <v>0.0235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HYPERLINK("http://141.218.60.56/~jnz1568/getInfo.php?workbook=18_08.xlsx&amp;sheet=U0&amp;row=5088&amp;col=6&amp;number=3.4&amp;sourceID=14","3.4")</f>
        <v>3.4</v>
      </c>
      <c r="G5088" s="4" t="str">
        <f>HYPERLINK("http://141.218.60.56/~jnz1568/getInfo.php?workbook=18_08.xlsx&amp;sheet=U0&amp;row=5088&amp;col=7&amp;number=0.0235&amp;sourceID=14","0.0235")</f>
        <v>0.0235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HYPERLINK("http://141.218.60.56/~jnz1568/getInfo.php?workbook=18_08.xlsx&amp;sheet=U0&amp;row=5089&amp;col=6&amp;number=3.5&amp;sourceID=14","3.5")</f>
        <v>3.5</v>
      </c>
      <c r="G5089" s="4" t="str">
        <f>HYPERLINK("http://141.218.60.56/~jnz1568/getInfo.php?workbook=18_08.xlsx&amp;sheet=U0&amp;row=5089&amp;col=7&amp;number=0.0235&amp;sourceID=14","0.0235")</f>
        <v>0.0235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HYPERLINK("http://141.218.60.56/~jnz1568/getInfo.php?workbook=18_08.xlsx&amp;sheet=U0&amp;row=5090&amp;col=6&amp;number=3.6&amp;sourceID=14","3.6")</f>
        <v>3.6</v>
      </c>
      <c r="G5090" s="4" t="str">
        <f>HYPERLINK("http://141.218.60.56/~jnz1568/getInfo.php?workbook=18_08.xlsx&amp;sheet=U0&amp;row=5090&amp;col=7&amp;number=0.0235&amp;sourceID=14","0.0235")</f>
        <v>0.0235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HYPERLINK("http://141.218.60.56/~jnz1568/getInfo.php?workbook=18_08.xlsx&amp;sheet=U0&amp;row=5091&amp;col=6&amp;number=3.7&amp;sourceID=14","3.7")</f>
        <v>3.7</v>
      </c>
      <c r="G5091" s="4" t="str">
        <f>HYPERLINK("http://141.218.60.56/~jnz1568/getInfo.php?workbook=18_08.xlsx&amp;sheet=U0&amp;row=5091&amp;col=7&amp;number=0.0235&amp;sourceID=14","0.0235")</f>
        <v>0.0235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HYPERLINK("http://141.218.60.56/~jnz1568/getInfo.php?workbook=18_08.xlsx&amp;sheet=U0&amp;row=5092&amp;col=6&amp;number=3.8&amp;sourceID=14","3.8")</f>
        <v>3.8</v>
      </c>
      <c r="G5092" s="4" t="str">
        <f>HYPERLINK("http://141.218.60.56/~jnz1568/getInfo.php?workbook=18_08.xlsx&amp;sheet=U0&amp;row=5092&amp;col=7&amp;number=0.0235&amp;sourceID=14","0.0235")</f>
        <v>0.0235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HYPERLINK("http://141.218.60.56/~jnz1568/getInfo.php?workbook=18_08.xlsx&amp;sheet=U0&amp;row=5093&amp;col=6&amp;number=3.9&amp;sourceID=14","3.9")</f>
        <v>3.9</v>
      </c>
      <c r="G5093" s="4" t="str">
        <f>HYPERLINK("http://141.218.60.56/~jnz1568/getInfo.php?workbook=18_08.xlsx&amp;sheet=U0&amp;row=5093&amp;col=7&amp;number=0.0235&amp;sourceID=14","0.0235")</f>
        <v>0.0235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HYPERLINK("http://141.218.60.56/~jnz1568/getInfo.php?workbook=18_08.xlsx&amp;sheet=U0&amp;row=5094&amp;col=6&amp;number=4&amp;sourceID=14","4")</f>
        <v>4</v>
      </c>
      <c r="G5094" s="4" t="str">
        <f>HYPERLINK("http://141.218.60.56/~jnz1568/getInfo.php?workbook=18_08.xlsx&amp;sheet=U0&amp;row=5094&amp;col=7&amp;number=0.0235&amp;sourceID=14","0.0235")</f>
        <v>0.0235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HYPERLINK("http://141.218.60.56/~jnz1568/getInfo.php?workbook=18_08.xlsx&amp;sheet=U0&amp;row=5095&amp;col=6&amp;number=4.1&amp;sourceID=14","4.1")</f>
        <v>4.1</v>
      </c>
      <c r="G5095" s="4" t="str">
        <f>HYPERLINK("http://141.218.60.56/~jnz1568/getInfo.php?workbook=18_08.xlsx&amp;sheet=U0&amp;row=5095&amp;col=7&amp;number=0.0235&amp;sourceID=14","0.0235")</f>
        <v>0.0235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HYPERLINK("http://141.218.60.56/~jnz1568/getInfo.php?workbook=18_08.xlsx&amp;sheet=U0&amp;row=5096&amp;col=6&amp;number=4.2&amp;sourceID=14","4.2")</f>
        <v>4.2</v>
      </c>
      <c r="G5096" s="4" t="str">
        <f>HYPERLINK("http://141.218.60.56/~jnz1568/getInfo.php?workbook=18_08.xlsx&amp;sheet=U0&amp;row=5096&amp;col=7&amp;number=0.0235&amp;sourceID=14","0.0235")</f>
        <v>0.0235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HYPERLINK("http://141.218.60.56/~jnz1568/getInfo.php?workbook=18_08.xlsx&amp;sheet=U0&amp;row=5097&amp;col=6&amp;number=4.3&amp;sourceID=14","4.3")</f>
        <v>4.3</v>
      </c>
      <c r="G5097" s="4" t="str">
        <f>HYPERLINK("http://141.218.60.56/~jnz1568/getInfo.php?workbook=18_08.xlsx&amp;sheet=U0&amp;row=5097&amp;col=7&amp;number=0.0234&amp;sourceID=14","0.0234")</f>
        <v>0.0234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HYPERLINK("http://141.218.60.56/~jnz1568/getInfo.php?workbook=18_08.xlsx&amp;sheet=U0&amp;row=5098&amp;col=6&amp;number=4.4&amp;sourceID=14","4.4")</f>
        <v>4.4</v>
      </c>
      <c r="G5098" s="4" t="str">
        <f>HYPERLINK("http://141.218.60.56/~jnz1568/getInfo.php?workbook=18_08.xlsx&amp;sheet=U0&amp;row=5098&amp;col=7&amp;number=0.0234&amp;sourceID=14","0.0234")</f>
        <v>0.0234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HYPERLINK("http://141.218.60.56/~jnz1568/getInfo.php?workbook=18_08.xlsx&amp;sheet=U0&amp;row=5099&amp;col=6&amp;number=4.5&amp;sourceID=14","4.5")</f>
        <v>4.5</v>
      </c>
      <c r="G5099" s="4" t="str">
        <f>HYPERLINK("http://141.218.60.56/~jnz1568/getInfo.php?workbook=18_08.xlsx&amp;sheet=U0&amp;row=5099&amp;col=7&amp;number=0.0234&amp;sourceID=14","0.0234")</f>
        <v>0.0234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HYPERLINK("http://141.218.60.56/~jnz1568/getInfo.php?workbook=18_08.xlsx&amp;sheet=U0&amp;row=5100&amp;col=6&amp;number=4.6&amp;sourceID=14","4.6")</f>
        <v>4.6</v>
      </c>
      <c r="G5100" s="4" t="str">
        <f>HYPERLINK("http://141.218.60.56/~jnz1568/getInfo.php?workbook=18_08.xlsx&amp;sheet=U0&amp;row=5100&amp;col=7&amp;number=0.0234&amp;sourceID=14","0.0234")</f>
        <v>0.0234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HYPERLINK("http://141.218.60.56/~jnz1568/getInfo.php?workbook=18_08.xlsx&amp;sheet=U0&amp;row=5101&amp;col=6&amp;number=4.7&amp;sourceID=14","4.7")</f>
        <v>4.7</v>
      </c>
      <c r="G5101" s="4" t="str">
        <f>HYPERLINK("http://141.218.60.56/~jnz1568/getInfo.php?workbook=18_08.xlsx&amp;sheet=U0&amp;row=5101&amp;col=7&amp;number=0.0234&amp;sourceID=14","0.0234")</f>
        <v>0.0234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HYPERLINK("http://141.218.60.56/~jnz1568/getInfo.php?workbook=18_08.xlsx&amp;sheet=U0&amp;row=5102&amp;col=6&amp;number=4.8&amp;sourceID=14","4.8")</f>
        <v>4.8</v>
      </c>
      <c r="G5102" s="4" t="str">
        <f>HYPERLINK("http://141.218.60.56/~jnz1568/getInfo.php?workbook=18_08.xlsx&amp;sheet=U0&amp;row=5102&amp;col=7&amp;number=0.0233&amp;sourceID=14","0.0233")</f>
        <v>0.0233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HYPERLINK("http://141.218.60.56/~jnz1568/getInfo.php?workbook=18_08.xlsx&amp;sheet=U0&amp;row=5103&amp;col=6&amp;number=4.9&amp;sourceID=14","4.9")</f>
        <v>4.9</v>
      </c>
      <c r="G5103" s="4" t="str">
        <f>HYPERLINK("http://141.218.60.56/~jnz1568/getInfo.php?workbook=18_08.xlsx&amp;sheet=U0&amp;row=5103&amp;col=7&amp;number=0.0233&amp;sourceID=14","0.0233")</f>
        <v>0.0233</v>
      </c>
    </row>
    <row r="5104" spans="1:7">
      <c r="A5104" s="3">
        <v>18</v>
      </c>
      <c r="B5104" s="3">
        <v>8</v>
      </c>
      <c r="C5104" s="3">
        <v>4</v>
      </c>
      <c r="D5104" s="3">
        <v>8</v>
      </c>
      <c r="E5104" s="3">
        <v>1</v>
      </c>
      <c r="F5104" s="4" t="str">
        <f>HYPERLINK("http://141.218.60.56/~jnz1568/getInfo.php?workbook=18_08.xlsx&amp;sheet=U0&amp;row=5104&amp;col=6&amp;number=3&amp;sourceID=14","3")</f>
        <v>3</v>
      </c>
      <c r="G5104" s="4" t="str">
        <f>HYPERLINK("http://141.218.60.56/~jnz1568/getInfo.php?workbook=18_08.xlsx&amp;sheet=U0&amp;row=5104&amp;col=7&amp;number=0.00827&amp;sourceID=14","0.00827")</f>
        <v>0.00827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HYPERLINK("http://141.218.60.56/~jnz1568/getInfo.php?workbook=18_08.xlsx&amp;sheet=U0&amp;row=5105&amp;col=6&amp;number=3.1&amp;sourceID=14","3.1")</f>
        <v>3.1</v>
      </c>
      <c r="G5105" s="4" t="str">
        <f>HYPERLINK("http://141.218.60.56/~jnz1568/getInfo.php?workbook=18_08.xlsx&amp;sheet=U0&amp;row=5105&amp;col=7&amp;number=0.00827&amp;sourceID=14","0.00827")</f>
        <v>0.00827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HYPERLINK("http://141.218.60.56/~jnz1568/getInfo.php?workbook=18_08.xlsx&amp;sheet=U0&amp;row=5106&amp;col=6&amp;number=3.2&amp;sourceID=14","3.2")</f>
        <v>3.2</v>
      </c>
      <c r="G5106" s="4" t="str">
        <f>HYPERLINK("http://141.218.60.56/~jnz1568/getInfo.php?workbook=18_08.xlsx&amp;sheet=U0&amp;row=5106&amp;col=7&amp;number=0.00827&amp;sourceID=14","0.00827")</f>
        <v>0.00827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HYPERLINK("http://141.218.60.56/~jnz1568/getInfo.php?workbook=18_08.xlsx&amp;sheet=U0&amp;row=5107&amp;col=6&amp;number=3.3&amp;sourceID=14","3.3")</f>
        <v>3.3</v>
      </c>
      <c r="G5107" s="4" t="str">
        <f>HYPERLINK("http://141.218.60.56/~jnz1568/getInfo.php?workbook=18_08.xlsx&amp;sheet=U0&amp;row=5107&amp;col=7&amp;number=0.00827&amp;sourceID=14","0.00827")</f>
        <v>0.00827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HYPERLINK("http://141.218.60.56/~jnz1568/getInfo.php?workbook=18_08.xlsx&amp;sheet=U0&amp;row=5108&amp;col=6&amp;number=3.4&amp;sourceID=14","3.4")</f>
        <v>3.4</v>
      </c>
      <c r="G5108" s="4" t="str">
        <f>HYPERLINK("http://141.218.60.56/~jnz1568/getInfo.php?workbook=18_08.xlsx&amp;sheet=U0&amp;row=5108&amp;col=7&amp;number=0.00827&amp;sourceID=14","0.00827")</f>
        <v>0.00827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HYPERLINK("http://141.218.60.56/~jnz1568/getInfo.php?workbook=18_08.xlsx&amp;sheet=U0&amp;row=5109&amp;col=6&amp;number=3.5&amp;sourceID=14","3.5")</f>
        <v>3.5</v>
      </c>
      <c r="G5109" s="4" t="str">
        <f>HYPERLINK("http://141.218.60.56/~jnz1568/getInfo.php?workbook=18_08.xlsx&amp;sheet=U0&amp;row=5109&amp;col=7&amp;number=0.00827&amp;sourceID=14","0.00827")</f>
        <v>0.00827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HYPERLINK("http://141.218.60.56/~jnz1568/getInfo.php?workbook=18_08.xlsx&amp;sheet=U0&amp;row=5110&amp;col=6&amp;number=3.6&amp;sourceID=14","3.6")</f>
        <v>3.6</v>
      </c>
      <c r="G5110" s="4" t="str">
        <f>HYPERLINK("http://141.218.60.56/~jnz1568/getInfo.php?workbook=18_08.xlsx&amp;sheet=U0&amp;row=5110&amp;col=7&amp;number=0.00827&amp;sourceID=14","0.00827")</f>
        <v>0.00827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HYPERLINK("http://141.218.60.56/~jnz1568/getInfo.php?workbook=18_08.xlsx&amp;sheet=U0&amp;row=5111&amp;col=6&amp;number=3.7&amp;sourceID=14","3.7")</f>
        <v>3.7</v>
      </c>
      <c r="G5111" s="4" t="str">
        <f>HYPERLINK("http://141.218.60.56/~jnz1568/getInfo.php?workbook=18_08.xlsx&amp;sheet=U0&amp;row=5111&amp;col=7&amp;number=0.00826&amp;sourceID=14","0.00826")</f>
        <v>0.00826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HYPERLINK("http://141.218.60.56/~jnz1568/getInfo.php?workbook=18_08.xlsx&amp;sheet=U0&amp;row=5112&amp;col=6&amp;number=3.8&amp;sourceID=14","3.8")</f>
        <v>3.8</v>
      </c>
      <c r="G5112" s="4" t="str">
        <f>HYPERLINK("http://141.218.60.56/~jnz1568/getInfo.php?workbook=18_08.xlsx&amp;sheet=U0&amp;row=5112&amp;col=7&amp;number=0.00826&amp;sourceID=14","0.00826")</f>
        <v>0.00826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HYPERLINK("http://141.218.60.56/~jnz1568/getInfo.php?workbook=18_08.xlsx&amp;sheet=U0&amp;row=5113&amp;col=6&amp;number=3.9&amp;sourceID=14","3.9")</f>
        <v>3.9</v>
      </c>
      <c r="G5113" s="4" t="str">
        <f>HYPERLINK("http://141.218.60.56/~jnz1568/getInfo.php?workbook=18_08.xlsx&amp;sheet=U0&amp;row=5113&amp;col=7&amp;number=0.00826&amp;sourceID=14","0.00826")</f>
        <v>0.00826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HYPERLINK("http://141.218.60.56/~jnz1568/getInfo.php?workbook=18_08.xlsx&amp;sheet=U0&amp;row=5114&amp;col=6&amp;number=4&amp;sourceID=14","4")</f>
        <v>4</v>
      </c>
      <c r="G5114" s="4" t="str">
        <f>HYPERLINK("http://141.218.60.56/~jnz1568/getInfo.php?workbook=18_08.xlsx&amp;sheet=U0&amp;row=5114&amp;col=7&amp;number=0.00826&amp;sourceID=14","0.00826")</f>
        <v>0.00826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HYPERLINK("http://141.218.60.56/~jnz1568/getInfo.php?workbook=18_08.xlsx&amp;sheet=U0&amp;row=5115&amp;col=6&amp;number=4.1&amp;sourceID=14","4.1")</f>
        <v>4.1</v>
      </c>
      <c r="G5115" s="4" t="str">
        <f>HYPERLINK("http://141.218.60.56/~jnz1568/getInfo.php?workbook=18_08.xlsx&amp;sheet=U0&amp;row=5115&amp;col=7&amp;number=0.00826&amp;sourceID=14","0.00826")</f>
        <v>0.00826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HYPERLINK("http://141.218.60.56/~jnz1568/getInfo.php?workbook=18_08.xlsx&amp;sheet=U0&amp;row=5116&amp;col=6&amp;number=4.2&amp;sourceID=14","4.2")</f>
        <v>4.2</v>
      </c>
      <c r="G5116" s="4" t="str">
        <f>HYPERLINK("http://141.218.60.56/~jnz1568/getInfo.php?workbook=18_08.xlsx&amp;sheet=U0&amp;row=5116&amp;col=7&amp;number=0.00825&amp;sourceID=14","0.00825")</f>
        <v>0.00825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HYPERLINK("http://141.218.60.56/~jnz1568/getInfo.php?workbook=18_08.xlsx&amp;sheet=U0&amp;row=5117&amp;col=6&amp;number=4.3&amp;sourceID=14","4.3")</f>
        <v>4.3</v>
      </c>
      <c r="G5117" s="4" t="str">
        <f>HYPERLINK("http://141.218.60.56/~jnz1568/getInfo.php?workbook=18_08.xlsx&amp;sheet=U0&amp;row=5117&amp;col=7&amp;number=0.00825&amp;sourceID=14","0.00825")</f>
        <v>0.00825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HYPERLINK("http://141.218.60.56/~jnz1568/getInfo.php?workbook=18_08.xlsx&amp;sheet=U0&amp;row=5118&amp;col=6&amp;number=4.4&amp;sourceID=14","4.4")</f>
        <v>4.4</v>
      </c>
      <c r="G5118" s="4" t="str">
        <f>HYPERLINK("http://141.218.60.56/~jnz1568/getInfo.php?workbook=18_08.xlsx&amp;sheet=U0&amp;row=5118&amp;col=7&amp;number=0.00824&amp;sourceID=14","0.00824")</f>
        <v>0.00824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HYPERLINK("http://141.218.60.56/~jnz1568/getInfo.php?workbook=18_08.xlsx&amp;sheet=U0&amp;row=5119&amp;col=6&amp;number=4.5&amp;sourceID=14","4.5")</f>
        <v>4.5</v>
      </c>
      <c r="G5119" s="4" t="str">
        <f>HYPERLINK("http://141.218.60.56/~jnz1568/getInfo.php?workbook=18_08.xlsx&amp;sheet=U0&amp;row=5119&amp;col=7&amp;number=0.00824&amp;sourceID=14","0.00824")</f>
        <v>0.00824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HYPERLINK("http://141.218.60.56/~jnz1568/getInfo.php?workbook=18_08.xlsx&amp;sheet=U0&amp;row=5120&amp;col=6&amp;number=4.6&amp;sourceID=14","4.6")</f>
        <v>4.6</v>
      </c>
      <c r="G5120" s="4" t="str">
        <f>HYPERLINK("http://141.218.60.56/~jnz1568/getInfo.php?workbook=18_08.xlsx&amp;sheet=U0&amp;row=5120&amp;col=7&amp;number=0.00823&amp;sourceID=14","0.00823")</f>
        <v>0.00823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HYPERLINK("http://141.218.60.56/~jnz1568/getInfo.php?workbook=18_08.xlsx&amp;sheet=U0&amp;row=5121&amp;col=6&amp;number=4.7&amp;sourceID=14","4.7")</f>
        <v>4.7</v>
      </c>
      <c r="G5121" s="4" t="str">
        <f>HYPERLINK("http://141.218.60.56/~jnz1568/getInfo.php?workbook=18_08.xlsx&amp;sheet=U0&amp;row=5121&amp;col=7&amp;number=0.00822&amp;sourceID=14","0.00822")</f>
        <v>0.00822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HYPERLINK("http://141.218.60.56/~jnz1568/getInfo.php?workbook=18_08.xlsx&amp;sheet=U0&amp;row=5122&amp;col=6&amp;number=4.8&amp;sourceID=14","4.8")</f>
        <v>4.8</v>
      </c>
      <c r="G5122" s="4" t="str">
        <f>HYPERLINK("http://141.218.60.56/~jnz1568/getInfo.php?workbook=18_08.xlsx&amp;sheet=U0&amp;row=5122&amp;col=7&amp;number=0.00821&amp;sourceID=14","0.00821")</f>
        <v>0.00821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HYPERLINK("http://141.218.60.56/~jnz1568/getInfo.php?workbook=18_08.xlsx&amp;sheet=U0&amp;row=5123&amp;col=6&amp;number=4.9&amp;sourceID=14","4.9")</f>
        <v>4.9</v>
      </c>
      <c r="G5123" s="4" t="str">
        <f>HYPERLINK("http://141.218.60.56/~jnz1568/getInfo.php?workbook=18_08.xlsx&amp;sheet=U0&amp;row=5123&amp;col=7&amp;number=0.00819&amp;sourceID=14","0.00819")</f>
        <v>0.00819</v>
      </c>
    </row>
    <row r="5124" spans="1:7">
      <c r="A5124" s="3">
        <v>18</v>
      </c>
      <c r="B5124" s="3">
        <v>8</v>
      </c>
      <c r="C5124" s="3">
        <v>4</v>
      </c>
      <c r="D5124" s="3">
        <v>9</v>
      </c>
      <c r="E5124" s="3">
        <v>1</v>
      </c>
      <c r="F5124" s="4" t="str">
        <f>HYPERLINK("http://141.218.60.56/~jnz1568/getInfo.php?workbook=18_08.xlsx&amp;sheet=U0&amp;row=5124&amp;col=6&amp;number=3&amp;sourceID=14","3")</f>
        <v>3</v>
      </c>
      <c r="G5124" s="4" t="str">
        <f>HYPERLINK("http://141.218.60.56/~jnz1568/getInfo.php?workbook=18_08.xlsx&amp;sheet=U0&amp;row=5124&amp;col=7&amp;number=1.11&amp;sourceID=14","1.11")</f>
        <v>1.11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HYPERLINK("http://141.218.60.56/~jnz1568/getInfo.php?workbook=18_08.xlsx&amp;sheet=U0&amp;row=5125&amp;col=6&amp;number=3.1&amp;sourceID=14","3.1")</f>
        <v>3.1</v>
      </c>
      <c r="G5125" s="4" t="str">
        <f>HYPERLINK("http://141.218.60.56/~jnz1568/getInfo.php?workbook=18_08.xlsx&amp;sheet=U0&amp;row=5125&amp;col=7&amp;number=1.11&amp;sourceID=14","1.11")</f>
        <v>1.11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HYPERLINK("http://141.218.60.56/~jnz1568/getInfo.php?workbook=18_08.xlsx&amp;sheet=U0&amp;row=5126&amp;col=6&amp;number=3.2&amp;sourceID=14","3.2")</f>
        <v>3.2</v>
      </c>
      <c r="G5126" s="4" t="str">
        <f>HYPERLINK("http://141.218.60.56/~jnz1568/getInfo.php?workbook=18_08.xlsx&amp;sheet=U0&amp;row=5126&amp;col=7&amp;number=1.11&amp;sourceID=14","1.11")</f>
        <v>1.11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HYPERLINK("http://141.218.60.56/~jnz1568/getInfo.php?workbook=18_08.xlsx&amp;sheet=U0&amp;row=5127&amp;col=6&amp;number=3.3&amp;sourceID=14","3.3")</f>
        <v>3.3</v>
      </c>
      <c r="G5127" s="4" t="str">
        <f>HYPERLINK("http://141.218.60.56/~jnz1568/getInfo.php?workbook=18_08.xlsx&amp;sheet=U0&amp;row=5127&amp;col=7&amp;number=1.11&amp;sourceID=14","1.11")</f>
        <v>1.11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HYPERLINK("http://141.218.60.56/~jnz1568/getInfo.php?workbook=18_08.xlsx&amp;sheet=U0&amp;row=5128&amp;col=6&amp;number=3.4&amp;sourceID=14","3.4")</f>
        <v>3.4</v>
      </c>
      <c r="G5128" s="4" t="str">
        <f>HYPERLINK("http://141.218.60.56/~jnz1568/getInfo.php?workbook=18_08.xlsx&amp;sheet=U0&amp;row=5128&amp;col=7&amp;number=1.11&amp;sourceID=14","1.11")</f>
        <v>1.11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HYPERLINK("http://141.218.60.56/~jnz1568/getInfo.php?workbook=18_08.xlsx&amp;sheet=U0&amp;row=5129&amp;col=6&amp;number=3.5&amp;sourceID=14","3.5")</f>
        <v>3.5</v>
      </c>
      <c r="G5129" s="4" t="str">
        <f>HYPERLINK("http://141.218.60.56/~jnz1568/getInfo.php?workbook=18_08.xlsx&amp;sheet=U0&amp;row=5129&amp;col=7&amp;number=1.11&amp;sourceID=14","1.11")</f>
        <v>1.11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HYPERLINK("http://141.218.60.56/~jnz1568/getInfo.php?workbook=18_08.xlsx&amp;sheet=U0&amp;row=5130&amp;col=6&amp;number=3.6&amp;sourceID=14","3.6")</f>
        <v>3.6</v>
      </c>
      <c r="G5130" s="4" t="str">
        <f>HYPERLINK("http://141.218.60.56/~jnz1568/getInfo.php?workbook=18_08.xlsx&amp;sheet=U0&amp;row=5130&amp;col=7&amp;number=1.11&amp;sourceID=14","1.11")</f>
        <v>1.11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HYPERLINK("http://141.218.60.56/~jnz1568/getInfo.php?workbook=18_08.xlsx&amp;sheet=U0&amp;row=5131&amp;col=6&amp;number=3.7&amp;sourceID=14","3.7")</f>
        <v>3.7</v>
      </c>
      <c r="G5131" s="4" t="str">
        <f>HYPERLINK("http://141.218.60.56/~jnz1568/getInfo.php?workbook=18_08.xlsx&amp;sheet=U0&amp;row=5131&amp;col=7&amp;number=1.11&amp;sourceID=14","1.11")</f>
        <v>1.11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HYPERLINK("http://141.218.60.56/~jnz1568/getInfo.php?workbook=18_08.xlsx&amp;sheet=U0&amp;row=5132&amp;col=6&amp;number=3.8&amp;sourceID=14","3.8")</f>
        <v>3.8</v>
      </c>
      <c r="G5132" s="4" t="str">
        <f>HYPERLINK("http://141.218.60.56/~jnz1568/getInfo.php?workbook=18_08.xlsx&amp;sheet=U0&amp;row=5132&amp;col=7&amp;number=1.11&amp;sourceID=14","1.11")</f>
        <v>1.11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HYPERLINK("http://141.218.60.56/~jnz1568/getInfo.php?workbook=18_08.xlsx&amp;sheet=U0&amp;row=5133&amp;col=6&amp;number=3.9&amp;sourceID=14","3.9")</f>
        <v>3.9</v>
      </c>
      <c r="G5133" s="4" t="str">
        <f>HYPERLINK("http://141.218.60.56/~jnz1568/getInfo.php?workbook=18_08.xlsx&amp;sheet=U0&amp;row=5133&amp;col=7&amp;number=1.11&amp;sourceID=14","1.11")</f>
        <v>1.11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HYPERLINK("http://141.218.60.56/~jnz1568/getInfo.php?workbook=18_08.xlsx&amp;sheet=U0&amp;row=5134&amp;col=6&amp;number=4&amp;sourceID=14","4")</f>
        <v>4</v>
      </c>
      <c r="G5134" s="4" t="str">
        <f>HYPERLINK("http://141.218.60.56/~jnz1568/getInfo.php?workbook=18_08.xlsx&amp;sheet=U0&amp;row=5134&amp;col=7&amp;number=1.11&amp;sourceID=14","1.11")</f>
        <v>1.11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HYPERLINK("http://141.218.60.56/~jnz1568/getInfo.php?workbook=18_08.xlsx&amp;sheet=U0&amp;row=5135&amp;col=6&amp;number=4.1&amp;sourceID=14","4.1")</f>
        <v>4.1</v>
      </c>
      <c r="G5135" s="4" t="str">
        <f>HYPERLINK("http://141.218.60.56/~jnz1568/getInfo.php?workbook=18_08.xlsx&amp;sheet=U0&amp;row=5135&amp;col=7&amp;number=1.11&amp;sourceID=14","1.11")</f>
        <v>1.11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HYPERLINK("http://141.218.60.56/~jnz1568/getInfo.php?workbook=18_08.xlsx&amp;sheet=U0&amp;row=5136&amp;col=6&amp;number=4.2&amp;sourceID=14","4.2")</f>
        <v>4.2</v>
      </c>
      <c r="G5136" s="4" t="str">
        <f>HYPERLINK("http://141.218.60.56/~jnz1568/getInfo.php?workbook=18_08.xlsx&amp;sheet=U0&amp;row=5136&amp;col=7&amp;number=1.11&amp;sourceID=14","1.11")</f>
        <v>1.11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HYPERLINK("http://141.218.60.56/~jnz1568/getInfo.php?workbook=18_08.xlsx&amp;sheet=U0&amp;row=5137&amp;col=6&amp;number=4.3&amp;sourceID=14","4.3")</f>
        <v>4.3</v>
      </c>
      <c r="G5137" s="4" t="str">
        <f>HYPERLINK("http://141.218.60.56/~jnz1568/getInfo.php?workbook=18_08.xlsx&amp;sheet=U0&amp;row=5137&amp;col=7&amp;number=1.11&amp;sourceID=14","1.11")</f>
        <v>1.11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HYPERLINK("http://141.218.60.56/~jnz1568/getInfo.php?workbook=18_08.xlsx&amp;sheet=U0&amp;row=5138&amp;col=6&amp;number=4.4&amp;sourceID=14","4.4")</f>
        <v>4.4</v>
      </c>
      <c r="G5138" s="4" t="str">
        <f>HYPERLINK("http://141.218.60.56/~jnz1568/getInfo.php?workbook=18_08.xlsx&amp;sheet=U0&amp;row=5138&amp;col=7&amp;number=1.11&amp;sourceID=14","1.11")</f>
        <v>1.11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HYPERLINK("http://141.218.60.56/~jnz1568/getInfo.php?workbook=18_08.xlsx&amp;sheet=U0&amp;row=5139&amp;col=6&amp;number=4.5&amp;sourceID=14","4.5")</f>
        <v>4.5</v>
      </c>
      <c r="G5139" s="4" t="str">
        <f>HYPERLINK("http://141.218.60.56/~jnz1568/getInfo.php?workbook=18_08.xlsx&amp;sheet=U0&amp;row=5139&amp;col=7&amp;number=1.11&amp;sourceID=14","1.11")</f>
        <v>1.11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HYPERLINK("http://141.218.60.56/~jnz1568/getInfo.php?workbook=18_08.xlsx&amp;sheet=U0&amp;row=5140&amp;col=6&amp;number=4.6&amp;sourceID=14","4.6")</f>
        <v>4.6</v>
      </c>
      <c r="G5140" s="4" t="str">
        <f>HYPERLINK("http://141.218.60.56/~jnz1568/getInfo.php?workbook=18_08.xlsx&amp;sheet=U0&amp;row=5140&amp;col=7&amp;number=1.12&amp;sourceID=14","1.12")</f>
        <v>1.12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HYPERLINK("http://141.218.60.56/~jnz1568/getInfo.php?workbook=18_08.xlsx&amp;sheet=U0&amp;row=5141&amp;col=6&amp;number=4.7&amp;sourceID=14","4.7")</f>
        <v>4.7</v>
      </c>
      <c r="G5141" s="4" t="str">
        <f>HYPERLINK("http://141.218.60.56/~jnz1568/getInfo.php?workbook=18_08.xlsx&amp;sheet=U0&amp;row=5141&amp;col=7&amp;number=1.12&amp;sourceID=14","1.12")</f>
        <v>1.12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HYPERLINK("http://141.218.60.56/~jnz1568/getInfo.php?workbook=18_08.xlsx&amp;sheet=U0&amp;row=5142&amp;col=6&amp;number=4.8&amp;sourceID=14","4.8")</f>
        <v>4.8</v>
      </c>
      <c r="G5142" s="4" t="str">
        <f>HYPERLINK("http://141.218.60.56/~jnz1568/getInfo.php?workbook=18_08.xlsx&amp;sheet=U0&amp;row=5142&amp;col=7&amp;number=1.12&amp;sourceID=14","1.12")</f>
        <v>1.12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HYPERLINK("http://141.218.60.56/~jnz1568/getInfo.php?workbook=18_08.xlsx&amp;sheet=U0&amp;row=5143&amp;col=6&amp;number=4.9&amp;sourceID=14","4.9")</f>
        <v>4.9</v>
      </c>
      <c r="G5143" s="4" t="str">
        <f>HYPERLINK("http://141.218.60.56/~jnz1568/getInfo.php?workbook=18_08.xlsx&amp;sheet=U0&amp;row=5143&amp;col=7&amp;number=1.13&amp;sourceID=14","1.13")</f>
        <v>1.13</v>
      </c>
    </row>
    <row r="5144" spans="1:7">
      <c r="A5144" s="3">
        <v>18</v>
      </c>
      <c r="B5144" s="3">
        <v>8</v>
      </c>
      <c r="C5144" s="3" t="s">
        <v>70</v>
      </c>
      <c r="D5144" s="3">
        <v>0</v>
      </c>
      <c r="E5144" s="3">
        <v>1</v>
      </c>
      <c r="F5144" s="4" t="str">
        <f>HYPERLINK("http://141.218.60.56/~jnz1568/getInfo.php?workbook=18_08.xlsx&amp;sheet=U0&amp;row=5144&amp;col=6&amp;number=3&amp;sourceID=14","3")</f>
        <v>3</v>
      </c>
      <c r="G5144" s="4" t="str">
        <f>HYPERLINK("http://141.218.60.56/~jnz1568/getInfo.php?workbook=18_08.xlsx&amp;sheet=U0&amp;row=5144&amp;col=7&amp;number=0.00408&amp;sourceID=14","0.00408")</f>
        <v>0.00408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HYPERLINK("http://141.218.60.56/~jnz1568/getInfo.php?workbook=18_08.xlsx&amp;sheet=U0&amp;row=5145&amp;col=6&amp;number=3.1&amp;sourceID=14","3.1")</f>
        <v>3.1</v>
      </c>
      <c r="G5145" s="4" t="str">
        <f>HYPERLINK("http://141.218.60.56/~jnz1568/getInfo.php?workbook=18_08.xlsx&amp;sheet=U0&amp;row=5145&amp;col=7&amp;number=0.00408&amp;sourceID=14","0.00408")</f>
        <v>0.00408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HYPERLINK("http://141.218.60.56/~jnz1568/getInfo.php?workbook=18_08.xlsx&amp;sheet=U0&amp;row=5146&amp;col=6&amp;number=3.2&amp;sourceID=14","3.2")</f>
        <v>3.2</v>
      </c>
      <c r="G5146" s="4" t="str">
        <f>HYPERLINK("http://141.218.60.56/~jnz1568/getInfo.php?workbook=18_08.xlsx&amp;sheet=U0&amp;row=5146&amp;col=7&amp;number=0.00408&amp;sourceID=14","0.00408")</f>
        <v>0.00408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HYPERLINK("http://141.218.60.56/~jnz1568/getInfo.php?workbook=18_08.xlsx&amp;sheet=U0&amp;row=5147&amp;col=6&amp;number=3.3&amp;sourceID=14","3.3")</f>
        <v>3.3</v>
      </c>
      <c r="G5147" s="4" t="str">
        <f>HYPERLINK("http://141.218.60.56/~jnz1568/getInfo.php?workbook=18_08.xlsx&amp;sheet=U0&amp;row=5147&amp;col=7&amp;number=0.00408&amp;sourceID=14","0.00408")</f>
        <v>0.00408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HYPERLINK("http://141.218.60.56/~jnz1568/getInfo.php?workbook=18_08.xlsx&amp;sheet=U0&amp;row=5148&amp;col=6&amp;number=3.4&amp;sourceID=14","3.4")</f>
        <v>3.4</v>
      </c>
      <c r="G5148" s="4" t="str">
        <f>HYPERLINK("http://141.218.60.56/~jnz1568/getInfo.php?workbook=18_08.xlsx&amp;sheet=U0&amp;row=5148&amp;col=7&amp;number=0.00408&amp;sourceID=14","0.00408")</f>
        <v>0.00408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HYPERLINK("http://141.218.60.56/~jnz1568/getInfo.php?workbook=18_08.xlsx&amp;sheet=U0&amp;row=5149&amp;col=6&amp;number=3.5&amp;sourceID=14","3.5")</f>
        <v>3.5</v>
      </c>
      <c r="G5149" s="4" t="str">
        <f>HYPERLINK("http://141.218.60.56/~jnz1568/getInfo.php?workbook=18_08.xlsx&amp;sheet=U0&amp;row=5149&amp;col=7&amp;number=0.00408&amp;sourceID=14","0.00408")</f>
        <v>0.00408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HYPERLINK("http://141.218.60.56/~jnz1568/getInfo.php?workbook=18_08.xlsx&amp;sheet=U0&amp;row=5150&amp;col=6&amp;number=3.6&amp;sourceID=14","3.6")</f>
        <v>3.6</v>
      </c>
      <c r="G5150" s="4" t="str">
        <f>HYPERLINK("http://141.218.60.56/~jnz1568/getInfo.php?workbook=18_08.xlsx&amp;sheet=U0&amp;row=5150&amp;col=7&amp;number=0.00408&amp;sourceID=14","0.00408")</f>
        <v>0.00408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HYPERLINK("http://141.218.60.56/~jnz1568/getInfo.php?workbook=18_08.xlsx&amp;sheet=U0&amp;row=5151&amp;col=6&amp;number=3.7&amp;sourceID=14","3.7")</f>
        <v>3.7</v>
      </c>
      <c r="G5151" s="4" t="str">
        <f>HYPERLINK("http://141.218.60.56/~jnz1568/getInfo.php?workbook=18_08.xlsx&amp;sheet=U0&amp;row=5151&amp;col=7&amp;number=0.00408&amp;sourceID=14","0.00408")</f>
        <v>0.00408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HYPERLINK("http://141.218.60.56/~jnz1568/getInfo.php?workbook=18_08.xlsx&amp;sheet=U0&amp;row=5152&amp;col=6&amp;number=3.8&amp;sourceID=14","3.8")</f>
        <v>3.8</v>
      </c>
      <c r="G5152" s="4" t="str">
        <f>HYPERLINK("http://141.218.60.56/~jnz1568/getInfo.php?workbook=18_08.xlsx&amp;sheet=U0&amp;row=5152&amp;col=7&amp;number=0.00408&amp;sourceID=14","0.00408")</f>
        <v>0.00408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HYPERLINK("http://141.218.60.56/~jnz1568/getInfo.php?workbook=18_08.xlsx&amp;sheet=U0&amp;row=5153&amp;col=6&amp;number=3.9&amp;sourceID=14","3.9")</f>
        <v>3.9</v>
      </c>
      <c r="G5153" s="4" t="str">
        <f>HYPERLINK("http://141.218.60.56/~jnz1568/getInfo.php?workbook=18_08.xlsx&amp;sheet=U0&amp;row=5153&amp;col=7&amp;number=0.00408&amp;sourceID=14","0.00408")</f>
        <v>0.00408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HYPERLINK("http://141.218.60.56/~jnz1568/getInfo.php?workbook=18_08.xlsx&amp;sheet=U0&amp;row=5154&amp;col=6&amp;number=4&amp;sourceID=14","4")</f>
        <v>4</v>
      </c>
      <c r="G5154" s="4" t="str">
        <f>HYPERLINK("http://141.218.60.56/~jnz1568/getInfo.php?workbook=18_08.xlsx&amp;sheet=U0&amp;row=5154&amp;col=7&amp;number=0.00408&amp;sourceID=14","0.00408")</f>
        <v>0.00408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HYPERLINK("http://141.218.60.56/~jnz1568/getInfo.php?workbook=18_08.xlsx&amp;sheet=U0&amp;row=5155&amp;col=6&amp;number=4.1&amp;sourceID=14","4.1")</f>
        <v>4.1</v>
      </c>
      <c r="G5155" s="4" t="str">
        <f>HYPERLINK("http://141.218.60.56/~jnz1568/getInfo.php?workbook=18_08.xlsx&amp;sheet=U0&amp;row=5155&amp;col=7&amp;number=0.00408&amp;sourceID=14","0.00408")</f>
        <v>0.00408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HYPERLINK("http://141.218.60.56/~jnz1568/getInfo.php?workbook=18_08.xlsx&amp;sheet=U0&amp;row=5156&amp;col=6&amp;number=4.2&amp;sourceID=14","4.2")</f>
        <v>4.2</v>
      </c>
      <c r="G5156" s="4" t="str">
        <f>HYPERLINK("http://141.218.60.56/~jnz1568/getInfo.php?workbook=18_08.xlsx&amp;sheet=U0&amp;row=5156&amp;col=7&amp;number=0.00408&amp;sourceID=14","0.00408")</f>
        <v>0.00408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HYPERLINK("http://141.218.60.56/~jnz1568/getInfo.php?workbook=18_08.xlsx&amp;sheet=U0&amp;row=5157&amp;col=6&amp;number=4.3&amp;sourceID=14","4.3")</f>
        <v>4.3</v>
      </c>
      <c r="G5157" s="4" t="str">
        <f>HYPERLINK("http://141.218.60.56/~jnz1568/getInfo.php?workbook=18_08.xlsx&amp;sheet=U0&amp;row=5157&amp;col=7&amp;number=0.00408&amp;sourceID=14","0.00408")</f>
        <v>0.00408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HYPERLINK("http://141.218.60.56/~jnz1568/getInfo.php?workbook=18_08.xlsx&amp;sheet=U0&amp;row=5158&amp;col=6&amp;number=4.4&amp;sourceID=14","4.4")</f>
        <v>4.4</v>
      </c>
      <c r="G5158" s="4" t="str">
        <f>HYPERLINK("http://141.218.60.56/~jnz1568/getInfo.php?workbook=18_08.xlsx&amp;sheet=U0&amp;row=5158&amp;col=7&amp;number=0.00407&amp;sourceID=14","0.00407")</f>
        <v>0.00407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HYPERLINK("http://141.218.60.56/~jnz1568/getInfo.php?workbook=18_08.xlsx&amp;sheet=U0&amp;row=5159&amp;col=6&amp;number=4.5&amp;sourceID=14","4.5")</f>
        <v>4.5</v>
      </c>
      <c r="G5159" s="4" t="str">
        <f>HYPERLINK("http://141.218.60.56/~jnz1568/getInfo.php?workbook=18_08.xlsx&amp;sheet=U0&amp;row=5159&amp;col=7&amp;number=0.00407&amp;sourceID=14","0.00407")</f>
        <v>0.00407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HYPERLINK("http://141.218.60.56/~jnz1568/getInfo.php?workbook=18_08.xlsx&amp;sheet=U0&amp;row=5160&amp;col=6&amp;number=4.6&amp;sourceID=14","4.6")</f>
        <v>4.6</v>
      </c>
      <c r="G5160" s="4" t="str">
        <f>HYPERLINK("http://141.218.60.56/~jnz1568/getInfo.php?workbook=18_08.xlsx&amp;sheet=U0&amp;row=5160&amp;col=7&amp;number=0.00407&amp;sourceID=14","0.00407")</f>
        <v>0.00407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HYPERLINK("http://141.218.60.56/~jnz1568/getInfo.php?workbook=18_08.xlsx&amp;sheet=U0&amp;row=5161&amp;col=6&amp;number=4.7&amp;sourceID=14","4.7")</f>
        <v>4.7</v>
      </c>
      <c r="G5161" s="4" t="str">
        <f>HYPERLINK("http://141.218.60.56/~jnz1568/getInfo.php?workbook=18_08.xlsx&amp;sheet=U0&amp;row=5161&amp;col=7&amp;number=0.00407&amp;sourceID=14","0.00407")</f>
        <v>0.00407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HYPERLINK("http://141.218.60.56/~jnz1568/getInfo.php?workbook=18_08.xlsx&amp;sheet=U0&amp;row=5162&amp;col=6&amp;number=4.8&amp;sourceID=14","4.8")</f>
        <v>4.8</v>
      </c>
      <c r="G5162" s="4" t="str">
        <f>HYPERLINK("http://141.218.60.56/~jnz1568/getInfo.php?workbook=18_08.xlsx&amp;sheet=U0&amp;row=5162&amp;col=7&amp;number=0.00407&amp;sourceID=14","0.00407")</f>
        <v>0.00407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HYPERLINK("http://141.218.60.56/~jnz1568/getInfo.php?workbook=18_08.xlsx&amp;sheet=U0&amp;row=5163&amp;col=6&amp;number=4.9&amp;sourceID=14","4.9")</f>
        <v>4.9</v>
      </c>
      <c r="G5163" s="4" t="str">
        <f>HYPERLINK("http://141.218.60.56/~jnz1568/getInfo.php?workbook=18_08.xlsx&amp;sheet=U0&amp;row=5163&amp;col=7&amp;number=0.00407&amp;sourceID=14","0.00407")</f>
        <v>0.00407</v>
      </c>
    </row>
    <row r="5164" spans="1:7">
      <c r="A5164" s="3">
        <v>18</v>
      </c>
      <c r="B5164" s="3">
        <v>8</v>
      </c>
      <c r="C5164" s="3" t="s">
        <v>70</v>
      </c>
      <c r="D5164" s="3">
        <v>1</v>
      </c>
      <c r="E5164" s="3">
        <v>1</v>
      </c>
      <c r="F5164" s="4" t="str">
        <f>HYPERLINK("http://141.218.60.56/~jnz1568/getInfo.php?workbook=18_08.xlsx&amp;sheet=U0&amp;row=5164&amp;col=6&amp;number=3&amp;sourceID=14","3")</f>
        <v>3</v>
      </c>
      <c r="G5164" s="4" t="str">
        <f>HYPERLINK("http://141.218.60.56/~jnz1568/getInfo.php?workbook=18_08.xlsx&amp;sheet=U0&amp;row=5164&amp;col=7&amp;number=4.19e-05&amp;sourceID=14","4.19e-05")</f>
        <v>4.19e-05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HYPERLINK("http://141.218.60.56/~jnz1568/getInfo.php?workbook=18_08.xlsx&amp;sheet=U0&amp;row=5165&amp;col=6&amp;number=3.1&amp;sourceID=14","3.1")</f>
        <v>3.1</v>
      </c>
      <c r="G5165" s="4" t="str">
        <f>HYPERLINK("http://141.218.60.56/~jnz1568/getInfo.php?workbook=18_08.xlsx&amp;sheet=U0&amp;row=5165&amp;col=7&amp;number=4.19e-05&amp;sourceID=14","4.19e-05")</f>
        <v>4.19e-05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HYPERLINK("http://141.218.60.56/~jnz1568/getInfo.php?workbook=18_08.xlsx&amp;sheet=U0&amp;row=5166&amp;col=6&amp;number=3.2&amp;sourceID=14","3.2")</f>
        <v>3.2</v>
      </c>
      <c r="G5166" s="4" t="str">
        <f>HYPERLINK("http://141.218.60.56/~jnz1568/getInfo.php?workbook=18_08.xlsx&amp;sheet=U0&amp;row=5166&amp;col=7&amp;number=4.19e-05&amp;sourceID=14","4.19e-05")</f>
        <v>4.19e-05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HYPERLINK("http://141.218.60.56/~jnz1568/getInfo.php?workbook=18_08.xlsx&amp;sheet=U0&amp;row=5167&amp;col=6&amp;number=3.3&amp;sourceID=14","3.3")</f>
        <v>3.3</v>
      </c>
      <c r="G5167" s="4" t="str">
        <f>HYPERLINK("http://141.218.60.56/~jnz1568/getInfo.php?workbook=18_08.xlsx&amp;sheet=U0&amp;row=5167&amp;col=7&amp;number=4.19e-05&amp;sourceID=14","4.19e-05")</f>
        <v>4.19e-05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HYPERLINK("http://141.218.60.56/~jnz1568/getInfo.php?workbook=18_08.xlsx&amp;sheet=U0&amp;row=5168&amp;col=6&amp;number=3.4&amp;sourceID=14","3.4")</f>
        <v>3.4</v>
      </c>
      <c r="G5168" s="4" t="str">
        <f>HYPERLINK("http://141.218.60.56/~jnz1568/getInfo.php?workbook=18_08.xlsx&amp;sheet=U0&amp;row=5168&amp;col=7&amp;number=4.19e-05&amp;sourceID=14","4.19e-05")</f>
        <v>4.19e-05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HYPERLINK("http://141.218.60.56/~jnz1568/getInfo.php?workbook=18_08.xlsx&amp;sheet=U0&amp;row=5169&amp;col=6&amp;number=3.5&amp;sourceID=14","3.5")</f>
        <v>3.5</v>
      </c>
      <c r="G5169" s="4" t="str">
        <f>HYPERLINK("http://141.218.60.56/~jnz1568/getInfo.php?workbook=18_08.xlsx&amp;sheet=U0&amp;row=5169&amp;col=7&amp;number=4.19e-05&amp;sourceID=14","4.19e-05")</f>
        <v>4.19e-05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HYPERLINK("http://141.218.60.56/~jnz1568/getInfo.php?workbook=18_08.xlsx&amp;sheet=U0&amp;row=5170&amp;col=6&amp;number=3.6&amp;sourceID=14","3.6")</f>
        <v>3.6</v>
      </c>
      <c r="G5170" s="4" t="str">
        <f>HYPERLINK("http://141.218.60.56/~jnz1568/getInfo.php?workbook=18_08.xlsx&amp;sheet=U0&amp;row=5170&amp;col=7&amp;number=4.19e-05&amp;sourceID=14","4.19e-05")</f>
        <v>4.19e-05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HYPERLINK("http://141.218.60.56/~jnz1568/getInfo.php?workbook=18_08.xlsx&amp;sheet=U0&amp;row=5171&amp;col=6&amp;number=3.7&amp;sourceID=14","3.7")</f>
        <v>3.7</v>
      </c>
      <c r="G5171" s="4" t="str">
        <f>HYPERLINK("http://141.218.60.56/~jnz1568/getInfo.php?workbook=18_08.xlsx&amp;sheet=U0&amp;row=5171&amp;col=7&amp;number=4.19e-05&amp;sourceID=14","4.19e-05")</f>
        <v>4.19e-05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HYPERLINK("http://141.218.60.56/~jnz1568/getInfo.php?workbook=18_08.xlsx&amp;sheet=U0&amp;row=5172&amp;col=6&amp;number=3.8&amp;sourceID=14","3.8")</f>
        <v>3.8</v>
      </c>
      <c r="G5172" s="4" t="str">
        <f>HYPERLINK("http://141.218.60.56/~jnz1568/getInfo.php?workbook=18_08.xlsx&amp;sheet=U0&amp;row=5172&amp;col=7&amp;number=4.19e-05&amp;sourceID=14","4.19e-05")</f>
        <v>4.19e-05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HYPERLINK("http://141.218.60.56/~jnz1568/getInfo.php?workbook=18_08.xlsx&amp;sheet=U0&amp;row=5173&amp;col=6&amp;number=3.9&amp;sourceID=14","3.9")</f>
        <v>3.9</v>
      </c>
      <c r="G5173" s="4" t="str">
        <f>HYPERLINK("http://141.218.60.56/~jnz1568/getInfo.php?workbook=18_08.xlsx&amp;sheet=U0&amp;row=5173&amp;col=7&amp;number=4.19e-05&amp;sourceID=14","4.19e-05")</f>
        <v>4.19e-05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HYPERLINK("http://141.218.60.56/~jnz1568/getInfo.php?workbook=18_08.xlsx&amp;sheet=U0&amp;row=5174&amp;col=6&amp;number=4&amp;sourceID=14","4")</f>
        <v>4</v>
      </c>
      <c r="G5174" s="4" t="str">
        <f>HYPERLINK("http://141.218.60.56/~jnz1568/getInfo.php?workbook=18_08.xlsx&amp;sheet=U0&amp;row=5174&amp;col=7&amp;number=4.18e-05&amp;sourceID=14","4.18e-05")</f>
        <v>4.18e-05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HYPERLINK("http://141.218.60.56/~jnz1568/getInfo.php?workbook=18_08.xlsx&amp;sheet=U0&amp;row=5175&amp;col=6&amp;number=4.1&amp;sourceID=14","4.1")</f>
        <v>4.1</v>
      </c>
      <c r="G5175" s="4" t="str">
        <f>HYPERLINK("http://141.218.60.56/~jnz1568/getInfo.php?workbook=18_08.xlsx&amp;sheet=U0&amp;row=5175&amp;col=7&amp;number=4.18e-05&amp;sourceID=14","4.18e-05")</f>
        <v>4.18e-05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HYPERLINK("http://141.218.60.56/~jnz1568/getInfo.php?workbook=18_08.xlsx&amp;sheet=U0&amp;row=5176&amp;col=6&amp;number=4.2&amp;sourceID=14","4.2")</f>
        <v>4.2</v>
      </c>
      <c r="G5176" s="4" t="str">
        <f>HYPERLINK("http://141.218.60.56/~jnz1568/getInfo.php?workbook=18_08.xlsx&amp;sheet=U0&amp;row=5176&amp;col=7&amp;number=4.18e-05&amp;sourceID=14","4.18e-05")</f>
        <v>4.18e-05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HYPERLINK("http://141.218.60.56/~jnz1568/getInfo.php?workbook=18_08.xlsx&amp;sheet=U0&amp;row=5177&amp;col=6&amp;number=4.3&amp;sourceID=14","4.3")</f>
        <v>4.3</v>
      </c>
      <c r="G5177" s="4" t="str">
        <f>HYPERLINK("http://141.218.60.56/~jnz1568/getInfo.php?workbook=18_08.xlsx&amp;sheet=U0&amp;row=5177&amp;col=7&amp;number=4.18e-05&amp;sourceID=14","4.18e-05")</f>
        <v>4.18e-05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HYPERLINK("http://141.218.60.56/~jnz1568/getInfo.php?workbook=18_08.xlsx&amp;sheet=U0&amp;row=5178&amp;col=6&amp;number=4.4&amp;sourceID=14","4.4")</f>
        <v>4.4</v>
      </c>
      <c r="G5178" s="4" t="str">
        <f>HYPERLINK("http://141.218.60.56/~jnz1568/getInfo.php?workbook=18_08.xlsx&amp;sheet=U0&amp;row=5178&amp;col=7&amp;number=4.17e-05&amp;sourceID=14","4.17e-05")</f>
        <v>4.17e-05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HYPERLINK("http://141.218.60.56/~jnz1568/getInfo.php?workbook=18_08.xlsx&amp;sheet=U0&amp;row=5179&amp;col=6&amp;number=4.5&amp;sourceID=14","4.5")</f>
        <v>4.5</v>
      </c>
      <c r="G5179" s="4" t="str">
        <f>HYPERLINK("http://141.218.60.56/~jnz1568/getInfo.php?workbook=18_08.xlsx&amp;sheet=U0&amp;row=5179&amp;col=7&amp;number=4.16e-05&amp;sourceID=14","4.16e-05")</f>
        <v>4.16e-05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HYPERLINK("http://141.218.60.56/~jnz1568/getInfo.php?workbook=18_08.xlsx&amp;sheet=U0&amp;row=5180&amp;col=6&amp;number=4.6&amp;sourceID=14","4.6")</f>
        <v>4.6</v>
      </c>
      <c r="G5180" s="4" t="str">
        <f>HYPERLINK("http://141.218.60.56/~jnz1568/getInfo.php?workbook=18_08.xlsx&amp;sheet=U0&amp;row=5180&amp;col=7&amp;number=4.16e-05&amp;sourceID=14","4.16e-05")</f>
        <v>4.16e-05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HYPERLINK("http://141.218.60.56/~jnz1568/getInfo.php?workbook=18_08.xlsx&amp;sheet=U0&amp;row=5181&amp;col=6&amp;number=4.7&amp;sourceID=14","4.7")</f>
        <v>4.7</v>
      </c>
      <c r="G5181" s="4" t="str">
        <f>HYPERLINK("http://141.218.60.56/~jnz1568/getInfo.php?workbook=18_08.xlsx&amp;sheet=U0&amp;row=5181&amp;col=7&amp;number=4.15e-05&amp;sourceID=14","4.15e-05")</f>
        <v>4.15e-05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HYPERLINK("http://141.218.60.56/~jnz1568/getInfo.php?workbook=18_08.xlsx&amp;sheet=U0&amp;row=5182&amp;col=6&amp;number=4.8&amp;sourceID=14","4.8")</f>
        <v>4.8</v>
      </c>
      <c r="G5182" s="4" t="str">
        <f>HYPERLINK("http://141.218.60.56/~jnz1568/getInfo.php?workbook=18_08.xlsx&amp;sheet=U0&amp;row=5182&amp;col=7&amp;number=4.14e-05&amp;sourceID=14","4.14e-05")</f>
        <v>4.14e-05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HYPERLINK("http://141.218.60.56/~jnz1568/getInfo.php?workbook=18_08.xlsx&amp;sheet=U0&amp;row=5183&amp;col=6&amp;number=4.9&amp;sourceID=14","4.9")</f>
        <v>4.9</v>
      </c>
      <c r="G5183" s="4" t="str">
        <f>HYPERLINK("http://141.218.60.56/~jnz1568/getInfo.php?workbook=18_08.xlsx&amp;sheet=U0&amp;row=5183&amp;col=7&amp;number=4.12e-05&amp;sourceID=14","4.12e-05")</f>
        <v>4.12e-05</v>
      </c>
    </row>
    <row r="5184" spans="1:7">
      <c r="A5184" s="3">
        <v>18</v>
      </c>
      <c r="B5184" s="3">
        <v>8</v>
      </c>
      <c r="C5184" s="3" t="s">
        <v>70</v>
      </c>
      <c r="D5184" s="3">
        <v>2</v>
      </c>
      <c r="E5184" s="3">
        <v>1</v>
      </c>
      <c r="F5184" s="4" t="str">
        <f>HYPERLINK("http://141.218.60.56/~jnz1568/getInfo.php?workbook=18_08.xlsx&amp;sheet=U0&amp;row=5184&amp;col=6&amp;number=3&amp;sourceID=14","3")</f>
        <v>3</v>
      </c>
      <c r="G5184" s="4" t="str">
        <f>HYPERLINK("http://141.218.60.56/~jnz1568/getInfo.php?workbook=18_08.xlsx&amp;sheet=U0&amp;row=5184&amp;col=7&amp;number=4.12e-05&amp;sourceID=14","4.12e-05")</f>
        <v>4.12e-05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HYPERLINK("http://141.218.60.56/~jnz1568/getInfo.php?workbook=18_08.xlsx&amp;sheet=U0&amp;row=5185&amp;col=6&amp;number=3.1&amp;sourceID=14","3.1")</f>
        <v>3.1</v>
      </c>
      <c r="G5185" s="4" t="str">
        <f>HYPERLINK("http://141.218.60.56/~jnz1568/getInfo.php?workbook=18_08.xlsx&amp;sheet=U0&amp;row=5185&amp;col=7&amp;number=4.12e-05&amp;sourceID=14","4.12e-05")</f>
        <v>4.12e-05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HYPERLINK("http://141.218.60.56/~jnz1568/getInfo.php?workbook=18_08.xlsx&amp;sheet=U0&amp;row=5186&amp;col=6&amp;number=3.2&amp;sourceID=14","3.2")</f>
        <v>3.2</v>
      </c>
      <c r="G5186" s="4" t="str">
        <f>HYPERLINK("http://141.218.60.56/~jnz1568/getInfo.php?workbook=18_08.xlsx&amp;sheet=U0&amp;row=5186&amp;col=7&amp;number=4.12e-05&amp;sourceID=14","4.12e-05")</f>
        <v>4.12e-05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HYPERLINK("http://141.218.60.56/~jnz1568/getInfo.php?workbook=18_08.xlsx&amp;sheet=U0&amp;row=5187&amp;col=6&amp;number=3.3&amp;sourceID=14","3.3")</f>
        <v>3.3</v>
      </c>
      <c r="G5187" s="4" t="str">
        <f>HYPERLINK("http://141.218.60.56/~jnz1568/getInfo.php?workbook=18_08.xlsx&amp;sheet=U0&amp;row=5187&amp;col=7&amp;number=4.12e-05&amp;sourceID=14","4.12e-05")</f>
        <v>4.12e-05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HYPERLINK("http://141.218.60.56/~jnz1568/getInfo.php?workbook=18_08.xlsx&amp;sheet=U0&amp;row=5188&amp;col=6&amp;number=3.4&amp;sourceID=14","3.4")</f>
        <v>3.4</v>
      </c>
      <c r="G5188" s="4" t="str">
        <f>HYPERLINK("http://141.218.60.56/~jnz1568/getInfo.php?workbook=18_08.xlsx&amp;sheet=U0&amp;row=5188&amp;col=7&amp;number=4.12e-05&amp;sourceID=14","4.12e-05")</f>
        <v>4.12e-05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HYPERLINK("http://141.218.60.56/~jnz1568/getInfo.php?workbook=18_08.xlsx&amp;sheet=U0&amp;row=5189&amp;col=6&amp;number=3.5&amp;sourceID=14","3.5")</f>
        <v>3.5</v>
      </c>
      <c r="G5189" s="4" t="str">
        <f>HYPERLINK("http://141.218.60.56/~jnz1568/getInfo.php?workbook=18_08.xlsx&amp;sheet=U0&amp;row=5189&amp;col=7&amp;number=4.12e-05&amp;sourceID=14","4.12e-05")</f>
        <v>4.12e-05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HYPERLINK("http://141.218.60.56/~jnz1568/getInfo.php?workbook=18_08.xlsx&amp;sheet=U0&amp;row=5190&amp;col=6&amp;number=3.6&amp;sourceID=14","3.6")</f>
        <v>3.6</v>
      </c>
      <c r="G5190" s="4" t="str">
        <f>HYPERLINK("http://141.218.60.56/~jnz1568/getInfo.php?workbook=18_08.xlsx&amp;sheet=U0&amp;row=5190&amp;col=7&amp;number=4.12e-05&amp;sourceID=14","4.12e-05")</f>
        <v>4.12e-05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HYPERLINK("http://141.218.60.56/~jnz1568/getInfo.php?workbook=18_08.xlsx&amp;sheet=U0&amp;row=5191&amp;col=6&amp;number=3.7&amp;sourceID=14","3.7")</f>
        <v>3.7</v>
      </c>
      <c r="G5191" s="4" t="str">
        <f>HYPERLINK("http://141.218.60.56/~jnz1568/getInfo.php?workbook=18_08.xlsx&amp;sheet=U0&amp;row=5191&amp;col=7&amp;number=4.13e-05&amp;sourceID=14","4.13e-05")</f>
        <v>4.13e-05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HYPERLINK("http://141.218.60.56/~jnz1568/getInfo.php?workbook=18_08.xlsx&amp;sheet=U0&amp;row=5192&amp;col=6&amp;number=3.8&amp;sourceID=14","3.8")</f>
        <v>3.8</v>
      </c>
      <c r="G5192" s="4" t="str">
        <f>HYPERLINK("http://141.218.60.56/~jnz1568/getInfo.php?workbook=18_08.xlsx&amp;sheet=U0&amp;row=5192&amp;col=7&amp;number=4.13e-05&amp;sourceID=14","4.13e-05")</f>
        <v>4.13e-05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HYPERLINK("http://141.218.60.56/~jnz1568/getInfo.php?workbook=18_08.xlsx&amp;sheet=U0&amp;row=5193&amp;col=6&amp;number=3.9&amp;sourceID=14","3.9")</f>
        <v>3.9</v>
      </c>
      <c r="G5193" s="4" t="str">
        <f>HYPERLINK("http://141.218.60.56/~jnz1568/getInfo.php?workbook=18_08.xlsx&amp;sheet=U0&amp;row=5193&amp;col=7&amp;number=4.13e-05&amp;sourceID=14","4.13e-05")</f>
        <v>4.13e-05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HYPERLINK("http://141.218.60.56/~jnz1568/getInfo.php?workbook=18_08.xlsx&amp;sheet=U0&amp;row=5194&amp;col=6&amp;number=4&amp;sourceID=14","4")</f>
        <v>4</v>
      </c>
      <c r="G5194" s="4" t="str">
        <f>HYPERLINK("http://141.218.60.56/~jnz1568/getInfo.php?workbook=18_08.xlsx&amp;sheet=U0&amp;row=5194&amp;col=7&amp;number=4.13e-05&amp;sourceID=14","4.13e-05")</f>
        <v>4.13e-05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HYPERLINK("http://141.218.60.56/~jnz1568/getInfo.php?workbook=18_08.xlsx&amp;sheet=U0&amp;row=5195&amp;col=6&amp;number=4.1&amp;sourceID=14","4.1")</f>
        <v>4.1</v>
      </c>
      <c r="G5195" s="4" t="str">
        <f>HYPERLINK("http://141.218.60.56/~jnz1568/getInfo.php?workbook=18_08.xlsx&amp;sheet=U0&amp;row=5195&amp;col=7&amp;number=4.14e-05&amp;sourceID=14","4.14e-05")</f>
        <v>4.14e-05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HYPERLINK("http://141.218.60.56/~jnz1568/getInfo.php?workbook=18_08.xlsx&amp;sheet=U0&amp;row=5196&amp;col=6&amp;number=4.2&amp;sourceID=14","4.2")</f>
        <v>4.2</v>
      </c>
      <c r="G5196" s="4" t="str">
        <f>HYPERLINK("http://141.218.60.56/~jnz1568/getInfo.php?workbook=18_08.xlsx&amp;sheet=U0&amp;row=5196&amp;col=7&amp;number=4.14e-05&amp;sourceID=14","4.14e-05")</f>
        <v>4.14e-05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HYPERLINK("http://141.218.60.56/~jnz1568/getInfo.php?workbook=18_08.xlsx&amp;sheet=U0&amp;row=5197&amp;col=6&amp;number=4.3&amp;sourceID=14","4.3")</f>
        <v>4.3</v>
      </c>
      <c r="G5197" s="4" t="str">
        <f>HYPERLINK("http://141.218.60.56/~jnz1568/getInfo.php?workbook=18_08.xlsx&amp;sheet=U0&amp;row=5197&amp;col=7&amp;number=4.15e-05&amp;sourceID=14","4.15e-05")</f>
        <v>4.15e-05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HYPERLINK("http://141.218.60.56/~jnz1568/getInfo.php?workbook=18_08.xlsx&amp;sheet=U0&amp;row=5198&amp;col=6&amp;number=4.4&amp;sourceID=14","4.4")</f>
        <v>4.4</v>
      </c>
      <c r="G5198" s="4" t="str">
        <f>HYPERLINK("http://141.218.60.56/~jnz1568/getInfo.php?workbook=18_08.xlsx&amp;sheet=U0&amp;row=5198&amp;col=7&amp;number=4.16e-05&amp;sourceID=14","4.16e-05")</f>
        <v>4.16e-05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HYPERLINK("http://141.218.60.56/~jnz1568/getInfo.php?workbook=18_08.xlsx&amp;sheet=U0&amp;row=5199&amp;col=6&amp;number=4.5&amp;sourceID=14","4.5")</f>
        <v>4.5</v>
      </c>
      <c r="G5199" s="4" t="str">
        <f>HYPERLINK("http://141.218.60.56/~jnz1568/getInfo.php?workbook=18_08.xlsx&amp;sheet=U0&amp;row=5199&amp;col=7&amp;number=4.17e-05&amp;sourceID=14","4.17e-05")</f>
        <v>4.17e-05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HYPERLINK("http://141.218.60.56/~jnz1568/getInfo.php?workbook=18_08.xlsx&amp;sheet=U0&amp;row=5200&amp;col=6&amp;number=4.6&amp;sourceID=14","4.6")</f>
        <v>4.6</v>
      </c>
      <c r="G5200" s="4" t="str">
        <f>HYPERLINK("http://141.218.60.56/~jnz1568/getInfo.php?workbook=18_08.xlsx&amp;sheet=U0&amp;row=5200&amp;col=7&amp;number=4.19e-05&amp;sourceID=14","4.19e-05")</f>
        <v>4.19e-05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HYPERLINK("http://141.218.60.56/~jnz1568/getInfo.php?workbook=18_08.xlsx&amp;sheet=U0&amp;row=5201&amp;col=6&amp;number=4.7&amp;sourceID=14","4.7")</f>
        <v>4.7</v>
      </c>
      <c r="G5201" s="4" t="str">
        <f>HYPERLINK("http://141.218.60.56/~jnz1568/getInfo.php?workbook=18_08.xlsx&amp;sheet=U0&amp;row=5201&amp;col=7&amp;number=4.21e-05&amp;sourceID=14","4.21e-05")</f>
        <v>4.21e-05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HYPERLINK("http://141.218.60.56/~jnz1568/getInfo.php?workbook=18_08.xlsx&amp;sheet=U0&amp;row=5202&amp;col=6&amp;number=4.8&amp;sourceID=14","4.8")</f>
        <v>4.8</v>
      </c>
      <c r="G5202" s="4" t="str">
        <f>HYPERLINK("http://141.218.60.56/~jnz1568/getInfo.php?workbook=18_08.xlsx&amp;sheet=U0&amp;row=5202&amp;col=7&amp;number=4.23e-05&amp;sourceID=14","4.23e-05")</f>
        <v>4.23e-05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HYPERLINK("http://141.218.60.56/~jnz1568/getInfo.php?workbook=18_08.xlsx&amp;sheet=U0&amp;row=5203&amp;col=6&amp;number=4.9&amp;sourceID=14","4.9")</f>
        <v>4.9</v>
      </c>
      <c r="G5203" s="4" t="str">
        <f>HYPERLINK("http://141.218.60.56/~jnz1568/getInfo.php?workbook=18_08.xlsx&amp;sheet=U0&amp;row=5203&amp;col=7&amp;number=4.26e-05&amp;sourceID=14","4.26e-05")</f>
        <v>4.26e-05</v>
      </c>
    </row>
    <row r="5204" spans="1:7">
      <c r="A5204" s="3">
        <v>18</v>
      </c>
      <c r="B5204" s="3">
        <v>8</v>
      </c>
      <c r="C5204" s="3" t="s">
        <v>70</v>
      </c>
      <c r="D5204" s="3">
        <v>3</v>
      </c>
      <c r="E5204" s="3">
        <v>1</v>
      </c>
      <c r="F5204" s="4" t="str">
        <f>HYPERLINK("http://141.218.60.56/~jnz1568/getInfo.php?workbook=18_08.xlsx&amp;sheet=U0&amp;row=5204&amp;col=6&amp;number=3&amp;sourceID=14","3")</f>
        <v>3</v>
      </c>
      <c r="G5204" s="4" t="str">
        <f>HYPERLINK("http://141.218.60.56/~jnz1568/getInfo.php?workbook=18_08.xlsx&amp;sheet=U0&amp;row=5204&amp;col=7&amp;number=0.00343&amp;sourceID=14","0.00343")</f>
        <v>0.00343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HYPERLINK("http://141.218.60.56/~jnz1568/getInfo.php?workbook=18_08.xlsx&amp;sheet=U0&amp;row=5205&amp;col=6&amp;number=3.1&amp;sourceID=14","3.1")</f>
        <v>3.1</v>
      </c>
      <c r="G5205" s="4" t="str">
        <f>HYPERLINK("http://141.218.60.56/~jnz1568/getInfo.php?workbook=18_08.xlsx&amp;sheet=U0&amp;row=5205&amp;col=7&amp;number=0.00343&amp;sourceID=14","0.00343")</f>
        <v>0.00343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HYPERLINK("http://141.218.60.56/~jnz1568/getInfo.php?workbook=18_08.xlsx&amp;sheet=U0&amp;row=5206&amp;col=6&amp;number=3.2&amp;sourceID=14","3.2")</f>
        <v>3.2</v>
      </c>
      <c r="G5206" s="4" t="str">
        <f>HYPERLINK("http://141.218.60.56/~jnz1568/getInfo.php?workbook=18_08.xlsx&amp;sheet=U0&amp;row=5206&amp;col=7&amp;number=0.00343&amp;sourceID=14","0.00343")</f>
        <v>0.00343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HYPERLINK("http://141.218.60.56/~jnz1568/getInfo.php?workbook=18_08.xlsx&amp;sheet=U0&amp;row=5207&amp;col=6&amp;number=3.3&amp;sourceID=14","3.3")</f>
        <v>3.3</v>
      </c>
      <c r="G5207" s="4" t="str">
        <f>HYPERLINK("http://141.218.60.56/~jnz1568/getInfo.php?workbook=18_08.xlsx&amp;sheet=U0&amp;row=5207&amp;col=7&amp;number=0.00342&amp;sourceID=14","0.00342")</f>
        <v>0.00342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HYPERLINK("http://141.218.60.56/~jnz1568/getInfo.php?workbook=18_08.xlsx&amp;sheet=U0&amp;row=5208&amp;col=6&amp;number=3.4&amp;sourceID=14","3.4")</f>
        <v>3.4</v>
      </c>
      <c r="G5208" s="4" t="str">
        <f>HYPERLINK("http://141.218.60.56/~jnz1568/getInfo.php?workbook=18_08.xlsx&amp;sheet=U0&amp;row=5208&amp;col=7&amp;number=0.00342&amp;sourceID=14","0.00342")</f>
        <v>0.00342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HYPERLINK("http://141.218.60.56/~jnz1568/getInfo.php?workbook=18_08.xlsx&amp;sheet=U0&amp;row=5209&amp;col=6&amp;number=3.5&amp;sourceID=14","3.5")</f>
        <v>3.5</v>
      </c>
      <c r="G5209" s="4" t="str">
        <f>HYPERLINK("http://141.218.60.56/~jnz1568/getInfo.php?workbook=18_08.xlsx&amp;sheet=U0&amp;row=5209&amp;col=7&amp;number=0.00342&amp;sourceID=14","0.00342")</f>
        <v>0.00342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HYPERLINK("http://141.218.60.56/~jnz1568/getInfo.php?workbook=18_08.xlsx&amp;sheet=U0&amp;row=5210&amp;col=6&amp;number=3.6&amp;sourceID=14","3.6")</f>
        <v>3.6</v>
      </c>
      <c r="G5210" s="4" t="str">
        <f>HYPERLINK("http://141.218.60.56/~jnz1568/getInfo.php?workbook=18_08.xlsx&amp;sheet=U0&amp;row=5210&amp;col=7&amp;number=0.00342&amp;sourceID=14","0.00342")</f>
        <v>0.00342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HYPERLINK("http://141.218.60.56/~jnz1568/getInfo.php?workbook=18_08.xlsx&amp;sheet=U0&amp;row=5211&amp;col=6&amp;number=3.7&amp;sourceID=14","3.7")</f>
        <v>3.7</v>
      </c>
      <c r="G5211" s="4" t="str">
        <f>HYPERLINK("http://141.218.60.56/~jnz1568/getInfo.php?workbook=18_08.xlsx&amp;sheet=U0&amp;row=5211&amp;col=7&amp;number=0.00342&amp;sourceID=14","0.00342")</f>
        <v>0.00342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HYPERLINK("http://141.218.60.56/~jnz1568/getInfo.php?workbook=18_08.xlsx&amp;sheet=U0&amp;row=5212&amp;col=6&amp;number=3.8&amp;sourceID=14","3.8")</f>
        <v>3.8</v>
      </c>
      <c r="G5212" s="4" t="str">
        <f>HYPERLINK("http://141.218.60.56/~jnz1568/getInfo.php?workbook=18_08.xlsx&amp;sheet=U0&amp;row=5212&amp;col=7&amp;number=0.00342&amp;sourceID=14","0.00342")</f>
        <v>0.00342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HYPERLINK("http://141.218.60.56/~jnz1568/getInfo.php?workbook=18_08.xlsx&amp;sheet=U0&amp;row=5213&amp;col=6&amp;number=3.9&amp;sourceID=14","3.9")</f>
        <v>3.9</v>
      </c>
      <c r="G5213" s="4" t="str">
        <f>HYPERLINK("http://141.218.60.56/~jnz1568/getInfo.php?workbook=18_08.xlsx&amp;sheet=U0&amp;row=5213&amp;col=7&amp;number=0.00342&amp;sourceID=14","0.00342")</f>
        <v>0.00342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HYPERLINK("http://141.218.60.56/~jnz1568/getInfo.php?workbook=18_08.xlsx&amp;sheet=U0&amp;row=5214&amp;col=6&amp;number=4&amp;sourceID=14","4")</f>
        <v>4</v>
      </c>
      <c r="G5214" s="4" t="str">
        <f>HYPERLINK("http://141.218.60.56/~jnz1568/getInfo.php?workbook=18_08.xlsx&amp;sheet=U0&amp;row=5214&amp;col=7&amp;number=0.00342&amp;sourceID=14","0.00342")</f>
        <v>0.00342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HYPERLINK("http://141.218.60.56/~jnz1568/getInfo.php?workbook=18_08.xlsx&amp;sheet=U0&amp;row=5215&amp;col=6&amp;number=4.1&amp;sourceID=14","4.1")</f>
        <v>4.1</v>
      </c>
      <c r="G5215" s="4" t="str">
        <f>HYPERLINK("http://141.218.60.56/~jnz1568/getInfo.php?workbook=18_08.xlsx&amp;sheet=U0&amp;row=5215&amp;col=7&amp;number=0.00342&amp;sourceID=14","0.00342")</f>
        <v>0.00342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HYPERLINK("http://141.218.60.56/~jnz1568/getInfo.php?workbook=18_08.xlsx&amp;sheet=U0&amp;row=5216&amp;col=6&amp;number=4.2&amp;sourceID=14","4.2")</f>
        <v>4.2</v>
      </c>
      <c r="G5216" s="4" t="str">
        <f>HYPERLINK("http://141.218.60.56/~jnz1568/getInfo.php?workbook=18_08.xlsx&amp;sheet=U0&amp;row=5216&amp;col=7&amp;number=0.00342&amp;sourceID=14","0.00342")</f>
        <v>0.00342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HYPERLINK("http://141.218.60.56/~jnz1568/getInfo.php?workbook=18_08.xlsx&amp;sheet=U0&amp;row=5217&amp;col=6&amp;number=4.3&amp;sourceID=14","4.3")</f>
        <v>4.3</v>
      </c>
      <c r="G5217" s="4" t="str">
        <f>HYPERLINK("http://141.218.60.56/~jnz1568/getInfo.php?workbook=18_08.xlsx&amp;sheet=U0&amp;row=5217&amp;col=7&amp;number=0.00342&amp;sourceID=14","0.00342")</f>
        <v>0.00342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HYPERLINK("http://141.218.60.56/~jnz1568/getInfo.php?workbook=18_08.xlsx&amp;sheet=U0&amp;row=5218&amp;col=6&amp;number=4.4&amp;sourceID=14","4.4")</f>
        <v>4.4</v>
      </c>
      <c r="G5218" s="4" t="str">
        <f>HYPERLINK("http://141.218.60.56/~jnz1568/getInfo.php?workbook=18_08.xlsx&amp;sheet=U0&amp;row=5218&amp;col=7&amp;number=0.00341&amp;sourceID=14","0.00341")</f>
        <v>0.00341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HYPERLINK("http://141.218.60.56/~jnz1568/getInfo.php?workbook=18_08.xlsx&amp;sheet=U0&amp;row=5219&amp;col=6&amp;number=4.5&amp;sourceID=14","4.5")</f>
        <v>4.5</v>
      </c>
      <c r="G5219" s="4" t="str">
        <f>HYPERLINK("http://141.218.60.56/~jnz1568/getInfo.php?workbook=18_08.xlsx&amp;sheet=U0&amp;row=5219&amp;col=7&amp;number=0.00341&amp;sourceID=14","0.00341")</f>
        <v>0.00341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HYPERLINK("http://141.218.60.56/~jnz1568/getInfo.php?workbook=18_08.xlsx&amp;sheet=U0&amp;row=5220&amp;col=6&amp;number=4.6&amp;sourceID=14","4.6")</f>
        <v>4.6</v>
      </c>
      <c r="G5220" s="4" t="str">
        <f>HYPERLINK("http://141.218.60.56/~jnz1568/getInfo.php?workbook=18_08.xlsx&amp;sheet=U0&amp;row=5220&amp;col=7&amp;number=0.00341&amp;sourceID=14","0.00341")</f>
        <v>0.00341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HYPERLINK("http://141.218.60.56/~jnz1568/getInfo.php?workbook=18_08.xlsx&amp;sheet=U0&amp;row=5221&amp;col=6&amp;number=4.7&amp;sourceID=14","4.7")</f>
        <v>4.7</v>
      </c>
      <c r="G5221" s="4" t="str">
        <f>HYPERLINK("http://141.218.60.56/~jnz1568/getInfo.php?workbook=18_08.xlsx&amp;sheet=U0&amp;row=5221&amp;col=7&amp;number=0.0034&amp;sourceID=14","0.0034")</f>
        <v>0.0034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HYPERLINK("http://141.218.60.56/~jnz1568/getInfo.php?workbook=18_08.xlsx&amp;sheet=U0&amp;row=5222&amp;col=6&amp;number=4.8&amp;sourceID=14","4.8")</f>
        <v>4.8</v>
      </c>
      <c r="G5222" s="4" t="str">
        <f>HYPERLINK("http://141.218.60.56/~jnz1568/getInfo.php?workbook=18_08.xlsx&amp;sheet=U0&amp;row=5222&amp;col=7&amp;number=0.00339&amp;sourceID=14","0.00339")</f>
        <v>0.00339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HYPERLINK("http://141.218.60.56/~jnz1568/getInfo.php?workbook=18_08.xlsx&amp;sheet=U0&amp;row=5223&amp;col=6&amp;number=4.9&amp;sourceID=14","4.9")</f>
        <v>4.9</v>
      </c>
      <c r="G5223" s="4" t="str">
        <f>HYPERLINK("http://141.218.60.56/~jnz1568/getInfo.php?workbook=18_08.xlsx&amp;sheet=U0&amp;row=5223&amp;col=7&amp;number=0.00338&amp;sourceID=14","0.00338")</f>
        <v>0.00338</v>
      </c>
    </row>
    <row r="5224" spans="1:7">
      <c r="A5224" s="3">
        <v>18</v>
      </c>
      <c r="B5224" s="3">
        <v>8</v>
      </c>
      <c r="C5224" s="3" t="s">
        <v>70</v>
      </c>
      <c r="D5224" s="3">
        <v>4</v>
      </c>
      <c r="E5224" s="3">
        <v>1</v>
      </c>
      <c r="F5224" s="4" t="str">
        <f>HYPERLINK("http://141.218.60.56/~jnz1568/getInfo.php?workbook=18_08.xlsx&amp;sheet=U0&amp;row=5224&amp;col=6&amp;number=3&amp;sourceID=14","3")</f>
        <v>3</v>
      </c>
      <c r="G5224" s="4" t="str">
        <f>HYPERLINK("http://141.218.60.56/~jnz1568/getInfo.php?workbook=18_08.xlsx&amp;sheet=U0&amp;row=5224&amp;col=7&amp;number=0.00643&amp;sourceID=14","0.00643")</f>
        <v>0.00643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HYPERLINK("http://141.218.60.56/~jnz1568/getInfo.php?workbook=18_08.xlsx&amp;sheet=U0&amp;row=5225&amp;col=6&amp;number=3.1&amp;sourceID=14","3.1")</f>
        <v>3.1</v>
      </c>
      <c r="G5225" s="4" t="str">
        <f>HYPERLINK("http://141.218.60.56/~jnz1568/getInfo.php?workbook=18_08.xlsx&amp;sheet=U0&amp;row=5225&amp;col=7&amp;number=0.00643&amp;sourceID=14","0.00643")</f>
        <v>0.00643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HYPERLINK("http://141.218.60.56/~jnz1568/getInfo.php?workbook=18_08.xlsx&amp;sheet=U0&amp;row=5226&amp;col=6&amp;number=3.2&amp;sourceID=14","3.2")</f>
        <v>3.2</v>
      </c>
      <c r="G5226" s="4" t="str">
        <f>HYPERLINK("http://141.218.60.56/~jnz1568/getInfo.php?workbook=18_08.xlsx&amp;sheet=U0&amp;row=5226&amp;col=7&amp;number=0.00643&amp;sourceID=14","0.00643")</f>
        <v>0.00643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HYPERLINK("http://141.218.60.56/~jnz1568/getInfo.php?workbook=18_08.xlsx&amp;sheet=U0&amp;row=5227&amp;col=6&amp;number=3.3&amp;sourceID=14","3.3")</f>
        <v>3.3</v>
      </c>
      <c r="G5227" s="4" t="str">
        <f>HYPERLINK("http://141.218.60.56/~jnz1568/getInfo.php?workbook=18_08.xlsx&amp;sheet=U0&amp;row=5227&amp;col=7&amp;number=0.00643&amp;sourceID=14","0.00643")</f>
        <v>0.00643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HYPERLINK("http://141.218.60.56/~jnz1568/getInfo.php?workbook=18_08.xlsx&amp;sheet=U0&amp;row=5228&amp;col=6&amp;number=3.4&amp;sourceID=14","3.4")</f>
        <v>3.4</v>
      </c>
      <c r="G5228" s="4" t="str">
        <f>HYPERLINK("http://141.218.60.56/~jnz1568/getInfo.php?workbook=18_08.xlsx&amp;sheet=U0&amp;row=5228&amp;col=7&amp;number=0.00643&amp;sourceID=14","0.00643")</f>
        <v>0.00643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HYPERLINK("http://141.218.60.56/~jnz1568/getInfo.php?workbook=18_08.xlsx&amp;sheet=U0&amp;row=5229&amp;col=6&amp;number=3.5&amp;sourceID=14","3.5")</f>
        <v>3.5</v>
      </c>
      <c r="G5229" s="4" t="str">
        <f>HYPERLINK("http://141.218.60.56/~jnz1568/getInfo.php?workbook=18_08.xlsx&amp;sheet=U0&amp;row=5229&amp;col=7&amp;number=0.00643&amp;sourceID=14","0.00643")</f>
        <v>0.00643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HYPERLINK("http://141.218.60.56/~jnz1568/getInfo.php?workbook=18_08.xlsx&amp;sheet=U0&amp;row=5230&amp;col=6&amp;number=3.6&amp;sourceID=14","3.6")</f>
        <v>3.6</v>
      </c>
      <c r="G5230" s="4" t="str">
        <f>HYPERLINK("http://141.218.60.56/~jnz1568/getInfo.php?workbook=18_08.xlsx&amp;sheet=U0&amp;row=5230&amp;col=7&amp;number=0.00643&amp;sourceID=14","0.00643")</f>
        <v>0.00643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HYPERLINK("http://141.218.60.56/~jnz1568/getInfo.php?workbook=18_08.xlsx&amp;sheet=U0&amp;row=5231&amp;col=6&amp;number=3.7&amp;sourceID=14","3.7")</f>
        <v>3.7</v>
      </c>
      <c r="G5231" s="4" t="str">
        <f>HYPERLINK("http://141.218.60.56/~jnz1568/getInfo.php?workbook=18_08.xlsx&amp;sheet=U0&amp;row=5231&amp;col=7&amp;number=0.00642&amp;sourceID=14","0.00642")</f>
        <v>0.00642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HYPERLINK("http://141.218.60.56/~jnz1568/getInfo.php?workbook=18_08.xlsx&amp;sheet=U0&amp;row=5232&amp;col=6&amp;number=3.8&amp;sourceID=14","3.8")</f>
        <v>3.8</v>
      </c>
      <c r="G5232" s="4" t="str">
        <f>HYPERLINK("http://141.218.60.56/~jnz1568/getInfo.php?workbook=18_08.xlsx&amp;sheet=U0&amp;row=5232&amp;col=7&amp;number=0.00642&amp;sourceID=14","0.00642")</f>
        <v>0.00642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HYPERLINK("http://141.218.60.56/~jnz1568/getInfo.php?workbook=18_08.xlsx&amp;sheet=U0&amp;row=5233&amp;col=6&amp;number=3.9&amp;sourceID=14","3.9")</f>
        <v>3.9</v>
      </c>
      <c r="G5233" s="4" t="str">
        <f>HYPERLINK("http://141.218.60.56/~jnz1568/getInfo.php?workbook=18_08.xlsx&amp;sheet=U0&amp;row=5233&amp;col=7&amp;number=0.00642&amp;sourceID=14","0.00642")</f>
        <v>0.00642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HYPERLINK("http://141.218.60.56/~jnz1568/getInfo.php?workbook=18_08.xlsx&amp;sheet=U0&amp;row=5234&amp;col=6&amp;number=4&amp;sourceID=14","4")</f>
        <v>4</v>
      </c>
      <c r="G5234" s="4" t="str">
        <f>HYPERLINK("http://141.218.60.56/~jnz1568/getInfo.php?workbook=18_08.xlsx&amp;sheet=U0&amp;row=5234&amp;col=7&amp;number=0.00642&amp;sourceID=14","0.00642")</f>
        <v>0.00642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HYPERLINK("http://141.218.60.56/~jnz1568/getInfo.php?workbook=18_08.xlsx&amp;sheet=U0&amp;row=5235&amp;col=6&amp;number=4.1&amp;sourceID=14","4.1")</f>
        <v>4.1</v>
      </c>
      <c r="G5235" s="4" t="str">
        <f>HYPERLINK("http://141.218.60.56/~jnz1568/getInfo.php?workbook=18_08.xlsx&amp;sheet=U0&amp;row=5235&amp;col=7&amp;number=0.00641&amp;sourceID=14","0.00641")</f>
        <v>0.00641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HYPERLINK("http://141.218.60.56/~jnz1568/getInfo.php?workbook=18_08.xlsx&amp;sheet=U0&amp;row=5236&amp;col=6&amp;number=4.2&amp;sourceID=14","4.2")</f>
        <v>4.2</v>
      </c>
      <c r="G5236" s="4" t="str">
        <f>HYPERLINK("http://141.218.60.56/~jnz1568/getInfo.php?workbook=18_08.xlsx&amp;sheet=U0&amp;row=5236&amp;col=7&amp;number=0.00641&amp;sourceID=14","0.00641")</f>
        <v>0.00641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HYPERLINK("http://141.218.60.56/~jnz1568/getInfo.php?workbook=18_08.xlsx&amp;sheet=U0&amp;row=5237&amp;col=6&amp;number=4.3&amp;sourceID=14","4.3")</f>
        <v>4.3</v>
      </c>
      <c r="G5237" s="4" t="str">
        <f>HYPERLINK("http://141.218.60.56/~jnz1568/getInfo.php?workbook=18_08.xlsx&amp;sheet=U0&amp;row=5237&amp;col=7&amp;number=0.0064&amp;sourceID=14","0.0064")</f>
        <v>0.0064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HYPERLINK("http://141.218.60.56/~jnz1568/getInfo.php?workbook=18_08.xlsx&amp;sheet=U0&amp;row=5238&amp;col=6&amp;number=4.4&amp;sourceID=14","4.4")</f>
        <v>4.4</v>
      </c>
      <c r="G5238" s="4" t="str">
        <f>HYPERLINK("http://141.218.60.56/~jnz1568/getInfo.php?workbook=18_08.xlsx&amp;sheet=U0&amp;row=5238&amp;col=7&amp;number=0.0064&amp;sourceID=14","0.0064")</f>
        <v>0.0064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HYPERLINK("http://141.218.60.56/~jnz1568/getInfo.php?workbook=18_08.xlsx&amp;sheet=U0&amp;row=5239&amp;col=6&amp;number=4.5&amp;sourceID=14","4.5")</f>
        <v>4.5</v>
      </c>
      <c r="G5239" s="4" t="str">
        <f>HYPERLINK("http://141.218.60.56/~jnz1568/getInfo.php?workbook=18_08.xlsx&amp;sheet=U0&amp;row=5239&amp;col=7&amp;number=0.00639&amp;sourceID=14","0.00639")</f>
        <v>0.00639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HYPERLINK("http://141.218.60.56/~jnz1568/getInfo.php?workbook=18_08.xlsx&amp;sheet=U0&amp;row=5240&amp;col=6&amp;number=4.6&amp;sourceID=14","4.6")</f>
        <v>4.6</v>
      </c>
      <c r="G5240" s="4" t="str">
        <f>HYPERLINK("http://141.218.60.56/~jnz1568/getInfo.php?workbook=18_08.xlsx&amp;sheet=U0&amp;row=5240&amp;col=7&amp;number=0.00638&amp;sourceID=14","0.00638")</f>
        <v>0.00638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HYPERLINK("http://141.218.60.56/~jnz1568/getInfo.php?workbook=18_08.xlsx&amp;sheet=U0&amp;row=5241&amp;col=6&amp;number=4.7&amp;sourceID=14","4.7")</f>
        <v>4.7</v>
      </c>
      <c r="G5241" s="4" t="str">
        <f>HYPERLINK("http://141.218.60.56/~jnz1568/getInfo.php?workbook=18_08.xlsx&amp;sheet=U0&amp;row=5241&amp;col=7&amp;number=0.00636&amp;sourceID=14","0.00636")</f>
        <v>0.00636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HYPERLINK("http://141.218.60.56/~jnz1568/getInfo.php?workbook=18_08.xlsx&amp;sheet=U0&amp;row=5242&amp;col=6&amp;number=4.8&amp;sourceID=14","4.8")</f>
        <v>4.8</v>
      </c>
      <c r="G5242" s="4" t="str">
        <f>HYPERLINK("http://141.218.60.56/~jnz1568/getInfo.php?workbook=18_08.xlsx&amp;sheet=U0&amp;row=5242&amp;col=7&amp;number=0.00634&amp;sourceID=14","0.00634")</f>
        <v>0.00634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HYPERLINK("http://141.218.60.56/~jnz1568/getInfo.php?workbook=18_08.xlsx&amp;sheet=U0&amp;row=5243&amp;col=6&amp;number=4.9&amp;sourceID=14","4.9")</f>
        <v>4.9</v>
      </c>
      <c r="G5243" s="4" t="str">
        <f>HYPERLINK("http://141.218.60.56/~jnz1568/getInfo.php?workbook=18_08.xlsx&amp;sheet=U0&amp;row=5243&amp;col=7&amp;number=0.00632&amp;sourceID=14","0.00632")</f>
        <v>0.00632</v>
      </c>
    </row>
    <row r="5244" spans="1:7">
      <c r="A5244" s="3">
        <v>18</v>
      </c>
      <c r="B5244" s="3">
        <v>8</v>
      </c>
      <c r="C5244" s="3" t="s">
        <v>70</v>
      </c>
      <c r="D5244" s="3">
        <v>5</v>
      </c>
      <c r="E5244" s="3">
        <v>1</v>
      </c>
      <c r="F5244" s="4" t="str">
        <f>HYPERLINK("http://141.218.60.56/~jnz1568/getInfo.php?workbook=18_08.xlsx&amp;sheet=U0&amp;row=5244&amp;col=6&amp;number=3&amp;sourceID=14","3")</f>
        <v>3</v>
      </c>
      <c r="G5244" s="4" t="str">
        <f>HYPERLINK("http://141.218.60.56/~jnz1568/getInfo.php?workbook=18_08.xlsx&amp;sheet=U0&amp;row=5244&amp;col=7&amp;number=0.00983&amp;sourceID=14","0.00983")</f>
        <v>0.00983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HYPERLINK("http://141.218.60.56/~jnz1568/getInfo.php?workbook=18_08.xlsx&amp;sheet=U0&amp;row=5245&amp;col=6&amp;number=3.1&amp;sourceID=14","3.1")</f>
        <v>3.1</v>
      </c>
      <c r="G5245" s="4" t="str">
        <f>HYPERLINK("http://141.218.60.56/~jnz1568/getInfo.php?workbook=18_08.xlsx&amp;sheet=U0&amp;row=5245&amp;col=7&amp;number=0.00983&amp;sourceID=14","0.00983")</f>
        <v>0.00983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HYPERLINK("http://141.218.60.56/~jnz1568/getInfo.php?workbook=18_08.xlsx&amp;sheet=U0&amp;row=5246&amp;col=6&amp;number=3.2&amp;sourceID=14","3.2")</f>
        <v>3.2</v>
      </c>
      <c r="G5246" s="4" t="str">
        <f>HYPERLINK("http://141.218.60.56/~jnz1568/getInfo.php?workbook=18_08.xlsx&amp;sheet=U0&amp;row=5246&amp;col=7&amp;number=0.00983&amp;sourceID=14","0.00983")</f>
        <v>0.00983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HYPERLINK("http://141.218.60.56/~jnz1568/getInfo.php?workbook=18_08.xlsx&amp;sheet=U0&amp;row=5247&amp;col=6&amp;number=3.3&amp;sourceID=14","3.3")</f>
        <v>3.3</v>
      </c>
      <c r="G5247" s="4" t="str">
        <f>HYPERLINK("http://141.218.60.56/~jnz1568/getInfo.php?workbook=18_08.xlsx&amp;sheet=U0&amp;row=5247&amp;col=7&amp;number=0.00983&amp;sourceID=14","0.00983")</f>
        <v>0.00983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HYPERLINK("http://141.218.60.56/~jnz1568/getInfo.php?workbook=18_08.xlsx&amp;sheet=U0&amp;row=5248&amp;col=6&amp;number=3.4&amp;sourceID=14","3.4")</f>
        <v>3.4</v>
      </c>
      <c r="G5248" s="4" t="str">
        <f>HYPERLINK("http://141.218.60.56/~jnz1568/getInfo.php?workbook=18_08.xlsx&amp;sheet=U0&amp;row=5248&amp;col=7&amp;number=0.00983&amp;sourceID=14","0.00983")</f>
        <v>0.00983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HYPERLINK("http://141.218.60.56/~jnz1568/getInfo.php?workbook=18_08.xlsx&amp;sheet=U0&amp;row=5249&amp;col=6&amp;number=3.5&amp;sourceID=14","3.5")</f>
        <v>3.5</v>
      </c>
      <c r="G5249" s="4" t="str">
        <f>HYPERLINK("http://141.218.60.56/~jnz1568/getInfo.php?workbook=18_08.xlsx&amp;sheet=U0&amp;row=5249&amp;col=7&amp;number=0.00983&amp;sourceID=14","0.00983")</f>
        <v>0.00983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HYPERLINK("http://141.218.60.56/~jnz1568/getInfo.php?workbook=18_08.xlsx&amp;sheet=U0&amp;row=5250&amp;col=6&amp;number=3.6&amp;sourceID=14","3.6")</f>
        <v>3.6</v>
      </c>
      <c r="G5250" s="4" t="str">
        <f>HYPERLINK("http://141.218.60.56/~jnz1568/getInfo.php?workbook=18_08.xlsx&amp;sheet=U0&amp;row=5250&amp;col=7&amp;number=0.00982&amp;sourceID=14","0.00982")</f>
        <v>0.00982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HYPERLINK("http://141.218.60.56/~jnz1568/getInfo.php?workbook=18_08.xlsx&amp;sheet=U0&amp;row=5251&amp;col=6&amp;number=3.7&amp;sourceID=14","3.7")</f>
        <v>3.7</v>
      </c>
      <c r="G5251" s="4" t="str">
        <f>HYPERLINK("http://141.218.60.56/~jnz1568/getInfo.php?workbook=18_08.xlsx&amp;sheet=U0&amp;row=5251&amp;col=7&amp;number=0.00982&amp;sourceID=14","0.00982")</f>
        <v>0.00982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HYPERLINK("http://141.218.60.56/~jnz1568/getInfo.php?workbook=18_08.xlsx&amp;sheet=U0&amp;row=5252&amp;col=6&amp;number=3.8&amp;sourceID=14","3.8")</f>
        <v>3.8</v>
      </c>
      <c r="G5252" s="4" t="str">
        <f>HYPERLINK("http://141.218.60.56/~jnz1568/getInfo.php?workbook=18_08.xlsx&amp;sheet=U0&amp;row=5252&amp;col=7&amp;number=0.00982&amp;sourceID=14","0.00982")</f>
        <v>0.00982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HYPERLINK("http://141.218.60.56/~jnz1568/getInfo.php?workbook=18_08.xlsx&amp;sheet=U0&amp;row=5253&amp;col=6&amp;number=3.9&amp;sourceID=14","3.9")</f>
        <v>3.9</v>
      </c>
      <c r="G5253" s="4" t="str">
        <f>HYPERLINK("http://141.218.60.56/~jnz1568/getInfo.php?workbook=18_08.xlsx&amp;sheet=U0&amp;row=5253&amp;col=7&amp;number=0.00982&amp;sourceID=14","0.00982")</f>
        <v>0.00982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HYPERLINK("http://141.218.60.56/~jnz1568/getInfo.php?workbook=18_08.xlsx&amp;sheet=U0&amp;row=5254&amp;col=6&amp;number=4&amp;sourceID=14","4")</f>
        <v>4</v>
      </c>
      <c r="G5254" s="4" t="str">
        <f>HYPERLINK("http://141.218.60.56/~jnz1568/getInfo.php?workbook=18_08.xlsx&amp;sheet=U0&amp;row=5254&amp;col=7&amp;number=0.00982&amp;sourceID=14","0.00982")</f>
        <v>0.00982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HYPERLINK("http://141.218.60.56/~jnz1568/getInfo.php?workbook=18_08.xlsx&amp;sheet=U0&amp;row=5255&amp;col=6&amp;number=4.1&amp;sourceID=14","4.1")</f>
        <v>4.1</v>
      </c>
      <c r="G5255" s="4" t="str">
        <f>HYPERLINK("http://141.218.60.56/~jnz1568/getInfo.php?workbook=18_08.xlsx&amp;sheet=U0&amp;row=5255&amp;col=7&amp;number=0.00981&amp;sourceID=14","0.00981")</f>
        <v>0.00981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HYPERLINK("http://141.218.60.56/~jnz1568/getInfo.php?workbook=18_08.xlsx&amp;sheet=U0&amp;row=5256&amp;col=6&amp;number=4.2&amp;sourceID=14","4.2")</f>
        <v>4.2</v>
      </c>
      <c r="G5256" s="4" t="str">
        <f>HYPERLINK("http://141.218.60.56/~jnz1568/getInfo.php?workbook=18_08.xlsx&amp;sheet=U0&amp;row=5256&amp;col=7&amp;number=0.00981&amp;sourceID=14","0.00981")</f>
        <v>0.00981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HYPERLINK("http://141.218.60.56/~jnz1568/getInfo.php?workbook=18_08.xlsx&amp;sheet=U0&amp;row=5257&amp;col=6&amp;number=4.3&amp;sourceID=14","4.3")</f>
        <v>4.3</v>
      </c>
      <c r="G5257" s="4" t="str">
        <f>HYPERLINK("http://141.218.60.56/~jnz1568/getInfo.php?workbook=18_08.xlsx&amp;sheet=U0&amp;row=5257&amp;col=7&amp;number=0.0098&amp;sourceID=14","0.0098")</f>
        <v>0.0098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HYPERLINK("http://141.218.60.56/~jnz1568/getInfo.php?workbook=18_08.xlsx&amp;sheet=U0&amp;row=5258&amp;col=6&amp;number=4.4&amp;sourceID=14","4.4")</f>
        <v>4.4</v>
      </c>
      <c r="G5258" s="4" t="str">
        <f>HYPERLINK("http://141.218.60.56/~jnz1568/getInfo.php?workbook=18_08.xlsx&amp;sheet=U0&amp;row=5258&amp;col=7&amp;number=0.00979&amp;sourceID=14","0.00979")</f>
        <v>0.00979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HYPERLINK("http://141.218.60.56/~jnz1568/getInfo.php?workbook=18_08.xlsx&amp;sheet=U0&amp;row=5259&amp;col=6&amp;number=4.5&amp;sourceID=14","4.5")</f>
        <v>4.5</v>
      </c>
      <c r="G5259" s="4" t="str">
        <f>HYPERLINK("http://141.218.60.56/~jnz1568/getInfo.php?workbook=18_08.xlsx&amp;sheet=U0&amp;row=5259&amp;col=7&amp;number=0.00978&amp;sourceID=14","0.00978")</f>
        <v>0.00978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HYPERLINK("http://141.218.60.56/~jnz1568/getInfo.php?workbook=18_08.xlsx&amp;sheet=U0&amp;row=5260&amp;col=6&amp;number=4.6&amp;sourceID=14","4.6")</f>
        <v>4.6</v>
      </c>
      <c r="G5260" s="4" t="str">
        <f>HYPERLINK("http://141.218.60.56/~jnz1568/getInfo.php?workbook=18_08.xlsx&amp;sheet=U0&amp;row=5260&amp;col=7&amp;number=0.00977&amp;sourceID=14","0.00977")</f>
        <v>0.00977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HYPERLINK("http://141.218.60.56/~jnz1568/getInfo.php?workbook=18_08.xlsx&amp;sheet=U0&amp;row=5261&amp;col=6&amp;number=4.7&amp;sourceID=14","4.7")</f>
        <v>4.7</v>
      </c>
      <c r="G5261" s="4" t="str">
        <f>HYPERLINK("http://141.218.60.56/~jnz1568/getInfo.php?workbook=18_08.xlsx&amp;sheet=U0&amp;row=5261&amp;col=7&amp;number=0.00975&amp;sourceID=14","0.00975")</f>
        <v>0.00975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HYPERLINK("http://141.218.60.56/~jnz1568/getInfo.php?workbook=18_08.xlsx&amp;sheet=U0&amp;row=5262&amp;col=6&amp;number=4.8&amp;sourceID=14","4.8")</f>
        <v>4.8</v>
      </c>
      <c r="G5262" s="4" t="str">
        <f>HYPERLINK("http://141.218.60.56/~jnz1568/getInfo.php?workbook=18_08.xlsx&amp;sheet=U0&amp;row=5262&amp;col=7&amp;number=0.00974&amp;sourceID=14","0.00974")</f>
        <v>0.00974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HYPERLINK("http://141.218.60.56/~jnz1568/getInfo.php?workbook=18_08.xlsx&amp;sheet=U0&amp;row=5263&amp;col=6&amp;number=4.9&amp;sourceID=14","4.9")</f>
        <v>4.9</v>
      </c>
      <c r="G5263" s="4" t="str">
        <f>HYPERLINK("http://141.218.60.56/~jnz1568/getInfo.php?workbook=18_08.xlsx&amp;sheet=U0&amp;row=5263&amp;col=7&amp;number=0.00971&amp;sourceID=14","0.00971")</f>
        <v>0.00971</v>
      </c>
    </row>
    <row r="5264" spans="1:7">
      <c r="A5264" s="3">
        <v>18</v>
      </c>
      <c r="B5264" s="3">
        <v>8</v>
      </c>
      <c r="C5264" s="3" t="s">
        <v>70</v>
      </c>
      <c r="D5264" s="3">
        <v>6</v>
      </c>
      <c r="E5264" s="3">
        <v>1</v>
      </c>
      <c r="F5264" s="4" t="str">
        <f>HYPERLINK("http://141.218.60.56/~jnz1568/getInfo.php?workbook=18_08.xlsx&amp;sheet=U0&amp;row=5264&amp;col=6&amp;number=3&amp;sourceID=14","3")</f>
        <v>3</v>
      </c>
      <c r="G5264" s="4" t="str">
        <f>HYPERLINK("http://141.218.60.56/~jnz1568/getInfo.php?workbook=18_08.xlsx&amp;sheet=U0&amp;row=5264&amp;col=7&amp;number=0.00901&amp;sourceID=14","0.00901")</f>
        <v>0.00901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HYPERLINK("http://141.218.60.56/~jnz1568/getInfo.php?workbook=18_08.xlsx&amp;sheet=U0&amp;row=5265&amp;col=6&amp;number=3.1&amp;sourceID=14","3.1")</f>
        <v>3.1</v>
      </c>
      <c r="G5265" s="4" t="str">
        <f>HYPERLINK("http://141.218.60.56/~jnz1568/getInfo.php?workbook=18_08.xlsx&amp;sheet=U0&amp;row=5265&amp;col=7&amp;number=0.00901&amp;sourceID=14","0.00901")</f>
        <v>0.00901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HYPERLINK("http://141.218.60.56/~jnz1568/getInfo.php?workbook=18_08.xlsx&amp;sheet=U0&amp;row=5266&amp;col=6&amp;number=3.2&amp;sourceID=14","3.2")</f>
        <v>3.2</v>
      </c>
      <c r="G5266" s="4" t="str">
        <f>HYPERLINK("http://141.218.60.56/~jnz1568/getInfo.php?workbook=18_08.xlsx&amp;sheet=U0&amp;row=5266&amp;col=7&amp;number=0.00902&amp;sourceID=14","0.00902")</f>
        <v>0.00902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HYPERLINK("http://141.218.60.56/~jnz1568/getInfo.php?workbook=18_08.xlsx&amp;sheet=U0&amp;row=5267&amp;col=6&amp;number=3.3&amp;sourceID=14","3.3")</f>
        <v>3.3</v>
      </c>
      <c r="G5267" s="4" t="str">
        <f>HYPERLINK("http://141.218.60.56/~jnz1568/getInfo.php?workbook=18_08.xlsx&amp;sheet=U0&amp;row=5267&amp;col=7&amp;number=0.00902&amp;sourceID=14","0.00902")</f>
        <v>0.00902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HYPERLINK("http://141.218.60.56/~jnz1568/getInfo.php?workbook=18_08.xlsx&amp;sheet=U0&amp;row=5268&amp;col=6&amp;number=3.4&amp;sourceID=14","3.4")</f>
        <v>3.4</v>
      </c>
      <c r="G5268" s="4" t="str">
        <f>HYPERLINK("http://141.218.60.56/~jnz1568/getInfo.php?workbook=18_08.xlsx&amp;sheet=U0&amp;row=5268&amp;col=7&amp;number=0.00903&amp;sourceID=14","0.00903")</f>
        <v>0.00903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HYPERLINK("http://141.218.60.56/~jnz1568/getInfo.php?workbook=18_08.xlsx&amp;sheet=U0&amp;row=5269&amp;col=6&amp;number=3.5&amp;sourceID=14","3.5")</f>
        <v>3.5</v>
      </c>
      <c r="G5269" s="4" t="str">
        <f>HYPERLINK("http://141.218.60.56/~jnz1568/getInfo.php?workbook=18_08.xlsx&amp;sheet=U0&amp;row=5269&amp;col=7&amp;number=0.00903&amp;sourceID=14","0.00903")</f>
        <v>0.00903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HYPERLINK("http://141.218.60.56/~jnz1568/getInfo.php?workbook=18_08.xlsx&amp;sheet=U0&amp;row=5270&amp;col=6&amp;number=3.6&amp;sourceID=14","3.6")</f>
        <v>3.6</v>
      </c>
      <c r="G5270" s="4" t="str">
        <f>HYPERLINK("http://141.218.60.56/~jnz1568/getInfo.php?workbook=18_08.xlsx&amp;sheet=U0&amp;row=5270&amp;col=7&amp;number=0.00904&amp;sourceID=14","0.00904")</f>
        <v>0.00904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HYPERLINK("http://141.218.60.56/~jnz1568/getInfo.php?workbook=18_08.xlsx&amp;sheet=U0&amp;row=5271&amp;col=6&amp;number=3.7&amp;sourceID=14","3.7")</f>
        <v>3.7</v>
      </c>
      <c r="G5271" s="4" t="str">
        <f>HYPERLINK("http://141.218.60.56/~jnz1568/getInfo.php?workbook=18_08.xlsx&amp;sheet=U0&amp;row=5271&amp;col=7&amp;number=0.00905&amp;sourceID=14","0.00905")</f>
        <v>0.00905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HYPERLINK("http://141.218.60.56/~jnz1568/getInfo.php?workbook=18_08.xlsx&amp;sheet=U0&amp;row=5272&amp;col=6&amp;number=3.8&amp;sourceID=14","3.8")</f>
        <v>3.8</v>
      </c>
      <c r="G5272" s="4" t="str">
        <f>HYPERLINK("http://141.218.60.56/~jnz1568/getInfo.php?workbook=18_08.xlsx&amp;sheet=U0&amp;row=5272&amp;col=7&amp;number=0.00906&amp;sourceID=14","0.00906")</f>
        <v>0.00906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HYPERLINK("http://141.218.60.56/~jnz1568/getInfo.php?workbook=18_08.xlsx&amp;sheet=U0&amp;row=5273&amp;col=6&amp;number=3.9&amp;sourceID=14","3.9")</f>
        <v>3.9</v>
      </c>
      <c r="G5273" s="4" t="str">
        <f>HYPERLINK("http://141.218.60.56/~jnz1568/getInfo.php?workbook=18_08.xlsx&amp;sheet=U0&amp;row=5273&amp;col=7&amp;number=0.00908&amp;sourceID=14","0.00908")</f>
        <v>0.00908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HYPERLINK("http://141.218.60.56/~jnz1568/getInfo.php?workbook=18_08.xlsx&amp;sheet=U0&amp;row=5274&amp;col=6&amp;number=4&amp;sourceID=14","4")</f>
        <v>4</v>
      </c>
      <c r="G5274" s="4" t="str">
        <f>HYPERLINK("http://141.218.60.56/~jnz1568/getInfo.php?workbook=18_08.xlsx&amp;sheet=U0&amp;row=5274&amp;col=7&amp;number=0.0091&amp;sourceID=14","0.0091")</f>
        <v>0.0091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HYPERLINK("http://141.218.60.56/~jnz1568/getInfo.php?workbook=18_08.xlsx&amp;sheet=U0&amp;row=5275&amp;col=6&amp;number=4.1&amp;sourceID=14","4.1")</f>
        <v>4.1</v>
      </c>
      <c r="G5275" s="4" t="str">
        <f>HYPERLINK("http://141.218.60.56/~jnz1568/getInfo.php?workbook=18_08.xlsx&amp;sheet=U0&amp;row=5275&amp;col=7&amp;number=0.00912&amp;sourceID=14","0.00912")</f>
        <v>0.00912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HYPERLINK("http://141.218.60.56/~jnz1568/getInfo.php?workbook=18_08.xlsx&amp;sheet=U0&amp;row=5276&amp;col=6&amp;number=4.2&amp;sourceID=14","4.2")</f>
        <v>4.2</v>
      </c>
      <c r="G5276" s="4" t="str">
        <f>HYPERLINK("http://141.218.60.56/~jnz1568/getInfo.php?workbook=18_08.xlsx&amp;sheet=U0&amp;row=5276&amp;col=7&amp;number=0.00915&amp;sourceID=14","0.00915")</f>
        <v>0.00915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HYPERLINK("http://141.218.60.56/~jnz1568/getInfo.php?workbook=18_08.xlsx&amp;sheet=U0&amp;row=5277&amp;col=6&amp;number=4.3&amp;sourceID=14","4.3")</f>
        <v>4.3</v>
      </c>
      <c r="G5277" s="4" t="str">
        <f>HYPERLINK("http://141.218.60.56/~jnz1568/getInfo.php?workbook=18_08.xlsx&amp;sheet=U0&amp;row=5277&amp;col=7&amp;number=0.00919&amp;sourceID=14","0.00919")</f>
        <v>0.00919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HYPERLINK("http://141.218.60.56/~jnz1568/getInfo.php?workbook=18_08.xlsx&amp;sheet=U0&amp;row=5278&amp;col=6&amp;number=4.4&amp;sourceID=14","4.4")</f>
        <v>4.4</v>
      </c>
      <c r="G5278" s="4" t="str">
        <f>HYPERLINK("http://141.218.60.56/~jnz1568/getInfo.php?workbook=18_08.xlsx&amp;sheet=U0&amp;row=5278&amp;col=7&amp;number=0.00923&amp;sourceID=14","0.00923")</f>
        <v>0.00923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HYPERLINK("http://141.218.60.56/~jnz1568/getInfo.php?workbook=18_08.xlsx&amp;sheet=U0&amp;row=5279&amp;col=6&amp;number=4.5&amp;sourceID=14","4.5")</f>
        <v>4.5</v>
      </c>
      <c r="G5279" s="4" t="str">
        <f>HYPERLINK("http://141.218.60.56/~jnz1568/getInfo.php?workbook=18_08.xlsx&amp;sheet=U0&amp;row=5279&amp;col=7&amp;number=0.00929&amp;sourceID=14","0.00929")</f>
        <v>0.00929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HYPERLINK("http://141.218.60.56/~jnz1568/getInfo.php?workbook=18_08.xlsx&amp;sheet=U0&amp;row=5280&amp;col=6&amp;number=4.6&amp;sourceID=14","4.6")</f>
        <v>4.6</v>
      </c>
      <c r="G5280" s="4" t="str">
        <f>HYPERLINK("http://141.218.60.56/~jnz1568/getInfo.php?workbook=18_08.xlsx&amp;sheet=U0&amp;row=5280&amp;col=7&amp;number=0.00937&amp;sourceID=14","0.00937")</f>
        <v>0.00937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HYPERLINK("http://141.218.60.56/~jnz1568/getInfo.php?workbook=18_08.xlsx&amp;sheet=U0&amp;row=5281&amp;col=6&amp;number=4.7&amp;sourceID=14","4.7")</f>
        <v>4.7</v>
      </c>
      <c r="G5281" s="4" t="str">
        <f>HYPERLINK("http://141.218.60.56/~jnz1568/getInfo.php?workbook=18_08.xlsx&amp;sheet=U0&amp;row=5281&amp;col=7&amp;number=0.00946&amp;sourceID=14","0.00946")</f>
        <v>0.00946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HYPERLINK("http://141.218.60.56/~jnz1568/getInfo.php?workbook=18_08.xlsx&amp;sheet=U0&amp;row=5282&amp;col=6&amp;number=4.8&amp;sourceID=14","4.8")</f>
        <v>4.8</v>
      </c>
      <c r="G5282" s="4" t="str">
        <f>HYPERLINK("http://141.218.60.56/~jnz1568/getInfo.php?workbook=18_08.xlsx&amp;sheet=U0&amp;row=5282&amp;col=7&amp;number=0.00958&amp;sourceID=14","0.00958")</f>
        <v>0.00958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HYPERLINK("http://141.218.60.56/~jnz1568/getInfo.php?workbook=18_08.xlsx&amp;sheet=U0&amp;row=5283&amp;col=6&amp;number=4.9&amp;sourceID=14","4.9")</f>
        <v>4.9</v>
      </c>
      <c r="G5283" s="4" t="str">
        <f>HYPERLINK("http://141.218.60.56/~jnz1568/getInfo.php?workbook=18_08.xlsx&amp;sheet=U0&amp;row=5283&amp;col=7&amp;number=0.00973&amp;sourceID=14","0.00973")</f>
        <v>0.00973</v>
      </c>
    </row>
    <row r="5284" spans="1:7">
      <c r="A5284" s="3">
        <v>18</v>
      </c>
      <c r="B5284" s="3">
        <v>8</v>
      </c>
      <c r="C5284" s="3" t="s">
        <v>70</v>
      </c>
      <c r="D5284" s="3">
        <v>7</v>
      </c>
      <c r="E5284" s="3">
        <v>1</v>
      </c>
      <c r="F5284" s="4" t="str">
        <f>HYPERLINK("http://141.218.60.56/~jnz1568/getInfo.php?workbook=18_08.xlsx&amp;sheet=U0&amp;row=5284&amp;col=6&amp;number=3&amp;sourceID=14","3")</f>
        <v>3</v>
      </c>
      <c r="G5284" s="4" t="str">
        <f>HYPERLINK("http://141.218.60.56/~jnz1568/getInfo.php?workbook=18_08.xlsx&amp;sheet=U0&amp;row=5284&amp;col=7&amp;number=4.61e-05&amp;sourceID=14","4.61e-05")</f>
        <v>4.61e-05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HYPERLINK("http://141.218.60.56/~jnz1568/getInfo.php?workbook=18_08.xlsx&amp;sheet=U0&amp;row=5285&amp;col=6&amp;number=3.1&amp;sourceID=14","3.1")</f>
        <v>3.1</v>
      </c>
      <c r="G5285" s="4" t="str">
        <f>HYPERLINK("http://141.218.60.56/~jnz1568/getInfo.php?workbook=18_08.xlsx&amp;sheet=U0&amp;row=5285&amp;col=7&amp;number=4.61e-05&amp;sourceID=14","4.61e-05")</f>
        <v>4.61e-05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HYPERLINK("http://141.218.60.56/~jnz1568/getInfo.php?workbook=18_08.xlsx&amp;sheet=U0&amp;row=5286&amp;col=6&amp;number=3.2&amp;sourceID=14","3.2")</f>
        <v>3.2</v>
      </c>
      <c r="G5286" s="4" t="str">
        <f>HYPERLINK("http://141.218.60.56/~jnz1568/getInfo.php?workbook=18_08.xlsx&amp;sheet=U0&amp;row=5286&amp;col=7&amp;number=4.61e-05&amp;sourceID=14","4.61e-05")</f>
        <v>4.61e-05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HYPERLINK("http://141.218.60.56/~jnz1568/getInfo.php?workbook=18_08.xlsx&amp;sheet=U0&amp;row=5287&amp;col=6&amp;number=3.3&amp;sourceID=14","3.3")</f>
        <v>3.3</v>
      </c>
      <c r="G5287" s="4" t="str">
        <f>HYPERLINK("http://141.218.60.56/~jnz1568/getInfo.php?workbook=18_08.xlsx&amp;sheet=U0&amp;row=5287&amp;col=7&amp;number=4.61e-05&amp;sourceID=14","4.61e-05")</f>
        <v>4.61e-05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HYPERLINK("http://141.218.60.56/~jnz1568/getInfo.php?workbook=18_08.xlsx&amp;sheet=U0&amp;row=5288&amp;col=6&amp;number=3.4&amp;sourceID=14","3.4")</f>
        <v>3.4</v>
      </c>
      <c r="G5288" s="4" t="str">
        <f>HYPERLINK("http://141.218.60.56/~jnz1568/getInfo.php?workbook=18_08.xlsx&amp;sheet=U0&amp;row=5288&amp;col=7&amp;number=4.61e-05&amp;sourceID=14","4.61e-05")</f>
        <v>4.61e-05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HYPERLINK("http://141.218.60.56/~jnz1568/getInfo.php?workbook=18_08.xlsx&amp;sheet=U0&amp;row=5289&amp;col=6&amp;number=3.5&amp;sourceID=14","3.5")</f>
        <v>3.5</v>
      </c>
      <c r="G5289" s="4" t="str">
        <f>HYPERLINK("http://141.218.60.56/~jnz1568/getInfo.php?workbook=18_08.xlsx&amp;sheet=U0&amp;row=5289&amp;col=7&amp;number=4.61e-05&amp;sourceID=14","4.61e-05")</f>
        <v>4.61e-05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HYPERLINK("http://141.218.60.56/~jnz1568/getInfo.php?workbook=18_08.xlsx&amp;sheet=U0&amp;row=5290&amp;col=6&amp;number=3.6&amp;sourceID=14","3.6")</f>
        <v>3.6</v>
      </c>
      <c r="G5290" s="4" t="str">
        <f>HYPERLINK("http://141.218.60.56/~jnz1568/getInfo.php?workbook=18_08.xlsx&amp;sheet=U0&amp;row=5290&amp;col=7&amp;number=4.6e-05&amp;sourceID=14","4.6e-05")</f>
        <v>4.6e-05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HYPERLINK("http://141.218.60.56/~jnz1568/getInfo.php?workbook=18_08.xlsx&amp;sheet=U0&amp;row=5291&amp;col=6&amp;number=3.7&amp;sourceID=14","3.7")</f>
        <v>3.7</v>
      </c>
      <c r="G5291" s="4" t="str">
        <f>HYPERLINK("http://141.218.60.56/~jnz1568/getInfo.php?workbook=18_08.xlsx&amp;sheet=U0&amp;row=5291&amp;col=7&amp;number=4.6e-05&amp;sourceID=14","4.6e-05")</f>
        <v>4.6e-05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HYPERLINK("http://141.218.60.56/~jnz1568/getInfo.php?workbook=18_08.xlsx&amp;sheet=U0&amp;row=5292&amp;col=6&amp;number=3.8&amp;sourceID=14","3.8")</f>
        <v>3.8</v>
      </c>
      <c r="G5292" s="4" t="str">
        <f>HYPERLINK("http://141.218.60.56/~jnz1568/getInfo.php?workbook=18_08.xlsx&amp;sheet=U0&amp;row=5292&amp;col=7&amp;number=4.6e-05&amp;sourceID=14","4.6e-05")</f>
        <v>4.6e-05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HYPERLINK("http://141.218.60.56/~jnz1568/getInfo.php?workbook=18_08.xlsx&amp;sheet=U0&amp;row=5293&amp;col=6&amp;number=3.9&amp;sourceID=14","3.9")</f>
        <v>3.9</v>
      </c>
      <c r="G5293" s="4" t="str">
        <f>HYPERLINK("http://141.218.60.56/~jnz1568/getInfo.php?workbook=18_08.xlsx&amp;sheet=U0&amp;row=5293&amp;col=7&amp;number=4.6e-05&amp;sourceID=14","4.6e-05")</f>
        <v>4.6e-05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HYPERLINK("http://141.218.60.56/~jnz1568/getInfo.php?workbook=18_08.xlsx&amp;sheet=U0&amp;row=5294&amp;col=6&amp;number=4&amp;sourceID=14","4")</f>
        <v>4</v>
      </c>
      <c r="G5294" s="4" t="str">
        <f>HYPERLINK("http://141.218.60.56/~jnz1568/getInfo.php?workbook=18_08.xlsx&amp;sheet=U0&amp;row=5294&amp;col=7&amp;number=4.6e-05&amp;sourceID=14","4.6e-05")</f>
        <v>4.6e-05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HYPERLINK("http://141.218.60.56/~jnz1568/getInfo.php?workbook=18_08.xlsx&amp;sheet=U0&amp;row=5295&amp;col=6&amp;number=4.1&amp;sourceID=14","4.1")</f>
        <v>4.1</v>
      </c>
      <c r="G5295" s="4" t="str">
        <f>HYPERLINK("http://141.218.60.56/~jnz1568/getInfo.php?workbook=18_08.xlsx&amp;sheet=U0&amp;row=5295&amp;col=7&amp;number=4.59e-05&amp;sourceID=14","4.59e-05")</f>
        <v>4.59e-05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HYPERLINK("http://141.218.60.56/~jnz1568/getInfo.php?workbook=18_08.xlsx&amp;sheet=U0&amp;row=5296&amp;col=6&amp;number=4.2&amp;sourceID=14","4.2")</f>
        <v>4.2</v>
      </c>
      <c r="G5296" s="4" t="str">
        <f>HYPERLINK("http://141.218.60.56/~jnz1568/getInfo.php?workbook=18_08.xlsx&amp;sheet=U0&amp;row=5296&amp;col=7&amp;number=4.59e-05&amp;sourceID=14","4.59e-05")</f>
        <v>4.59e-05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HYPERLINK("http://141.218.60.56/~jnz1568/getInfo.php?workbook=18_08.xlsx&amp;sheet=U0&amp;row=5297&amp;col=6&amp;number=4.3&amp;sourceID=14","4.3")</f>
        <v>4.3</v>
      </c>
      <c r="G5297" s="4" t="str">
        <f>HYPERLINK("http://141.218.60.56/~jnz1568/getInfo.php?workbook=18_08.xlsx&amp;sheet=U0&amp;row=5297&amp;col=7&amp;number=4.58e-05&amp;sourceID=14","4.58e-05")</f>
        <v>4.58e-05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HYPERLINK("http://141.218.60.56/~jnz1568/getInfo.php?workbook=18_08.xlsx&amp;sheet=U0&amp;row=5298&amp;col=6&amp;number=4.4&amp;sourceID=14","4.4")</f>
        <v>4.4</v>
      </c>
      <c r="G5298" s="4" t="str">
        <f>HYPERLINK("http://141.218.60.56/~jnz1568/getInfo.php?workbook=18_08.xlsx&amp;sheet=U0&amp;row=5298&amp;col=7&amp;number=4.58e-05&amp;sourceID=14","4.58e-05")</f>
        <v>4.58e-05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HYPERLINK("http://141.218.60.56/~jnz1568/getInfo.php?workbook=18_08.xlsx&amp;sheet=U0&amp;row=5299&amp;col=6&amp;number=4.5&amp;sourceID=14","4.5")</f>
        <v>4.5</v>
      </c>
      <c r="G5299" s="4" t="str">
        <f>HYPERLINK("http://141.218.60.56/~jnz1568/getInfo.php?workbook=18_08.xlsx&amp;sheet=U0&amp;row=5299&amp;col=7&amp;number=4.57e-05&amp;sourceID=14","4.57e-05")</f>
        <v>4.57e-05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HYPERLINK("http://141.218.60.56/~jnz1568/getInfo.php?workbook=18_08.xlsx&amp;sheet=U0&amp;row=5300&amp;col=6&amp;number=4.6&amp;sourceID=14","4.6")</f>
        <v>4.6</v>
      </c>
      <c r="G5300" s="4" t="str">
        <f>HYPERLINK("http://141.218.60.56/~jnz1568/getInfo.php?workbook=18_08.xlsx&amp;sheet=U0&amp;row=5300&amp;col=7&amp;number=4.56e-05&amp;sourceID=14","4.56e-05")</f>
        <v>4.56e-05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HYPERLINK("http://141.218.60.56/~jnz1568/getInfo.php?workbook=18_08.xlsx&amp;sheet=U0&amp;row=5301&amp;col=6&amp;number=4.7&amp;sourceID=14","4.7")</f>
        <v>4.7</v>
      </c>
      <c r="G5301" s="4" t="str">
        <f>HYPERLINK("http://141.218.60.56/~jnz1568/getInfo.php?workbook=18_08.xlsx&amp;sheet=U0&amp;row=5301&amp;col=7&amp;number=4.55e-05&amp;sourceID=14","4.55e-05")</f>
        <v>4.55e-05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HYPERLINK("http://141.218.60.56/~jnz1568/getInfo.php?workbook=18_08.xlsx&amp;sheet=U0&amp;row=5302&amp;col=6&amp;number=4.8&amp;sourceID=14","4.8")</f>
        <v>4.8</v>
      </c>
      <c r="G5302" s="4" t="str">
        <f>HYPERLINK("http://141.218.60.56/~jnz1568/getInfo.php?workbook=18_08.xlsx&amp;sheet=U0&amp;row=5302&amp;col=7&amp;number=4.53e-05&amp;sourceID=14","4.53e-05")</f>
        <v>4.53e-05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HYPERLINK("http://141.218.60.56/~jnz1568/getInfo.php?workbook=18_08.xlsx&amp;sheet=U0&amp;row=5303&amp;col=6&amp;number=4.9&amp;sourceID=14","4.9")</f>
        <v>4.9</v>
      </c>
      <c r="G5303" s="4" t="str">
        <f>HYPERLINK("http://141.218.60.56/~jnz1568/getInfo.php?workbook=18_08.xlsx&amp;sheet=U0&amp;row=5303&amp;col=7&amp;number=4.51e-05&amp;sourceID=14","4.51e-05")</f>
        <v>4.51e-05</v>
      </c>
    </row>
    <row r="5304" spans="1:7">
      <c r="A5304" s="3">
        <v>18</v>
      </c>
      <c r="B5304" s="3">
        <v>8</v>
      </c>
      <c r="C5304" s="3" t="s">
        <v>70</v>
      </c>
      <c r="D5304" s="3">
        <v>8</v>
      </c>
      <c r="E5304" s="3">
        <v>1</v>
      </c>
      <c r="F5304" s="4" t="str">
        <f>HYPERLINK("http://141.218.60.56/~jnz1568/getInfo.php?workbook=18_08.xlsx&amp;sheet=U0&amp;row=5304&amp;col=6&amp;number=3&amp;sourceID=14","3")</f>
        <v>3</v>
      </c>
      <c r="G5304" s="4" t="str">
        <f>HYPERLINK("http://141.218.60.56/~jnz1568/getInfo.php?workbook=18_08.xlsx&amp;sheet=U0&amp;row=5304&amp;col=7&amp;number=7.76e-05&amp;sourceID=14","7.76e-05")</f>
        <v>7.76e-05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HYPERLINK("http://141.218.60.56/~jnz1568/getInfo.php?workbook=18_08.xlsx&amp;sheet=U0&amp;row=5305&amp;col=6&amp;number=3.1&amp;sourceID=14","3.1")</f>
        <v>3.1</v>
      </c>
      <c r="G5305" s="4" t="str">
        <f>HYPERLINK("http://141.218.60.56/~jnz1568/getInfo.php?workbook=18_08.xlsx&amp;sheet=U0&amp;row=5305&amp;col=7&amp;number=7.76e-05&amp;sourceID=14","7.76e-05")</f>
        <v>7.76e-05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HYPERLINK("http://141.218.60.56/~jnz1568/getInfo.php?workbook=18_08.xlsx&amp;sheet=U0&amp;row=5306&amp;col=6&amp;number=3.2&amp;sourceID=14","3.2")</f>
        <v>3.2</v>
      </c>
      <c r="G5306" s="4" t="str">
        <f>HYPERLINK("http://141.218.60.56/~jnz1568/getInfo.php?workbook=18_08.xlsx&amp;sheet=U0&amp;row=5306&amp;col=7&amp;number=7.76e-05&amp;sourceID=14","7.76e-05")</f>
        <v>7.76e-05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HYPERLINK("http://141.218.60.56/~jnz1568/getInfo.php?workbook=18_08.xlsx&amp;sheet=U0&amp;row=5307&amp;col=6&amp;number=3.3&amp;sourceID=14","3.3")</f>
        <v>3.3</v>
      </c>
      <c r="G5307" s="4" t="str">
        <f>HYPERLINK("http://141.218.60.56/~jnz1568/getInfo.php?workbook=18_08.xlsx&amp;sheet=U0&amp;row=5307&amp;col=7&amp;number=7.76e-05&amp;sourceID=14","7.76e-05")</f>
        <v>7.76e-05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HYPERLINK("http://141.218.60.56/~jnz1568/getInfo.php?workbook=18_08.xlsx&amp;sheet=U0&amp;row=5308&amp;col=6&amp;number=3.4&amp;sourceID=14","3.4")</f>
        <v>3.4</v>
      </c>
      <c r="G5308" s="4" t="str">
        <f>HYPERLINK("http://141.218.60.56/~jnz1568/getInfo.php?workbook=18_08.xlsx&amp;sheet=U0&amp;row=5308&amp;col=7&amp;number=7.76e-05&amp;sourceID=14","7.76e-05")</f>
        <v>7.76e-05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HYPERLINK("http://141.218.60.56/~jnz1568/getInfo.php?workbook=18_08.xlsx&amp;sheet=U0&amp;row=5309&amp;col=6&amp;number=3.5&amp;sourceID=14","3.5")</f>
        <v>3.5</v>
      </c>
      <c r="G5309" s="4" t="str">
        <f>HYPERLINK("http://141.218.60.56/~jnz1568/getInfo.php?workbook=18_08.xlsx&amp;sheet=U0&amp;row=5309&amp;col=7&amp;number=7.76e-05&amp;sourceID=14","7.76e-05")</f>
        <v>7.76e-05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HYPERLINK("http://141.218.60.56/~jnz1568/getInfo.php?workbook=18_08.xlsx&amp;sheet=U0&amp;row=5310&amp;col=6&amp;number=3.6&amp;sourceID=14","3.6")</f>
        <v>3.6</v>
      </c>
      <c r="G5310" s="4" t="str">
        <f>HYPERLINK("http://141.218.60.56/~jnz1568/getInfo.php?workbook=18_08.xlsx&amp;sheet=U0&amp;row=5310&amp;col=7&amp;number=7.75e-05&amp;sourceID=14","7.75e-05")</f>
        <v>7.75e-05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HYPERLINK("http://141.218.60.56/~jnz1568/getInfo.php?workbook=18_08.xlsx&amp;sheet=U0&amp;row=5311&amp;col=6&amp;number=3.7&amp;sourceID=14","3.7")</f>
        <v>3.7</v>
      </c>
      <c r="G5311" s="4" t="str">
        <f>HYPERLINK("http://141.218.60.56/~jnz1568/getInfo.php?workbook=18_08.xlsx&amp;sheet=U0&amp;row=5311&amp;col=7&amp;number=7.75e-05&amp;sourceID=14","7.75e-05")</f>
        <v>7.75e-05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HYPERLINK("http://141.218.60.56/~jnz1568/getInfo.php?workbook=18_08.xlsx&amp;sheet=U0&amp;row=5312&amp;col=6&amp;number=3.8&amp;sourceID=14","3.8")</f>
        <v>3.8</v>
      </c>
      <c r="G5312" s="4" t="str">
        <f>HYPERLINK("http://141.218.60.56/~jnz1568/getInfo.php?workbook=18_08.xlsx&amp;sheet=U0&amp;row=5312&amp;col=7&amp;number=7.75e-05&amp;sourceID=14","7.75e-05")</f>
        <v>7.75e-05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HYPERLINK("http://141.218.60.56/~jnz1568/getInfo.php?workbook=18_08.xlsx&amp;sheet=U0&amp;row=5313&amp;col=6&amp;number=3.9&amp;sourceID=14","3.9")</f>
        <v>3.9</v>
      </c>
      <c r="G5313" s="4" t="str">
        <f>HYPERLINK("http://141.218.60.56/~jnz1568/getInfo.php?workbook=18_08.xlsx&amp;sheet=U0&amp;row=5313&amp;col=7&amp;number=7.75e-05&amp;sourceID=14","7.75e-05")</f>
        <v>7.75e-05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HYPERLINK("http://141.218.60.56/~jnz1568/getInfo.php?workbook=18_08.xlsx&amp;sheet=U0&amp;row=5314&amp;col=6&amp;number=4&amp;sourceID=14","4")</f>
        <v>4</v>
      </c>
      <c r="G5314" s="4" t="str">
        <f>HYPERLINK("http://141.218.60.56/~jnz1568/getInfo.php?workbook=18_08.xlsx&amp;sheet=U0&amp;row=5314&amp;col=7&amp;number=7.74e-05&amp;sourceID=14","7.74e-05")</f>
        <v>7.74e-05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HYPERLINK("http://141.218.60.56/~jnz1568/getInfo.php?workbook=18_08.xlsx&amp;sheet=U0&amp;row=5315&amp;col=6&amp;number=4.1&amp;sourceID=14","4.1")</f>
        <v>4.1</v>
      </c>
      <c r="G5315" s="4" t="str">
        <f>HYPERLINK("http://141.218.60.56/~jnz1568/getInfo.php?workbook=18_08.xlsx&amp;sheet=U0&amp;row=5315&amp;col=7&amp;number=7.74e-05&amp;sourceID=14","7.74e-05")</f>
        <v>7.74e-05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HYPERLINK("http://141.218.60.56/~jnz1568/getInfo.php?workbook=18_08.xlsx&amp;sheet=U0&amp;row=5316&amp;col=6&amp;number=4.2&amp;sourceID=14","4.2")</f>
        <v>4.2</v>
      </c>
      <c r="G5316" s="4" t="str">
        <f>HYPERLINK("http://141.218.60.56/~jnz1568/getInfo.php?workbook=18_08.xlsx&amp;sheet=U0&amp;row=5316&amp;col=7&amp;number=7.73e-05&amp;sourceID=14","7.73e-05")</f>
        <v>7.73e-05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HYPERLINK("http://141.218.60.56/~jnz1568/getInfo.php?workbook=18_08.xlsx&amp;sheet=U0&amp;row=5317&amp;col=6&amp;number=4.3&amp;sourceID=14","4.3")</f>
        <v>4.3</v>
      </c>
      <c r="G5317" s="4" t="str">
        <f>HYPERLINK("http://141.218.60.56/~jnz1568/getInfo.php?workbook=18_08.xlsx&amp;sheet=U0&amp;row=5317&amp;col=7&amp;number=7.72e-05&amp;sourceID=14","7.72e-05")</f>
        <v>7.72e-05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HYPERLINK("http://141.218.60.56/~jnz1568/getInfo.php?workbook=18_08.xlsx&amp;sheet=U0&amp;row=5318&amp;col=6&amp;number=4.4&amp;sourceID=14","4.4")</f>
        <v>4.4</v>
      </c>
      <c r="G5318" s="4" t="str">
        <f>HYPERLINK("http://141.218.60.56/~jnz1568/getInfo.php?workbook=18_08.xlsx&amp;sheet=U0&amp;row=5318&amp;col=7&amp;number=7.71e-05&amp;sourceID=14","7.71e-05")</f>
        <v>7.71e-05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HYPERLINK("http://141.218.60.56/~jnz1568/getInfo.php?workbook=18_08.xlsx&amp;sheet=U0&amp;row=5319&amp;col=6&amp;number=4.5&amp;sourceID=14","4.5")</f>
        <v>4.5</v>
      </c>
      <c r="G5319" s="4" t="str">
        <f>HYPERLINK("http://141.218.60.56/~jnz1568/getInfo.php?workbook=18_08.xlsx&amp;sheet=U0&amp;row=5319&amp;col=7&amp;number=7.7e-05&amp;sourceID=14","7.7e-05")</f>
        <v>7.7e-05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HYPERLINK("http://141.218.60.56/~jnz1568/getInfo.php?workbook=18_08.xlsx&amp;sheet=U0&amp;row=5320&amp;col=6&amp;number=4.6&amp;sourceID=14","4.6")</f>
        <v>4.6</v>
      </c>
      <c r="G5320" s="4" t="str">
        <f>HYPERLINK("http://141.218.60.56/~jnz1568/getInfo.php?workbook=18_08.xlsx&amp;sheet=U0&amp;row=5320&amp;col=7&amp;number=7.68e-05&amp;sourceID=14","7.68e-05")</f>
        <v>7.68e-05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HYPERLINK("http://141.218.60.56/~jnz1568/getInfo.php?workbook=18_08.xlsx&amp;sheet=U0&amp;row=5321&amp;col=6&amp;number=4.7&amp;sourceID=14","4.7")</f>
        <v>4.7</v>
      </c>
      <c r="G5321" s="4" t="str">
        <f>HYPERLINK("http://141.218.60.56/~jnz1568/getInfo.php?workbook=18_08.xlsx&amp;sheet=U0&amp;row=5321&amp;col=7&amp;number=7.66e-05&amp;sourceID=14","7.66e-05")</f>
        <v>7.66e-05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HYPERLINK("http://141.218.60.56/~jnz1568/getInfo.php?workbook=18_08.xlsx&amp;sheet=U0&amp;row=5322&amp;col=6&amp;number=4.8&amp;sourceID=14","4.8")</f>
        <v>4.8</v>
      </c>
      <c r="G5322" s="4" t="str">
        <f>HYPERLINK("http://141.218.60.56/~jnz1568/getInfo.php?workbook=18_08.xlsx&amp;sheet=U0&amp;row=5322&amp;col=7&amp;number=7.63e-05&amp;sourceID=14","7.63e-05")</f>
        <v>7.63e-05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HYPERLINK("http://141.218.60.56/~jnz1568/getInfo.php?workbook=18_08.xlsx&amp;sheet=U0&amp;row=5323&amp;col=6&amp;number=4.9&amp;sourceID=14","4.9")</f>
        <v>4.9</v>
      </c>
      <c r="G5323" s="4" t="str">
        <f>HYPERLINK("http://141.218.60.56/~jnz1568/getInfo.php?workbook=18_08.xlsx&amp;sheet=U0&amp;row=5323&amp;col=7&amp;number=7.6e-05&amp;sourceID=14","7.6e-05")</f>
        <v>7.6e-05</v>
      </c>
    </row>
    <row r="5324" spans="1:7">
      <c r="A5324" s="3">
        <v>18</v>
      </c>
      <c r="B5324" s="3">
        <v>8</v>
      </c>
      <c r="C5324" s="3" t="s">
        <v>70</v>
      </c>
      <c r="D5324" s="3">
        <v>9</v>
      </c>
      <c r="E5324" s="3">
        <v>1</v>
      </c>
      <c r="F5324" s="4" t="str">
        <f>HYPERLINK("http://141.218.60.56/~jnz1568/getInfo.php?workbook=18_08.xlsx&amp;sheet=U0&amp;row=5324&amp;col=6&amp;number=3&amp;sourceID=14","3")</f>
        <v>3</v>
      </c>
      <c r="G5324" s="4" t="str">
        <f>HYPERLINK("http://141.218.60.56/~jnz1568/getInfo.php?workbook=18_08.xlsx&amp;sheet=U0&amp;row=5324&amp;col=7&amp;number=0.000121&amp;sourceID=14","0.000121")</f>
        <v>0.000121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HYPERLINK("http://141.218.60.56/~jnz1568/getInfo.php?workbook=18_08.xlsx&amp;sheet=U0&amp;row=5325&amp;col=6&amp;number=3.1&amp;sourceID=14","3.1")</f>
        <v>3.1</v>
      </c>
      <c r="G5325" s="4" t="str">
        <f>HYPERLINK("http://141.218.60.56/~jnz1568/getInfo.php?workbook=18_08.xlsx&amp;sheet=U0&amp;row=5325&amp;col=7&amp;number=0.000121&amp;sourceID=14","0.000121")</f>
        <v>0.000121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HYPERLINK("http://141.218.60.56/~jnz1568/getInfo.php?workbook=18_08.xlsx&amp;sheet=U0&amp;row=5326&amp;col=6&amp;number=3.2&amp;sourceID=14","3.2")</f>
        <v>3.2</v>
      </c>
      <c r="G5326" s="4" t="str">
        <f>HYPERLINK("http://141.218.60.56/~jnz1568/getInfo.php?workbook=18_08.xlsx&amp;sheet=U0&amp;row=5326&amp;col=7&amp;number=0.000121&amp;sourceID=14","0.000121")</f>
        <v>0.000121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HYPERLINK("http://141.218.60.56/~jnz1568/getInfo.php?workbook=18_08.xlsx&amp;sheet=U0&amp;row=5327&amp;col=6&amp;number=3.3&amp;sourceID=14","3.3")</f>
        <v>3.3</v>
      </c>
      <c r="G5327" s="4" t="str">
        <f>HYPERLINK("http://141.218.60.56/~jnz1568/getInfo.php?workbook=18_08.xlsx&amp;sheet=U0&amp;row=5327&amp;col=7&amp;number=0.000121&amp;sourceID=14","0.000121")</f>
        <v>0.000121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HYPERLINK("http://141.218.60.56/~jnz1568/getInfo.php?workbook=18_08.xlsx&amp;sheet=U0&amp;row=5328&amp;col=6&amp;number=3.4&amp;sourceID=14","3.4")</f>
        <v>3.4</v>
      </c>
      <c r="G5328" s="4" t="str">
        <f>HYPERLINK("http://141.218.60.56/~jnz1568/getInfo.php?workbook=18_08.xlsx&amp;sheet=U0&amp;row=5328&amp;col=7&amp;number=0.000121&amp;sourceID=14","0.000121")</f>
        <v>0.000121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HYPERLINK("http://141.218.60.56/~jnz1568/getInfo.php?workbook=18_08.xlsx&amp;sheet=U0&amp;row=5329&amp;col=6&amp;number=3.5&amp;sourceID=14","3.5")</f>
        <v>3.5</v>
      </c>
      <c r="G5329" s="4" t="str">
        <f>HYPERLINK("http://141.218.60.56/~jnz1568/getInfo.php?workbook=18_08.xlsx&amp;sheet=U0&amp;row=5329&amp;col=7&amp;number=0.000121&amp;sourceID=14","0.000121")</f>
        <v>0.000121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HYPERLINK("http://141.218.60.56/~jnz1568/getInfo.php?workbook=18_08.xlsx&amp;sheet=U0&amp;row=5330&amp;col=6&amp;number=3.6&amp;sourceID=14","3.6")</f>
        <v>3.6</v>
      </c>
      <c r="G5330" s="4" t="str">
        <f>HYPERLINK("http://141.218.60.56/~jnz1568/getInfo.php?workbook=18_08.xlsx&amp;sheet=U0&amp;row=5330&amp;col=7&amp;number=0.000121&amp;sourceID=14","0.000121")</f>
        <v>0.000121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HYPERLINK("http://141.218.60.56/~jnz1568/getInfo.php?workbook=18_08.xlsx&amp;sheet=U0&amp;row=5331&amp;col=6&amp;number=3.7&amp;sourceID=14","3.7")</f>
        <v>3.7</v>
      </c>
      <c r="G5331" s="4" t="str">
        <f>HYPERLINK("http://141.218.60.56/~jnz1568/getInfo.php?workbook=18_08.xlsx&amp;sheet=U0&amp;row=5331&amp;col=7&amp;number=0.000121&amp;sourceID=14","0.000121")</f>
        <v>0.000121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HYPERLINK("http://141.218.60.56/~jnz1568/getInfo.php?workbook=18_08.xlsx&amp;sheet=U0&amp;row=5332&amp;col=6&amp;number=3.8&amp;sourceID=14","3.8")</f>
        <v>3.8</v>
      </c>
      <c r="G5332" s="4" t="str">
        <f>HYPERLINK("http://141.218.60.56/~jnz1568/getInfo.php?workbook=18_08.xlsx&amp;sheet=U0&amp;row=5332&amp;col=7&amp;number=0.000121&amp;sourceID=14","0.000121")</f>
        <v>0.000121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HYPERLINK("http://141.218.60.56/~jnz1568/getInfo.php?workbook=18_08.xlsx&amp;sheet=U0&amp;row=5333&amp;col=6&amp;number=3.9&amp;sourceID=14","3.9")</f>
        <v>3.9</v>
      </c>
      <c r="G5333" s="4" t="str">
        <f>HYPERLINK("http://141.218.60.56/~jnz1568/getInfo.php?workbook=18_08.xlsx&amp;sheet=U0&amp;row=5333&amp;col=7&amp;number=0.000121&amp;sourceID=14","0.000121")</f>
        <v>0.000121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HYPERLINK("http://141.218.60.56/~jnz1568/getInfo.php?workbook=18_08.xlsx&amp;sheet=U0&amp;row=5334&amp;col=6&amp;number=4&amp;sourceID=14","4")</f>
        <v>4</v>
      </c>
      <c r="G5334" s="4" t="str">
        <f>HYPERLINK("http://141.218.60.56/~jnz1568/getInfo.php?workbook=18_08.xlsx&amp;sheet=U0&amp;row=5334&amp;col=7&amp;number=0.000121&amp;sourceID=14","0.000121")</f>
        <v>0.000121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HYPERLINK("http://141.218.60.56/~jnz1568/getInfo.php?workbook=18_08.xlsx&amp;sheet=U0&amp;row=5335&amp;col=6&amp;number=4.1&amp;sourceID=14","4.1")</f>
        <v>4.1</v>
      </c>
      <c r="G5335" s="4" t="str">
        <f>HYPERLINK("http://141.218.60.56/~jnz1568/getInfo.php?workbook=18_08.xlsx&amp;sheet=U0&amp;row=5335&amp;col=7&amp;number=0.000121&amp;sourceID=14","0.000121")</f>
        <v>0.000121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HYPERLINK("http://141.218.60.56/~jnz1568/getInfo.php?workbook=18_08.xlsx&amp;sheet=U0&amp;row=5336&amp;col=6&amp;number=4.2&amp;sourceID=14","4.2")</f>
        <v>4.2</v>
      </c>
      <c r="G5336" s="4" t="str">
        <f>HYPERLINK("http://141.218.60.56/~jnz1568/getInfo.php?workbook=18_08.xlsx&amp;sheet=U0&amp;row=5336&amp;col=7&amp;number=0.000121&amp;sourceID=14","0.000121")</f>
        <v>0.000121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HYPERLINK("http://141.218.60.56/~jnz1568/getInfo.php?workbook=18_08.xlsx&amp;sheet=U0&amp;row=5337&amp;col=6&amp;number=4.3&amp;sourceID=14","4.3")</f>
        <v>4.3</v>
      </c>
      <c r="G5337" s="4" t="str">
        <f>HYPERLINK("http://141.218.60.56/~jnz1568/getInfo.php?workbook=18_08.xlsx&amp;sheet=U0&amp;row=5337&amp;col=7&amp;number=0.000121&amp;sourceID=14","0.000121")</f>
        <v>0.000121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HYPERLINK("http://141.218.60.56/~jnz1568/getInfo.php?workbook=18_08.xlsx&amp;sheet=U0&amp;row=5338&amp;col=6&amp;number=4.4&amp;sourceID=14","4.4")</f>
        <v>4.4</v>
      </c>
      <c r="G5338" s="4" t="str">
        <f>HYPERLINK("http://141.218.60.56/~jnz1568/getInfo.php?workbook=18_08.xlsx&amp;sheet=U0&amp;row=5338&amp;col=7&amp;number=0.00012&amp;sourceID=14","0.00012")</f>
        <v>0.00012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HYPERLINK("http://141.218.60.56/~jnz1568/getInfo.php?workbook=18_08.xlsx&amp;sheet=U0&amp;row=5339&amp;col=6&amp;number=4.5&amp;sourceID=14","4.5")</f>
        <v>4.5</v>
      </c>
      <c r="G5339" s="4" t="str">
        <f>HYPERLINK("http://141.218.60.56/~jnz1568/getInfo.php?workbook=18_08.xlsx&amp;sheet=U0&amp;row=5339&amp;col=7&amp;number=0.00012&amp;sourceID=14","0.00012")</f>
        <v>0.00012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HYPERLINK("http://141.218.60.56/~jnz1568/getInfo.php?workbook=18_08.xlsx&amp;sheet=U0&amp;row=5340&amp;col=6&amp;number=4.6&amp;sourceID=14","4.6")</f>
        <v>4.6</v>
      </c>
      <c r="G5340" s="4" t="str">
        <f>HYPERLINK("http://141.218.60.56/~jnz1568/getInfo.php?workbook=18_08.xlsx&amp;sheet=U0&amp;row=5340&amp;col=7&amp;number=0.00012&amp;sourceID=14","0.00012")</f>
        <v>0.00012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HYPERLINK("http://141.218.60.56/~jnz1568/getInfo.php?workbook=18_08.xlsx&amp;sheet=U0&amp;row=5341&amp;col=6&amp;number=4.7&amp;sourceID=14","4.7")</f>
        <v>4.7</v>
      </c>
      <c r="G5341" s="4" t="str">
        <f>HYPERLINK("http://141.218.60.56/~jnz1568/getInfo.php?workbook=18_08.xlsx&amp;sheet=U0&amp;row=5341&amp;col=7&amp;number=0.00012&amp;sourceID=14","0.00012")</f>
        <v>0.00012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HYPERLINK("http://141.218.60.56/~jnz1568/getInfo.php?workbook=18_08.xlsx&amp;sheet=U0&amp;row=5342&amp;col=6&amp;number=4.8&amp;sourceID=14","4.8")</f>
        <v>4.8</v>
      </c>
      <c r="G5342" s="4" t="str">
        <f>HYPERLINK("http://141.218.60.56/~jnz1568/getInfo.php?workbook=18_08.xlsx&amp;sheet=U0&amp;row=5342&amp;col=7&amp;number=0.000119&amp;sourceID=14","0.000119")</f>
        <v>0.000119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HYPERLINK("http://141.218.60.56/~jnz1568/getInfo.php?workbook=18_08.xlsx&amp;sheet=U0&amp;row=5343&amp;col=6&amp;number=4.9&amp;sourceID=14","4.9")</f>
        <v>4.9</v>
      </c>
      <c r="G5343" s="4" t="str">
        <f>HYPERLINK("http://141.218.60.56/~jnz1568/getInfo.php?workbook=18_08.xlsx&amp;sheet=U0&amp;row=5343&amp;col=7&amp;number=0.000119&amp;sourceID=14","0.000119")</f>
        <v>0.000119</v>
      </c>
    </row>
    <row r="5344" spans="1:7">
      <c r="A5344" s="3">
        <v>18</v>
      </c>
      <c r="B5344" s="3">
        <v>8</v>
      </c>
      <c r="C5344" s="3" t="s">
        <v>71</v>
      </c>
      <c r="D5344" s="3">
        <v>0</v>
      </c>
      <c r="E5344" s="3">
        <v>1</v>
      </c>
      <c r="F5344" s="4" t="str">
        <f>HYPERLINK("http://141.218.60.56/~jnz1568/getInfo.php?workbook=18_08.xlsx&amp;sheet=U0&amp;row=5344&amp;col=6&amp;number=3&amp;sourceID=14","3")</f>
        <v>3</v>
      </c>
      <c r="G5344" s="4" t="str">
        <f>HYPERLINK("http://141.218.60.56/~jnz1568/getInfo.php?workbook=18_08.xlsx&amp;sheet=U0&amp;row=5344&amp;col=7&amp;number=0.00221&amp;sourceID=14","0.00221")</f>
        <v>0.00221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HYPERLINK("http://141.218.60.56/~jnz1568/getInfo.php?workbook=18_08.xlsx&amp;sheet=U0&amp;row=5345&amp;col=6&amp;number=3.1&amp;sourceID=14","3.1")</f>
        <v>3.1</v>
      </c>
      <c r="G5345" s="4" t="str">
        <f>HYPERLINK("http://141.218.60.56/~jnz1568/getInfo.php?workbook=18_08.xlsx&amp;sheet=U0&amp;row=5345&amp;col=7&amp;number=0.00221&amp;sourceID=14","0.00221")</f>
        <v>0.00221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HYPERLINK("http://141.218.60.56/~jnz1568/getInfo.php?workbook=18_08.xlsx&amp;sheet=U0&amp;row=5346&amp;col=6&amp;number=3.2&amp;sourceID=14","3.2")</f>
        <v>3.2</v>
      </c>
      <c r="G5346" s="4" t="str">
        <f>HYPERLINK("http://141.218.60.56/~jnz1568/getInfo.php?workbook=18_08.xlsx&amp;sheet=U0&amp;row=5346&amp;col=7&amp;number=0.00221&amp;sourceID=14","0.00221")</f>
        <v>0.00221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HYPERLINK("http://141.218.60.56/~jnz1568/getInfo.php?workbook=18_08.xlsx&amp;sheet=U0&amp;row=5347&amp;col=6&amp;number=3.3&amp;sourceID=14","3.3")</f>
        <v>3.3</v>
      </c>
      <c r="G5347" s="4" t="str">
        <f>HYPERLINK("http://141.218.60.56/~jnz1568/getInfo.php?workbook=18_08.xlsx&amp;sheet=U0&amp;row=5347&amp;col=7&amp;number=0.00221&amp;sourceID=14","0.00221")</f>
        <v>0.00221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HYPERLINK("http://141.218.60.56/~jnz1568/getInfo.php?workbook=18_08.xlsx&amp;sheet=U0&amp;row=5348&amp;col=6&amp;number=3.4&amp;sourceID=14","3.4")</f>
        <v>3.4</v>
      </c>
      <c r="G5348" s="4" t="str">
        <f>HYPERLINK("http://141.218.60.56/~jnz1568/getInfo.php?workbook=18_08.xlsx&amp;sheet=U0&amp;row=5348&amp;col=7&amp;number=0.00221&amp;sourceID=14","0.00221")</f>
        <v>0.00221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HYPERLINK("http://141.218.60.56/~jnz1568/getInfo.php?workbook=18_08.xlsx&amp;sheet=U0&amp;row=5349&amp;col=6&amp;number=3.5&amp;sourceID=14","3.5")</f>
        <v>3.5</v>
      </c>
      <c r="G5349" s="4" t="str">
        <f>HYPERLINK("http://141.218.60.56/~jnz1568/getInfo.php?workbook=18_08.xlsx&amp;sheet=U0&amp;row=5349&amp;col=7&amp;number=0.00221&amp;sourceID=14","0.00221")</f>
        <v>0.00221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HYPERLINK("http://141.218.60.56/~jnz1568/getInfo.php?workbook=18_08.xlsx&amp;sheet=U0&amp;row=5350&amp;col=6&amp;number=3.6&amp;sourceID=14","3.6")</f>
        <v>3.6</v>
      </c>
      <c r="G5350" s="4" t="str">
        <f>HYPERLINK("http://141.218.60.56/~jnz1568/getInfo.php?workbook=18_08.xlsx&amp;sheet=U0&amp;row=5350&amp;col=7&amp;number=0.00221&amp;sourceID=14","0.00221")</f>
        <v>0.00221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HYPERLINK("http://141.218.60.56/~jnz1568/getInfo.php?workbook=18_08.xlsx&amp;sheet=U0&amp;row=5351&amp;col=6&amp;number=3.7&amp;sourceID=14","3.7")</f>
        <v>3.7</v>
      </c>
      <c r="G5351" s="4" t="str">
        <f>HYPERLINK("http://141.218.60.56/~jnz1568/getInfo.php?workbook=18_08.xlsx&amp;sheet=U0&amp;row=5351&amp;col=7&amp;number=0.0022&amp;sourceID=14","0.0022")</f>
        <v>0.0022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HYPERLINK("http://141.218.60.56/~jnz1568/getInfo.php?workbook=18_08.xlsx&amp;sheet=U0&amp;row=5352&amp;col=6&amp;number=3.8&amp;sourceID=14","3.8")</f>
        <v>3.8</v>
      </c>
      <c r="G5352" s="4" t="str">
        <f>HYPERLINK("http://141.218.60.56/~jnz1568/getInfo.php?workbook=18_08.xlsx&amp;sheet=U0&amp;row=5352&amp;col=7&amp;number=0.0022&amp;sourceID=14","0.0022")</f>
        <v>0.0022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HYPERLINK("http://141.218.60.56/~jnz1568/getInfo.php?workbook=18_08.xlsx&amp;sheet=U0&amp;row=5353&amp;col=6&amp;number=3.9&amp;sourceID=14","3.9")</f>
        <v>3.9</v>
      </c>
      <c r="G5353" s="4" t="str">
        <f>HYPERLINK("http://141.218.60.56/~jnz1568/getInfo.php?workbook=18_08.xlsx&amp;sheet=U0&amp;row=5353&amp;col=7&amp;number=0.0022&amp;sourceID=14","0.0022")</f>
        <v>0.0022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HYPERLINK("http://141.218.60.56/~jnz1568/getInfo.php?workbook=18_08.xlsx&amp;sheet=U0&amp;row=5354&amp;col=6&amp;number=4&amp;sourceID=14","4")</f>
        <v>4</v>
      </c>
      <c r="G5354" s="4" t="str">
        <f>HYPERLINK("http://141.218.60.56/~jnz1568/getInfo.php?workbook=18_08.xlsx&amp;sheet=U0&amp;row=5354&amp;col=7&amp;number=0.0022&amp;sourceID=14","0.0022")</f>
        <v>0.0022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HYPERLINK("http://141.218.60.56/~jnz1568/getInfo.php?workbook=18_08.xlsx&amp;sheet=U0&amp;row=5355&amp;col=6&amp;number=4.1&amp;sourceID=14","4.1")</f>
        <v>4.1</v>
      </c>
      <c r="G5355" s="4" t="str">
        <f>HYPERLINK("http://141.218.60.56/~jnz1568/getInfo.php?workbook=18_08.xlsx&amp;sheet=U0&amp;row=5355&amp;col=7&amp;number=0.0022&amp;sourceID=14","0.0022")</f>
        <v>0.0022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HYPERLINK("http://141.218.60.56/~jnz1568/getInfo.php?workbook=18_08.xlsx&amp;sheet=U0&amp;row=5356&amp;col=6&amp;number=4.2&amp;sourceID=14","4.2")</f>
        <v>4.2</v>
      </c>
      <c r="G5356" s="4" t="str">
        <f>HYPERLINK("http://141.218.60.56/~jnz1568/getInfo.php?workbook=18_08.xlsx&amp;sheet=U0&amp;row=5356&amp;col=7&amp;number=0.00219&amp;sourceID=14","0.00219")</f>
        <v>0.00219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HYPERLINK("http://141.218.60.56/~jnz1568/getInfo.php?workbook=18_08.xlsx&amp;sheet=U0&amp;row=5357&amp;col=6&amp;number=4.3&amp;sourceID=14","4.3")</f>
        <v>4.3</v>
      </c>
      <c r="G5357" s="4" t="str">
        <f>HYPERLINK("http://141.218.60.56/~jnz1568/getInfo.php?workbook=18_08.xlsx&amp;sheet=U0&amp;row=5357&amp;col=7&amp;number=0.00219&amp;sourceID=14","0.00219")</f>
        <v>0.00219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HYPERLINK("http://141.218.60.56/~jnz1568/getInfo.php?workbook=18_08.xlsx&amp;sheet=U0&amp;row=5358&amp;col=6&amp;number=4.4&amp;sourceID=14","4.4")</f>
        <v>4.4</v>
      </c>
      <c r="G5358" s="4" t="str">
        <f>HYPERLINK("http://141.218.60.56/~jnz1568/getInfo.php?workbook=18_08.xlsx&amp;sheet=U0&amp;row=5358&amp;col=7&amp;number=0.00219&amp;sourceID=14","0.00219")</f>
        <v>0.00219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HYPERLINK("http://141.218.60.56/~jnz1568/getInfo.php?workbook=18_08.xlsx&amp;sheet=U0&amp;row=5359&amp;col=6&amp;number=4.5&amp;sourceID=14","4.5")</f>
        <v>4.5</v>
      </c>
      <c r="G5359" s="4" t="str">
        <f>HYPERLINK("http://141.218.60.56/~jnz1568/getInfo.php?workbook=18_08.xlsx&amp;sheet=U0&amp;row=5359&amp;col=7&amp;number=0.00218&amp;sourceID=14","0.00218")</f>
        <v>0.00218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HYPERLINK("http://141.218.60.56/~jnz1568/getInfo.php?workbook=18_08.xlsx&amp;sheet=U0&amp;row=5360&amp;col=6&amp;number=4.6&amp;sourceID=14","4.6")</f>
        <v>4.6</v>
      </c>
      <c r="G5360" s="4" t="str">
        <f>HYPERLINK("http://141.218.60.56/~jnz1568/getInfo.php?workbook=18_08.xlsx&amp;sheet=U0&amp;row=5360&amp;col=7&amp;number=0.00217&amp;sourceID=14","0.00217")</f>
        <v>0.00217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HYPERLINK("http://141.218.60.56/~jnz1568/getInfo.php?workbook=18_08.xlsx&amp;sheet=U0&amp;row=5361&amp;col=6&amp;number=4.7&amp;sourceID=14","4.7")</f>
        <v>4.7</v>
      </c>
      <c r="G5361" s="4" t="str">
        <f>HYPERLINK("http://141.218.60.56/~jnz1568/getInfo.php?workbook=18_08.xlsx&amp;sheet=U0&amp;row=5361&amp;col=7&amp;number=0.00216&amp;sourceID=14","0.00216")</f>
        <v>0.00216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HYPERLINK("http://141.218.60.56/~jnz1568/getInfo.php?workbook=18_08.xlsx&amp;sheet=U0&amp;row=5362&amp;col=6&amp;number=4.8&amp;sourceID=14","4.8")</f>
        <v>4.8</v>
      </c>
      <c r="G5362" s="4" t="str">
        <f>HYPERLINK("http://141.218.60.56/~jnz1568/getInfo.php?workbook=18_08.xlsx&amp;sheet=U0&amp;row=5362&amp;col=7&amp;number=0.00215&amp;sourceID=14","0.00215")</f>
        <v>0.00215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HYPERLINK("http://141.218.60.56/~jnz1568/getInfo.php?workbook=18_08.xlsx&amp;sheet=U0&amp;row=5363&amp;col=6&amp;number=4.9&amp;sourceID=14","4.9")</f>
        <v>4.9</v>
      </c>
      <c r="G5363" s="4" t="str">
        <f>HYPERLINK("http://141.218.60.56/~jnz1568/getInfo.php?workbook=18_08.xlsx&amp;sheet=U0&amp;row=5363&amp;col=7&amp;number=0.00214&amp;sourceID=14","0.00214")</f>
        <v>0.00214</v>
      </c>
    </row>
    <row r="5364" spans="1:7">
      <c r="A5364" s="3">
        <v>18</v>
      </c>
      <c r="B5364" s="3">
        <v>8</v>
      </c>
      <c r="C5364" s="3" t="s">
        <v>71</v>
      </c>
      <c r="D5364" s="3">
        <v>1</v>
      </c>
      <c r="E5364" s="3">
        <v>1</v>
      </c>
      <c r="F5364" s="4" t="str">
        <f>HYPERLINK("http://141.218.60.56/~jnz1568/getInfo.php?workbook=18_08.xlsx&amp;sheet=U0&amp;row=5364&amp;col=6&amp;number=3&amp;sourceID=14","3")</f>
        <v>3</v>
      </c>
      <c r="G5364" s="4" t="str">
        <f>HYPERLINK("http://141.218.60.56/~jnz1568/getInfo.php?workbook=18_08.xlsx&amp;sheet=U0&amp;row=5364&amp;col=7&amp;number=0.0032&amp;sourceID=14","0.0032")</f>
        <v>0.0032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HYPERLINK("http://141.218.60.56/~jnz1568/getInfo.php?workbook=18_08.xlsx&amp;sheet=U0&amp;row=5365&amp;col=6&amp;number=3.1&amp;sourceID=14","3.1")</f>
        <v>3.1</v>
      </c>
      <c r="G5365" s="4" t="str">
        <f>HYPERLINK("http://141.218.60.56/~jnz1568/getInfo.php?workbook=18_08.xlsx&amp;sheet=U0&amp;row=5365&amp;col=7&amp;number=0.0032&amp;sourceID=14","0.0032")</f>
        <v>0.0032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HYPERLINK("http://141.218.60.56/~jnz1568/getInfo.php?workbook=18_08.xlsx&amp;sheet=U0&amp;row=5366&amp;col=6&amp;number=3.2&amp;sourceID=14","3.2")</f>
        <v>3.2</v>
      </c>
      <c r="G5366" s="4" t="str">
        <f>HYPERLINK("http://141.218.60.56/~jnz1568/getInfo.php?workbook=18_08.xlsx&amp;sheet=U0&amp;row=5366&amp;col=7&amp;number=0.00319&amp;sourceID=14","0.00319")</f>
        <v>0.00319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HYPERLINK("http://141.218.60.56/~jnz1568/getInfo.php?workbook=18_08.xlsx&amp;sheet=U0&amp;row=5367&amp;col=6&amp;number=3.3&amp;sourceID=14","3.3")</f>
        <v>3.3</v>
      </c>
      <c r="G5367" s="4" t="str">
        <f>HYPERLINK("http://141.218.60.56/~jnz1568/getInfo.php?workbook=18_08.xlsx&amp;sheet=U0&amp;row=5367&amp;col=7&amp;number=0.00319&amp;sourceID=14","0.00319")</f>
        <v>0.00319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HYPERLINK("http://141.218.60.56/~jnz1568/getInfo.php?workbook=18_08.xlsx&amp;sheet=U0&amp;row=5368&amp;col=6&amp;number=3.4&amp;sourceID=14","3.4")</f>
        <v>3.4</v>
      </c>
      <c r="G5368" s="4" t="str">
        <f>HYPERLINK("http://141.218.60.56/~jnz1568/getInfo.php?workbook=18_08.xlsx&amp;sheet=U0&amp;row=5368&amp;col=7&amp;number=0.00319&amp;sourceID=14","0.00319")</f>
        <v>0.00319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HYPERLINK("http://141.218.60.56/~jnz1568/getInfo.php?workbook=18_08.xlsx&amp;sheet=U0&amp;row=5369&amp;col=6&amp;number=3.5&amp;sourceID=14","3.5")</f>
        <v>3.5</v>
      </c>
      <c r="G5369" s="4" t="str">
        <f>HYPERLINK("http://141.218.60.56/~jnz1568/getInfo.php?workbook=18_08.xlsx&amp;sheet=U0&amp;row=5369&amp;col=7&amp;number=0.00319&amp;sourceID=14","0.00319")</f>
        <v>0.00319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HYPERLINK("http://141.218.60.56/~jnz1568/getInfo.php?workbook=18_08.xlsx&amp;sheet=U0&amp;row=5370&amp;col=6&amp;number=3.6&amp;sourceID=14","3.6")</f>
        <v>3.6</v>
      </c>
      <c r="G5370" s="4" t="str">
        <f>HYPERLINK("http://141.218.60.56/~jnz1568/getInfo.php?workbook=18_08.xlsx&amp;sheet=U0&amp;row=5370&amp;col=7&amp;number=0.00319&amp;sourceID=14","0.00319")</f>
        <v>0.00319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HYPERLINK("http://141.218.60.56/~jnz1568/getInfo.php?workbook=18_08.xlsx&amp;sheet=U0&amp;row=5371&amp;col=6&amp;number=3.7&amp;sourceID=14","3.7")</f>
        <v>3.7</v>
      </c>
      <c r="G5371" s="4" t="str">
        <f>HYPERLINK("http://141.218.60.56/~jnz1568/getInfo.php?workbook=18_08.xlsx&amp;sheet=U0&amp;row=5371&amp;col=7&amp;number=0.00319&amp;sourceID=14","0.00319")</f>
        <v>0.00319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HYPERLINK("http://141.218.60.56/~jnz1568/getInfo.php?workbook=18_08.xlsx&amp;sheet=U0&amp;row=5372&amp;col=6&amp;number=3.8&amp;sourceID=14","3.8")</f>
        <v>3.8</v>
      </c>
      <c r="G5372" s="4" t="str">
        <f>HYPERLINK("http://141.218.60.56/~jnz1568/getInfo.php?workbook=18_08.xlsx&amp;sheet=U0&amp;row=5372&amp;col=7&amp;number=0.00319&amp;sourceID=14","0.00319")</f>
        <v>0.00319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HYPERLINK("http://141.218.60.56/~jnz1568/getInfo.php?workbook=18_08.xlsx&amp;sheet=U0&amp;row=5373&amp;col=6&amp;number=3.9&amp;sourceID=14","3.9")</f>
        <v>3.9</v>
      </c>
      <c r="G5373" s="4" t="str">
        <f>HYPERLINK("http://141.218.60.56/~jnz1568/getInfo.php?workbook=18_08.xlsx&amp;sheet=U0&amp;row=5373&amp;col=7&amp;number=0.00319&amp;sourceID=14","0.00319")</f>
        <v>0.00319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HYPERLINK("http://141.218.60.56/~jnz1568/getInfo.php?workbook=18_08.xlsx&amp;sheet=U0&amp;row=5374&amp;col=6&amp;number=4&amp;sourceID=14","4")</f>
        <v>4</v>
      </c>
      <c r="G5374" s="4" t="str">
        <f>HYPERLINK("http://141.218.60.56/~jnz1568/getInfo.php?workbook=18_08.xlsx&amp;sheet=U0&amp;row=5374&amp;col=7&amp;number=0.00319&amp;sourceID=14","0.00319")</f>
        <v>0.00319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HYPERLINK("http://141.218.60.56/~jnz1568/getInfo.php?workbook=18_08.xlsx&amp;sheet=U0&amp;row=5375&amp;col=6&amp;number=4.1&amp;sourceID=14","4.1")</f>
        <v>4.1</v>
      </c>
      <c r="G5375" s="4" t="str">
        <f>HYPERLINK("http://141.218.60.56/~jnz1568/getInfo.php?workbook=18_08.xlsx&amp;sheet=U0&amp;row=5375&amp;col=7&amp;number=0.00319&amp;sourceID=14","0.00319")</f>
        <v>0.00319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HYPERLINK("http://141.218.60.56/~jnz1568/getInfo.php?workbook=18_08.xlsx&amp;sheet=U0&amp;row=5376&amp;col=6&amp;number=4.2&amp;sourceID=14","4.2")</f>
        <v>4.2</v>
      </c>
      <c r="G5376" s="4" t="str">
        <f>HYPERLINK("http://141.218.60.56/~jnz1568/getInfo.php?workbook=18_08.xlsx&amp;sheet=U0&amp;row=5376&amp;col=7&amp;number=0.00319&amp;sourceID=14","0.00319")</f>
        <v>0.00319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HYPERLINK("http://141.218.60.56/~jnz1568/getInfo.php?workbook=18_08.xlsx&amp;sheet=U0&amp;row=5377&amp;col=6&amp;number=4.3&amp;sourceID=14","4.3")</f>
        <v>4.3</v>
      </c>
      <c r="G5377" s="4" t="str">
        <f>HYPERLINK("http://141.218.60.56/~jnz1568/getInfo.php?workbook=18_08.xlsx&amp;sheet=U0&amp;row=5377&amp;col=7&amp;number=0.00318&amp;sourceID=14","0.00318")</f>
        <v>0.00318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HYPERLINK("http://141.218.60.56/~jnz1568/getInfo.php?workbook=18_08.xlsx&amp;sheet=U0&amp;row=5378&amp;col=6&amp;number=4.4&amp;sourceID=14","4.4")</f>
        <v>4.4</v>
      </c>
      <c r="G5378" s="4" t="str">
        <f>HYPERLINK("http://141.218.60.56/~jnz1568/getInfo.php?workbook=18_08.xlsx&amp;sheet=U0&amp;row=5378&amp;col=7&amp;number=0.00318&amp;sourceID=14","0.00318")</f>
        <v>0.00318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HYPERLINK("http://141.218.60.56/~jnz1568/getInfo.php?workbook=18_08.xlsx&amp;sheet=U0&amp;row=5379&amp;col=6&amp;number=4.5&amp;sourceID=14","4.5")</f>
        <v>4.5</v>
      </c>
      <c r="G5379" s="4" t="str">
        <f>HYPERLINK("http://141.218.60.56/~jnz1568/getInfo.php?workbook=18_08.xlsx&amp;sheet=U0&amp;row=5379&amp;col=7&amp;number=0.00318&amp;sourceID=14","0.00318")</f>
        <v>0.00318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HYPERLINK("http://141.218.60.56/~jnz1568/getInfo.php?workbook=18_08.xlsx&amp;sheet=U0&amp;row=5380&amp;col=6&amp;number=4.6&amp;sourceID=14","4.6")</f>
        <v>4.6</v>
      </c>
      <c r="G5380" s="4" t="str">
        <f>HYPERLINK("http://141.218.60.56/~jnz1568/getInfo.php?workbook=18_08.xlsx&amp;sheet=U0&amp;row=5380&amp;col=7&amp;number=0.00317&amp;sourceID=14","0.00317")</f>
        <v>0.00317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HYPERLINK("http://141.218.60.56/~jnz1568/getInfo.php?workbook=18_08.xlsx&amp;sheet=U0&amp;row=5381&amp;col=6&amp;number=4.7&amp;sourceID=14","4.7")</f>
        <v>4.7</v>
      </c>
      <c r="G5381" s="4" t="str">
        <f>HYPERLINK("http://141.218.60.56/~jnz1568/getInfo.php?workbook=18_08.xlsx&amp;sheet=U0&amp;row=5381&amp;col=7&amp;number=0.00316&amp;sourceID=14","0.00316")</f>
        <v>0.00316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HYPERLINK("http://141.218.60.56/~jnz1568/getInfo.php?workbook=18_08.xlsx&amp;sheet=U0&amp;row=5382&amp;col=6&amp;number=4.8&amp;sourceID=14","4.8")</f>
        <v>4.8</v>
      </c>
      <c r="G5382" s="4" t="str">
        <f>HYPERLINK("http://141.218.60.56/~jnz1568/getInfo.php?workbook=18_08.xlsx&amp;sheet=U0&amp;row=5382&amp;col=7&amp;number=0.00315&amp;sourceID=14","0.00315")</f>
        <v>0.00315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HYPERLINK("http://141.218.60.56/~jnz1568/getInfo.php?workbook=18_08.xlsx&amp;sheet=U0&amp;row=5383&amp;col=6&amp;number=4.9&amp;sourceID=14","4.9")</f>
        <v>4.9</v>
      </c>
      <c r="G5383" s="4" t="str">
        <f>HYPERLINK("http://141.218.60.56/~jnz1568/getInfo.php?workbook=18_08.xlsx&amp;sheet=U0&amp;row=5383&amp;col=7&amp;number=0.00314&amp;sourceID=14","0.00314")</f>
        <v>0.00314</v>
      </c>
    </row>
    <row r="5384" spans="1:7">
      <c r="A5384" s="3">
        <v>18</v>
      </c>
      <c r="B5384" s="3">
        <v>8</v>
      </c>
      <c r="C5384" s="3" t="s">
        <v>71</v>
      </c>
      <c r="D5384" s="3">
        <v>2</v>
      </c>
      <c r="E5384" s="3">
        <v>1</v>
      </c>
      <c r="F5384" s="4" t="str">
        <f>HYPERLINK("http://141.218.60.56/~jnz1568/getInfo.php?workbook=18_08.xlsx&amp;sheet=U0&amp;row=5384&amp;col=6&amp;number=3&amp;sourceID=14","3")</f>
        <v>3</v>
      </c>
      <c r="G5384" s="4" t="str">
        <f>HYPERLINK("http://141.218.60.56/~jnz1568/getInfo.php?workbook=18_08.xlsx&amp;sheet=U0&amp;row=5384&amp;col=7&amp;number=0.000566&amp;sourceID=14","0.000566")</f>
        <v>0.000566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HYPERLINK("http://141.218.60.56/~jnz1568/getInfo.php?workbook=18_08.xlsx&amp;sheet=U0&amp;row=5385&amp;col=6&amp;number=3.1&amp;sourceID=14","3.1")</f>
        <v>3.1</v>
      </c>
      <c r="G5385" s="4" t="str">
        <f>HYPERLINK("http://141.218.60.56/~jnz1568/getInfo.php?workbook=18_08.xlsx&amp;sheet=U0&amp;row=5385&amp;col=7&amp;number=0.000566&amp;sourceID=14","0.000566")</f>
        <v>0.000566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HYPERLINK("http://141.218.60.56/~jnz1568/getInfo.php?workbook=18_08.xlsx&amp;sheet=U0&amp;row=5386&amp;col=6&amp;number=3.2&amp;sourceID=14","3.2")</f>
        <v>3.2</v>
      </c>
      <c r="G5386" s="4" t="str">
        <f>HYPERLINK("http://141.218.60.56/~jnz1568/getInfo.php?workbook=18_08.xlsx&amp;sheet=U0&amp;row=5386&amp;col=7&amp;number=0.000566&amp;sourceID=14","0.000566")</f>
        <v>0.000566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HYPERLINK("http://141.218.60.56/~jnz1568/getInfo.php?workbook=18_08.xlsx&amp;sheet=U0&amp;row=5387&amp;col=6&amp;number=3.3&amp;sourceID=14","3.3")</f>
        <v>3.3</v>
      </c>
      <c r="G5387" s="4" t="str">
        <f>HYPERLINK("http://141.218.60.56/~jnz1568/getInfo.php?workbook=18_08.xlsx&amp;sheet=U0&amp;row=5387&amp;col=7&amp;number=0.000566&amp;sourceID=14","0.000566")</f>
        <v>0.000566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HYPERLINK("http://141.218.60.56/~jnz1568/getInfo.php?workbook=18_08.xlsx&amp;sheet=U0&amp;row=5388&amp;col=6&amp;number=3.4&amp;sourceID=14","3.4")</f>
        <v>3.4</v>
      </c>
      <c r="G5388" s="4" t="str">
        <f>HYPERLINK("http://141.218.60.56/~jnz1568/getInfo.php?workbook=18_08.xlsx&amp;sheet=U0&amp;row=5388&amp;col=7&amp;number=0.000566&amp;sourceID=14","0.000566")</f>
        <v>0.000566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HYPERLINK("http://141.218.60.56/~jnz1568/getInfo.php?workbook=18_08.xlsx&amp;sheet=U0&amp;row=5389&amp;col=6&amp;number=3.5&amp;sourceID=14","3.5")</f>
        <v>3.5</v>
      </c>
      <c r="G5389" s="4" t="str">
        <f>HYPERLINK("http://141.218.60.56/~jnz1568/getInfo.php?workbook=18_08.xlsx&amp;sheet=U0&amp;row=5389&amp;col=7&amp;number=0.000566&amp;sourceID=14","0.000566")</f>
        <v>0.000566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HYPERLINK("http://141.218.60.56/~jnz1568/getInfo.php?workbook=18_08.xlsx&amp;sheet=U0&amp;row=5390&amp;col=6&amp;number=3.6&amp;sourceID=14","3.6")</f>
        <v>3.6</v>
      </c>
      <c r="G5390" s="4" t="str">
        <f>HYPERLINK("http://141.218.60.56/~jnz1568/getInfo.php?workbook=18_08.xlsx&amp;sheet=U0&amp;row=5390&amp;col=7&amp;number=0.000566&amp;sourceID=14","0.000566")</f>
        <v>0.000566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HYPERLINK("http://141.218.60.56/~jnz1568/getInfo.php?workbook=18_08.xlsx&amp;sheet=U0&amp;row=5391&amp;col=6&amp;number=3.7&amp;sourceID=14","3.7")</f>
        <v>3.7</v>
      </c>
      <c r="G5391" s="4" t="str">
        <f>HYPERLINK("http://141.218.60.56/~jnz1568/getInfo.php?workbook=18_08.xlsx&amp;sheet=U0&amp;row=5391&amp;col=7&amp;number=0.000566&amp;sourceID=14","0.000566")</f>
        <v>0.000566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HYPERLINK("http://141.218.60.56/~jnz1568/getInfo.php?workbook=18_08.xlsx&amp;sheet=U0&amp;row=5392&amp;col=6&amp;number=3.8&amp;sourceID=14","3.8")</f>
        <v>3.8</v>
      </c>
      <c r="G5392" s="4" t="str">
        <f>HYPERLINK("http://141.218.60.56/~jnz1568/getInfo.php?workbook=18_08.xlsx&amp;sheet=U0&amp;row=5392&amp;col=7&amp;number=0.000566&amp;sourceID=14","0.000566")</f>
        <v>0.000566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HYPERLINK("http://141.218.60.56/~jnz1568/getInfo.php?workbook=18_08.xlsx&amp;sheet=U0&amp;row=5393&amp;col=6&amp;number=3.9&amp;sourceID=14","3.9")</f>
        <v>3.9</v>
      </c>
      <c r="G5393" s="4" t="str">
        <f>HYPERLINK("http://141.218.60.56/~jnz1568/getInfo.php?workbook=18_08.xlsx&amp;sheet=U0&amp;row=5393&amp;col=7&amp;number=0.000566&amp;sourceID=14","0.000566")</f>
        <v>0.000566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HYPERLINK("http://141.218.60.56/~jnz1568/getInfo.php?workbook=18_08.xlsx&amp;sheet=U0&amp;row=5394&amp;col=6&amp;number=4&amp;sourceID=14","4")</f>
        <v>4</v>
      </c>
      <c r="G5394" s="4" t="str">
        <f>HYPERLINK("http://141.218.60.56/~jnz1568/getInfo.php?workbook=18_08.xlsx&amp;sheet=U0&amp;row=5394&amp;col=7&amp;number=0.000565&amp;sourceID=14","0.000565")</f>
        <v>0.000565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HYPERLINK("http://141.218.60.56/~jnz1568/getInfo.php?workbook=18_08.xlsx&amp;sheet=U0&amp;row=5395&amp;col=6&amp;number=4.1&amp;sourceID=14","4.1")</f>
        <v>4.1</v>
      </c>
      <c r="G5395" s="4" t="str">
        <f>HYPERLINK("http://141.218.60.56/~jnz1568/getInfo.php?workbook=18_08.xlsx&amp;sheet=U0&amp;row=5395&amp;col=7&amp;number=0.000565&amp;sourceID=14","0.000565")</f>
        <v>0.000565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HYPERLINK("http://141.218.60.56/~jnz1568/getInfo.php?workbook=18_08.xlsx&amp;sheet=U0&amp;row=5396&amp;col=6&amp;number=4.2&amp;sourceID=14","4.2")</f>
        <v>4.2</v>
      </c>
      <c r="G5396" s="4" t="str">
        <f>HYPERLINK("http://141.218.60.56/~jnz1568/getInfo.php?workbook=18_08.xlsx&amp;sheet=U0&amp;row=5396&amp;col=7&amp;number=0.000565&amp;sourceID=14","0.000565")</f>
        <v>0.000565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HYPERLINK("http://141.218.60.56/~jnz1568/getInfo.php?workbook=18_08.xlsx&amp;sheet=U0&amp;row=5397&amp;col=6&amp;number=4.3&amp;sourceID=14","4.3")</f>
        <v>4.3</v>
      </c>
      <c r="G5397" s="4" t="str">
        <f>HYPERLINK("http://141.218.60.56/~jnz1568/getInfo.php?workbook=18_08.xlsx&amp;sheet=U0&amp;row=5397&amp;col=7&amp;number=0.000564&amp;sourceID=14","0.000564")</f>
        <v>0.000564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HYPERLINK("http://141.218.60.56/~jnz1568/getInfo.php?workbook=18_08.xlsx&amp;sheet=U0&amp;row=5398&amp;col=6&amp;number=4.4&amp;sourceID=14","4.4")</f>
        <v>4.4</v>
      </c>
      <c r="G5398" s="4" t="str">
        <f>HYPERLINK("http://141.218.60.56/~jnz1568/getInfo.php?workbook=18_08.xlsx&amp;sheet=U0&amp;row=5398&amp;col=7&amp;number=0.000563&amp;sourceID=14","0.000563")</f>
        <v>0.000563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HYPERLINK("http://141.218.60.56/~jnz1568/getInfo.php?workbook=18_08.xlsx&amp;sheet=U0&amp;row=5399&amp;col=6&amp;number=4.5&amp;sourceID=14","4.5")</f>
        <v>4.5</v>
      </c>
      <c r="G5399" s="4" t="str">
        <f>HYPERLINK("http://141.218.60.56/~jnz1568/getInfo.php?workbook=18_08.xlsx&amp;sheet=U0&amp;row=5399&amp;col=7&amp;number=0.000563&amp;sourceID=14","0.000563")</f>
        <v>0.000563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HYPERLINK("http://141.218.60.56/~jnz1568/getInfo.php?workbook=18_08.xlsx&amp;sheet=U0&amp;row=5400&amp;col=6&amp;number=4.6&amp;sourceID=14","4.6")</f>
        <v>4.6</v>
      </c>
      <c r="G5400" s="4" t="str">
        <f>HYPERLINK("http://141.218.60.56/~jnz1568/getInfo.php?workbook=18_08.xlsx&amp;sheet=U0&amp;row=5400&amp;col=7&amp;number=0.000562&amp;sourceID=14","0.000562")</f>
        <v>0.000562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HYPERLINK("http://141.218.60.56/~jnz1568/getInfo.php?workbook=18_08.xlsx&amp;sheet=U0&amp;row=5401&amp;col=6&amp;number=4.7&amp;sourceID=14","4.7")</f>
        <v>4.7</v>
      </c>
      <c r="G5401" s="4" t="str">
        <f>HYPERLINK("http://141.218.60.56/~jnz1568/getInfo.php?workbook=18_08.xlsx&amp;sheet=U0&amp;row=5401&amp;col=7&amp;number=0.00056&amp;sourceID=14","0.00056")</f>
        <v>0.00056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HYPERLINK("http://141.218.60.56/~jnz1568/getInfo.php?workbook=18_08.xlsx&amp;sheet=U0&amp;row=5402&amp;col=6&amp;number=4.8&amp;sourceID=14","4.8")</f>
        <v>4.8</v>
      </c>
      <c r="G5402" s="4" t="str">
        <f>HYPERLINK("http://141.218.60.56/~jnz1568/getInfo.php?workbook=18_08.xlsx&amp;sheet=U0&amp;row=5402&amp;col=7&amp;number=0.000559&amp;sourceID=14","0.000559")</f>
        <v>0.000559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HYPERLINK("http://141.218.60.56/~jnz1568/getInfo.php?workbook=18_08.xlsx&amp;sheet=U0&amp;row=5403&amp;col=6&amp;number=4.9&amp;sourceID=14","4.9")</f>
        <v>4.9</v>
      </c>
      <c r="G5403" s="4" t="str">
        <f>HYPERLINK("http://141.218.60.56/~jnz1568/getInfo.php?workbook=18_08.xlsx&amp;sheet=U0&amp;row=5403&amp;col=7&amp;number=0.000557&amp;sourceID=14","0.000557")</f>
        <v>0.000557</v>
      </c>
    </row>
    <row r="5404" spans="1:7">
      <c r="A5404" s="3">
        <v>18</v>
      </c>
      <c r="B5404" s="3">
        <v>8</v>
      </c>
      <c r="C5404" s="3" t="s">
        <v>71</v>
      </c>
      <c r="D5404" s="3">
        <v>3</v>
      </c>
      <c r="E5404" s="3">
        <v>1</v>
      </c>
      <c r="F5404" s="4" t="str">
        <f>HYPERLINK("http://141.218.60.56/~jnz1568/getInfo.php?workbook=18_08.xlsx&amp;sheet=U0&amp;row=5404&amp;col=6&amp;number=3&amp;sourceID=14","3")</f>
        <v>3</v>
      </c>
      <c r="G5404" s="4" t="str">
        <f>HYPERLINK("http://141.218.60.56/~jnz1568/getInfo.php?workbook=18_08.xlsx&amp;sheet=U0&amp;row=5404&amp;col=7&amp;number=0.000911&amp;sourceID=14","0.000911")</f>
        <v>0.000911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HYPERLINK("http://141.218.60.56/~jnz1568/getInfo.php?workbook=18_08.xlsx&amp;sheet=U0&amp;row=5405&amp;col=6&amp;number=3.1&amp;sourceID=14","3.1")</f>
        <v>3.1</v>
      </c>
      <c r="G5405" s="4" t="str">
        <f>HYPERLINK("http://141.218.60.56/~jnz1568/getInfo.php?workbook=18_08.xlsx&amp;sheet=U0&amp;row=5405&amp;col=7&amp;number=0.000911&amp;sourceID=14","0.000911")</f>
        <v>0.000911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HYPERLINK("http://141.218.60.56/~jnz1568/getInfo.php?workbook=18_08.xlsx&amp;sheet=U0&amp;row=5406&amp;col=6&amp;number=3.2&amp;sourceID=14","3.2")</f>
        <v>3.2</v>
      </c>
      <c r="G5406" s="4" t="str">
        <f>HYPERLINK("http://141.218.60.56/~jnz1568/getInfo.php?workbook=18_08.xlsx&amp;sheet=U0&amp;row=5406&amp;col=7&amp;number=0.00091&amp;sourceID=14","0.00091")</f>
        <v>0.00091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HYPERLINK("http://141.218.60.56/~jnz1568/getInfo.php?workbook=18_08.xlsx&amp;sheet=U0&amp;row=5407&amp;col=6&amp;number=3.3&amp;sourceID=14","3.3")</f>
        <v>3.3</v>
      </c>
      <c r="G5407" s="4" t="str">
        <f>HYPERLINK("http://141.218.60.56/~jnz1568/getInfo.php?workbook=18_08.xlsx&amp;sheet=U0&amp;row=5407&amp;col=7&amp;number=0.00091&amp;sourceID=14","0.00091")</f>
        <v>0.00091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HYPERLINK("http://141.218.60.56/~jnz1568/getInfo.php?workbook=18_08.xlsx&amp;sheet=U0&amp;row=5408&amp;col=6&amp;number=3.4&amp;sourceID=14","3.4")</f>
        <v>3.4</v>
      </c>
      <c r="G5408" s="4" t="str">
        <f>HYPERLINK("http://141.218.60.56/~jnz1568/getInfo.php?workbook=18_08.xlsx&amp;sheet=U0&amp;row=5408&amp;col=7&amp;number=0.00091&amp;sourceID=14","0.00091")</f>
        <v>0.00091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HYPERLINK("http://141.218.60.56/~jnz1568/getInfo.php?workbook=18_08.xlsx&amp;sheet=U0&amp;row=5409&amp;col=6&amp;number=3.5&amp;sourceID=14","3.5")</f>
        <v>3.5</v>
      </c>
      <c r="G5409" s="4" t="str">
        <f>HYPERLINK("http://141.218.60.56/~jnz1568/getInfo.php?workbook=18_08.xlsx&amp;sheet=U0&amp;row=5409&amp;col=7&amp;number=0.00091&amp;sourceID=14","0.00091")</f>
        <v>0.00091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HYPERLINK("http://141.218.60.56/~jnz1568/getInfo.php?workbook=18_08.xlsx&amp;sheet=U0&amp;row=5410&amp;col=6&amp;number=3.6&amp;sourceID=14","3.6")</f>
        <v>3.6</v>
      </c>
      <c r="G5410" s="4" t="str">
        <f>HYPERLINK("http://141.218.60.56/~jnz1568/getInfo.php?workbook=18_08.xlsx&amp;sheet=U0&amp;row=5410&amp;col=7&amp;number=0.00091&amp;sourceID=14","0.00091")</f>
        <v>0.00091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HYPERLINK("http://141.218.60.56/~jnz1568/getInfo.php?workbook=18_08.xlsx&amp;sheet=U0&amp;row=5411&amp;col=6&amp;number=3.7&amp;sourceID=14","3.7")</f>
        <v>3.7</v>
      </c>
      <c r="G5411" s="4" t="str">
        <f>HYPERLINK("http://141.218.60.56/~jnz1568/getInfo.php?workbook=18_08.xlsx&amp;sheet=U0&amp;row=5411&amp;col=7&amp;number=0.00091&amp;sourceID=14","0.00091")</f>
        <v>0.00091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HYPERLINK("http://141.218.60.56/~jnz1568/getInfo.php?workbook=18_08.xlsx&amp;sheet=U0&amp;row=5412&amp;col=6&amp;number=3.8&amp;sourceID=14","3.8")</f>
        <v>3.8</v>
      </c>
      <c r="G5412" s="4" t="str">
        <f>HYPERLINK("http://141.218.60.56/~jnz1568/getInfo.php?workbook=18_08.xlsx&amp;sheet=U0&amp;row=5412&amp;col=7&amp;number=0.000909&amp;sourceID=14","0.000909")</f>
        <v>0.000909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HYPERLINK("http://141.218.60.56/~jnz1568/getInfo.php?workbook=18_08.xlsx&amp;sheet=U0&amp;row=5413&amp;col=6&amp;number=3.9&amp;sourceID=14","3.9")</f>
        <v>3.9</v>
      </c>
      <c r="G5413" s="4" t="str">
        <f>HYPERLINK("http://141.218.60.56/~jnz1568/getInfo.php?workbook=18_08.xlsx&amp;sheet=U0&amp;row=5413&amp;col=7&amp;number=0.000909&amp;sourceID=14","0.000909")</f>
        <v>0.000909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HYPERLINK("http://141.218.60.56/~jnz1568/getInfo.php?workbook=18_08.xlsx&amp;sheet=U0&amp;row=5414&amp;col=6&amp;number=4&amp;sourceID=14","4")</f>
        <v>4</v>
      </c>
      <c r="G5414" s="4" t="str">
        <f>HYPERLINK("http://141.218.60.56/~jnz1568/getInfo.php?workbook=18_08.xlsx&amp;sheet=U0&amp;row=5414&amp;col=7&amp;number=0.000909&amp;sourceID=14","0.000909")</f>
        <v>0.000909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HYPERLINK("http://141.218.60.56/~jnz1568/getInfo.php?workbook=18_08.xlsx&amp;sheet=U0&amp;row=5415&amp;col=6&amp;number=4.1&amp;sourceID=14","4.1")</f>
        <v>4.1</v>
      </c>
      <c r="G5415" s="4" t="str">
        <f>HYPERLINK("http://141.218.60.56/~jnz1568/getInfo.php?workbook=18_08.xlsx&amp;sheet=U0&amp;row=5415&amp;col=7&amp;number=0.000908&amp;sourceID=14","0.000908")</f>
        <v>0.000908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HYPERLINK("http://141.218.60.56/~jnz1568/getInfo.php?workbook=18_08.xlsx&amp;sheet=U0&amp;row=5416&amp;col=6&amp;number=4.2&amp;sourceID=14","4.2")</f>
        <v>4.2</v>
      </c>
      <c r="G5416" s="4" t="str">
        <f>HYPERLINK("http://141.218.60.56/~jnz1568/getInfo.php?workbook=18_08.xlsx&amp;sheet=U0&amp;row=5416&amp;col=7&amp;number=0.000908&amp;sourceID=14","0.000908")</f>
        <v>0.000908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HYPERLINK("http://141.218.60.56/~jnz1568/getInfo.php?workbook=18_08.xlsx&amp;sheet=U0&amp;row=5417&amp;col=6&amp;number=4.3&amp;sourceID=14","4.3")</f>
        <v>4.3</v>
      </c>
      <c r="G5417" s="4" t="str">
        <f>HYPERLINK("http://141.218.60.56/~jnz1568/getInfo.php?workbook=18_08.xlsx&amp;sheet=U0&amp;row=5417&amp;col=7&amp;number=0.000907&amp;sourceID=14","0.000907")</f>
        <v>0.000907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HYPERLINK("http://141.218.60.56/~jnz1568/getInfo.php?workbook=18_08.xlsx&amp;sheet=U0&amp;row=5418&amp;col=6&amp;number=4.4&amp;sourceID=14","4.4")</f>
        <v>4.4</v>
      </c>
      <c r="G5418" s="4" t="str">
        <f>HYPERLINK("http://141.218.60.56/~jnz1568/getInfo.php?workbook=18_08.xlsx&amp;sheet=U0&amp;row=5418&amp;col=7&amp;number=0.000906&amp;sourceID=14","0.000906")</f>
        <v>0.000906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HYPERLINK("http://141.218.60.56/~jnz1568/getInfo.php?workbook=18_08.xlsx&amp;sheet=U0&amp;row=5419&amp;col=6&amp;number=4.5&amp;sourceID=14","4.5")</f>
        <v>4.5</v>
      </c>
      <c r="G5419" s="4" t="str">
        <f>HYPERLINK("http://141.218.60.56/~jnz1568/getInfo.php?workbook=18_08.xlsx&amp;sheet=U0&amp;row=5419&amp;col=7&amp;number=0.000904&amp;sourceID=14","0.000904")</f>
        <v>0.000904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HYPERLINK("http://141.218.60.56/~jnz1568/getInfo.php?workbook=18_08.xlsx&amp;sheet=U0&amp;row=5420&amp;col=6&amp;number=4.6&amp;sourceID=14","4.6")</f>
        <v>4.6</v>
      </c>
      <c r="G5420" s="4" t="str">
        <f>HYPERLINK("http://141.218.60.56/~jnz1568/getInfo.php?workbook=18_08.xlsx&amp;sheet=U0&amp;row=5420&amp;col=7&amp;number=0.000903&amp;sourceID=14","0.000903")</f>
        <v>0.000903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HYPERLINK("http://141.218.60.56/~jnz1568/getInfo.php?workbook=18_08.xlsx&amp;sheet=U0&amp;row=5421&amp;col=6&amp;number=4.7&amp;sourceID=14","4.7")</f>
        <v>4.7</v>
      </c>
      <c r="G5421" s="4" t="str">
        <f>HYPERLINK("http://141.218.60.56/~jnz1568/getInfo.php?workbook=18_08.xlsx&amp;sheet=U0&amp;row=5421&amp;col=7&amp;number=0.0009&amp;sourceID=14","0.0009")</f>
        <v>0.0009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HYPERLINK("http://141.218.60.56/~jnz1568/getInfo.php?workbook=18_08.xlsx&amp;sheet=U0&amp;row=5422&amp;col=6&amp;number=4.8&amp;sourceID=14","4.8")</f>
        <v>4.8</v>
      </c>
      <c r="G5422" s="4" t="str">
        <f>HYPERLINK("http://141.218.60.56/~jnz1568/getInfo.php?workbook=18_08.xlsx&amp;sheet=U0&amp;row=5422&amp;col=7&amp;number=0.000898&amp;sourceID=14","0.000898")</f>
        <v>0.000898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HYPERLINK("http://141.218.60.56/~jnz1568/getInfo.php?workbook=18_08.xlsx&amp;sheet=U0&amp;row=5423&amp;col=6&amp;number=4.9&amp;sourceID=14","4.9")</f>
        <v>4.9</v>
      </c>
      <c r="G5423" s="4" t="str">
        <f>HYPERLINK("http://141.218.60.56/~jnz1568/getInfo.php?workbook=18_08.xlsx&amp;sheet=U0&amp;row=5423&amp;col=7&amp;number=0.000895&amp;sourceID=14","0.000895")</f>
        <v>0.000895</v>
      </c>
    </row>
    <row r="5424" spans="1:7">
      <c r="A5424" s="3">
        <v>18</v>
      </c>
      <c r="B5424" s="3">
        <v>8</v>
      </c>
      <c r="C5424" s="3" t="s">
        <v>71</v>
      </c>
      <c r="D5424" s="3">
        <v>4</v>
      </c>
      <c r="E5424" s="3">
        <v>1</v>
      </c>
      <c r="F5424" s="4" t="str">
        <f>HYPERLINK("http://141.218.60.56/~jnz1568/getInfo.php?workbook=18_08.xlsx&amp;sheet=U0&amp;row=5424&amp;col=6&amp;number=3&amp;sourceID=14","3")</f>
        <v>3</v>
      </c>
      <c r="G5424" s="4" t="str">
        <f>HYPERLINK("http://141.218.60.56/~jnz1568/getInfo.php?workbook=18_08.xlsx&amp;sheet=U0&amp;row=5424&amp;col=7&amp;number=0.00253&amp;sourceID=14","0.00253")</f>
        <v>0.00253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HYPERLINK("http://141.218.60.56/~jnz1568/getInfo.php?workbook=18_08.xlsx&amp;sheet=U0&amp;row=5425&amp;col=6&amp;number=3.1&amp;sourceID=14","3.1")</f>
        <v>3.1</v>
      </c>
      <c r="G5425" s="4" t="str">
        <f>HYPERLINK("http://141.218.60.56/~jnz1568/getInfo.php?workbook=18_08.xlsx&amp;sheet=U0&amp;row=5425&amp;col=7&amp;number=0.00253&amp;sourceID=14","0.00253")</f>
        <v>0.00253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HYPERLINK("http://141.218.60.56/~jnz1568/getInfo.php?workbook=18_08.xlsx&amp;sheet=U0&amp;row=5426&amp;col=6&amp;number=3.2&amp;sourceID=14","3.2")</f>
        <v>3.2</v>
      </c>
      <c r="G5426" s="4" t="str">
        <f>HYPERLINK("http://141.218.60.56/~jnz1568/getInfo.php?workbook=18_08.xlsx&amp;sheet=U0&amp;row=5426&amp;col=7&amp;number=0.00253&amp;sourceID=14","0.00253")</f>
        <v>0.00253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HYPERLINK("http://141.218.60.56/~jnz1568/getInfo.php?workbook=18_08.xlsx&amp;sheet=U0&amp;row=5427&amp;col=6&amp;number=3.3&amp;sourceID=14","3.3")</f>
        <v>3.3</v>
      </c>
      <c r="G5427" s="4" t="str">
        <f>HYPERLINK("http://141.218.60.56/~jnz1568/getInfo.php?workbook=18_08.xlsx&amp;sheet=U0&amp;row=5427&amp;col=7&amp;number=0.00253&amp;sourceID=14","0.00253")</f>
        <v>0.00253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HYPERLINK("http://141.218.60.56/~jnz1568/getInfo.php?workbook=18_08.xlsx&amp;sheet=U0&amp;row=5428&amp;col=6&amp;number=3.4&amp;sourceID=14","3.4")</f>
        <v>3.4</v>
      </c>
      <c r="G5428" s="4" t="str">
        <f>HYPERLINK("http://141.218.60.56/~jnz1568/getInfo.php?workbook=18_08.xlsx&amp;sheet=U0&amp;row=5428&amp;col=7&amp;number=0.00253&amp;sourceID=14","0.00253")</f>
        <v>0.00253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HYPERLINK("http://141.218.60.56/~jnz1568/getInfo.php?workbook=18_08.xlsx&amp;sheet=U0&amp;row=5429&amp;col=6&amp;number=3.5&amp;sourceID=14","3.5")</f>
        <v>3.5</v>
      </c>
      <c r="G5429" s="4" t="str">
        <f>HYPERLINK("http://141.218.60.56/~jnz1568/getInfo.php?workbook=18_08.xlsx&amp;sheet=U0&amp;row=5429&amp;col=7&amp;number=0.00253&amp;sourceID=14","0.00253")</f>
        <v>0.00253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HYPERLINK("http://141.218.60.56/~jnz1568/getInfo.php?workbook=18_08.xlsx&amp;sheet=U0&amp;row=5430&amp;col=6&amp;number=3.6&amp;sourceID=14","3.6")</f>
        <v>3.6</v>
      </c>
      <c r="G5430" s="4" t="str">
        <f>HYPERLINK("http://141.218.60.56/~jnz1568/getInfo.php?workbook=18_08.xlsx&amp;sheet=U0&amp;row=5430&amp;col=7&amp;number=0.00253&amp;sourceID=14","0.00253")</f>
        <v>0.00253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HYPERLINK("http://141.218.60.56/~jnz1568/getInfo.php?workbook=18_08.xlsx&amp;sheet=U0&amp;row=5431&amp;col=6&amp;number=3.7&amp;sourceID=14","3.7")</f>
        <v>3.7</v>
      </c>
      <c r="G5431" s="4" t="str">
        <f>HYPERLINK("http://141.218.60.56/~jnz1568/getInfo.php?workbook=18_08.xlsx&amp;sheet=U0&amp;row=5431&amp;col=7&amp;number=0.00253&amp;sourceID=14","0.00253")</f>
        <v>0.00253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HYPERLINK("http://141.218.60.56/~jnz1568/getInfo.php?workbook=18_08.xlsx&amp;sheet=U0&amp;row=5432&amp;col=6&amp;number=3.8&amp;sourceID=14","3.8")</f>
        <v>3.8</v>
      </c>
      <c r="G5432" s="4" t="str">
        <f>HYPERLINK("http://141.218.60.56/~jnz1568/getInfo.php?workbook=18_08.xlsx&amp;sheet=U0&amp;row=5432&amp;col=7&amp;number=0.00253&amp;sourceID=14","0.00253")</f>
        <v>0.00253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HYPERLINK("http://141.218.60.56/~jnz1568/getInfo.php?workbook=18_08.xlsx&amp;sheet=U0&amp;row=5433&amp;col=6&amp;number=3.9&amp;sourceID=14","3.9")</f>
        <v>3.9</v>
      </c>
      <c r="G5433" s="4" t="str">
        <f>HYPERLINK("http://141.218.60.56/~jnz1568/getInfo.php?workbook=18_08.xlsx&amp;sheet=U0&amp;row=5433&amp;col=7&amp;number=0.00253&amp;sourceID=14","0.00253")</f>
        <v>0.00253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HYPERLINK("http://141.218.60.56/~jnz1568/getInfo.php?workbook=18_08.xlsx&amp;sheet=U0&amp;row=5434&amp;col=6&amp;number=4&amp;sourceID=14","4")</f>
        <v>4</v>
      </c>
      <c r="G5434" s="4" t="str">
        <f>HYPERLINK("http://141.218.60.56/~jnz1568/getInfo.php?workbook=18_08.xlsx&amp;sheet=U0&amp;row=5434&amp;col=7&amp;number=0.00252&amp;sourceID=14","0.00252")</f>
        <v>0.00252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HYPERLINK("http://141.218.60.56/~jnz1568/getInfo.php?workbook=18_08.xlsx&amp;sheet=U0&amp;row=5435&amp;col=6&amp;number=4.1&amp;sourceID=14","4.1")</f>
        <v>4.1</v>
      </c>
      <c r="G5435" s="4" t="str">
        <f>HYPERLINK("http://141.218.60.56/~jnz1568/getInfo.php?workbook=18_08.xlsx&amp;sheet=U0&amp;row=5435&amp;col=7&amp;number=0.00252&amp;sourceID=14","0.00252")</f>
        <v>0.00252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HYPERLINK("http://141.218.60.56/~jnz1568/getInfo.php?workbook=18_08.xlsx&amp;sheet=U0&amp;row=5436&amp;col=6&amp;number=4.2&amp;sourceID=14","4.2")</f>
        <v>4.2</v>
      </c>
      <c r="G5436" s="4" t="str">
        <f>HYPERLINK("http://141.218.60.56/~jnz1568/getInfo.php?workbook=18_08.xlsx&amp;sheet=U0&amp;row=5436&amp;col=7&amp;number=0.00252&amp;sourceID=14","0.00252")</f>
        <v>0.00252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HYPERLINK("http://141.218.60.56/~jnz1568/getInfo.php?workbook=18_08.xlsx&amp;sheet=U0&amp;row=5437&amp;col=6&amp;number=4.3&amp;sourceID=14","4.3")</f>
        <v>4.3</v>
      </c>
      <c r="G5437" s="4" t="str">
        <f>HYPERLINK("http://141.218.60.56/~jnz1568/getInfo.php?workbook=18_08.xlsx&amp;sheet=U0&amp;row=5437&amp;col=7&amp;number=0.00252&amp;sourceID=14","0.00252")</f>
        <v>0.00252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HYPERLINK("http://141.218.60.56/~jnz1568/getInfo.php?workbook=18_08.xlsx&amp;sheet=U0&amp;row=5438&amp;col=6&amp;number=4.4&amp;sourceID=14","4.4")</f>
        <v>4.4</v>
      </c>
      <c r="G5438" s="4" t="str">
        <f>HYPERLINK("http://141.218.60.56/~jnz1568/getInfo.php?workbook=18_08.xlsx&amp;sheet=U0&amp;row=5438&amp;col=7&amp;number=0.00252&amp;sourceID=14","0.00252")</f>
        <v>0.00252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HYPERLINK("http://141.218.60.56/~jnz1568/getInfo.php?workbook=18_08.xlsx&amp;sheet=U0&amp;row=5439&amp;col=6&amp;number=4.5&amp;sourceID=14","4.5")</f>
        <v>4.5</v>
      </c>
      <c r="G5439" s="4" t="str">
        <f>HYPERLINK("http://141.218.60.56/~jnz1568/getInfo.php?workbook=18_08.xlsx&amp;sheet=U0&amp;row=5439&amp;col=7&amp;number=0.00252&amp;sourceID=14","0.00252")</f>
        <v>0.00252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HYPERLINK("http://141.218.60.56/~jnz1568/getInfo.php?workbook=18_08.xlsx&amp;sheet=U0&amp;row=5440&amp;col=6&amp;number=4.6&amp;sourceID=14","4.6")</f>
        <v>4.6</v>
      </c>
      <c r="G5440" s="4" t="str">
        <f>HYPERLINK("http://141.218.60.56/~jnz1568/getInfo.php?workbook=18_08.xlsx&amp;sheet=U0&amp;row=5440&amp;col=7&amp;number=0.00251&amp;sourceID=14","0.00251")</f>
        <v>0.00251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HYPERLINK("http://141.218.60.56/~jnz1568/getInfo.php?workbook=18_08.xlsx&amp;sheet=U0&amp;row=5441&amp;col=6&amp;number=4.7&amp;sourceID=14","4.7")</f>
        <v>4.7</v>
      </c>
      <c r="G5441" s="4" t="str">
        <f>HYPERLINK("http://141.218.60.56/~jnz1568/getInfo.php?workbook=18_08.xlsx&amp;sheet=U0&amp;row=5441&amp;col=7&amp;number=0.00251&amp;sourceID=14","0.00251")</f>
        <v>0.00251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HYPERLINK("http://141.218.60.56/~jnz1568/getInfo.php?workbook=18_08.xlsx&amp;sheet=U0&amp;row=5442&amp;col=6&amp;number=4.8&amp;sourceID=14","4.8")</f>
        <v>4.8</v>
      </c>
      <c r="G5442" s="4" t="str">
        <f>HYPERLINK("http://141.218.60.56/~jnz1568/getInfo.php?workbook=18_08.xlsx&amp;sheet=U0&amp;row=5442&amp;col=7&amp;number=0.00251&amp;sourceID=14","0.00251")</f>
        <v>0.00251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HYPERLINK("http://141.218.60.56/~jnz1568/getInfo.php?workbook=18_08.xlsx&amp;sheet=U0&amp;row=5443&amp;col=6&amp;number=4.9&amp;sourceID=14","4.9")</f>
        <v>4.9</v>
      </c>
      <c r="G5443" s="4" t="str">
        <f>HYPERLINK("http://141.218.60.56/~jnz1568/getInfo.php?workbook=18_08.xlsx&amp;sheet=U0&amp;row=5443&amp;col=7&amp;number=0.0025&amp;sourceID=14","0.0025")</f>
        <v>0.0025</v>
      </c>
    </row>
    <row r="5444" spans="1:7">
      <c r="A5444" s="3">
        <v>18</v>
      </c>
      <c r="B5444" s="3">
        <v>8</v>
      </c>
      <c r="C5444" s="3" t="s">
        <v>71</v>
      </c>
      <c r="D5444" s="3">
        <v>5</v>
      </c>
      <c r="E5444" s="3">
        <v>1</v>
      </c>
      <c r="F5444" s="4" t="str">
        <f>HYPERLINK("http://141.218.60.56/~jnz1568/getInfo.php?workbook=18_08.xlsx&amp;sheet=U0&amp;row=5444&amp;col=6&amp;number=3&amp;sourceID=14","3")</f>
        <v>3</v>
      </c>
      <c r="G5444" s="4" t="str">
        <f>HYPERLINK("http://141.218.60.56/~jnz1568/getInfo.php?workbook=18_08.xlsx&amp;sheet=U0&amp;row=5444&amp;col=7&amp;number=0.0041&amp;sourceID=14","0.0041")</f>
        <v>0.0041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HYPERLINK("http://141.218.60.56/~jnz1568/getInfo.php?workbook=18_08.xlsx&amp;sheet=U0&amp;row=5445&amp;col=6&amp;number=3.1&amp;sourceID=14","3.1")</f>
        <v>3.1</v>
      </c>
      <c r="G5445" s="4" t="str">
        <f>HYPERLINK("http://141.218.60.56/~jnz1568/getInfo.php?workbook=18_08.xlsx&amp;sheet=U0&amp;row=5445&amp;col=7&amp;number=0.0041&amp;sourceID=14","0.0041")</f>
        <v>0.0041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HYPERLINK("http://141.218.60.56/~jnz1568/getInfo.php?workbook=18_08.xlsx&amp;sheet=U0&amp;row=5446&amp;col=6&amp;number=3.2&amp;sourceID=14","3.2")</f>
        <v>3.2</v>
      </c>
      <c r="G5446" s="4" t="str">
        <f>HYPERLINK("http://141.218.60.56/~jnz1568/getInfo.php?workbook=18_08.xlsx&amp;sheet=U0&amp;row=5446&amp;col=7&amp;number=0.0041&amp;sourceID=14","0.0041")</f>
        <v>0.0041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HYPERLINK("http://141.218.60.56/~jnz1568/getInfo.php?workbook=18_08.xlsx&amp;sheet=U0&amp;row=5447&amp;col=6&amp;number=3.3&amp;sourceID=14","3.3")</f>
        <v>3.3</v>
      </c>
      <c r="G5447" s="4" t="str">
        <f>HYPERLINK("http://141.218.60.56/~jnz1568/getInfo.php?workbook=18_08.xlsx&amp;sheet=U0&amp;row=5447&amp;col=7&amp;number=0.0041&amp;sourceID=14","0.0041")</f>
        <v>0.0041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HYPERLINK("http://141.218.60.56/~jnz1568/getInfo.php?workbook=18_08.xlsx&amp;sheet=U0&amp;row=5448&amp;col=6&amp;number=3.4&amp;sourceID=14","3.4")</f>
        <v>3.4</v>
      </c>
      <c r="G5448" s="4" t="str">
        <f>HYPERLINK("http://141.218.60.56/~jnz1568/getInfo.php?workbook=18_08.xlsx&amp;sheet=U0&amp;row=5448&amp;col=7&amp;number=0.0041&amp;sourceID=14","0.0041")</f>
        <v>0.0041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HYPERLINK("http://141.218.60.56/~jnz1568/getInfo.php?workbook=18_08.xlsx&amp;sheet=U0&amp;row=5449&amp;col=6&amp;number=3.5&amp;sourceID=14","3.5")</f>
        <v>3.5</v>
      </c>
      <c r="G5449" s="4" t="str">
        <f>HYPERLINK("http://141.218.60.56/~jnz1568/getInfo.php?workbook=18_08.xlsx&amp;sheet=U0&amp;row=5449&amp;col=7&amp;number=0.0041&amp;sourceID=14","0.0041")</f>
        <v>0.0041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HYPERLINK("http://141.218.60.56/~jnz1568/getInfo.php?workbook=18_08.xlsx&amp;sheet=U0&amp;row=5450&amp;col=6&amp;number=3.6&amp;sourceID=14","3.6")</f>
        <v>3.6</v>
      </c>
      <c r="G5450" s="4" t="str">
        <f>HYPERLINK("http://141.218.60.56/~jnz1568/getInfo.php?workbook=18_08.xlsx&amp;sheet=U0&amp;row=5450&amp;col=7&amp;number=0.0041&amp;sourceID=14","0.0041")</f>
        <v>0.0041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HYPERLINK("http://141.218.60.56/~jnz1568/getInfo.php?workbook=18_08.xlsx&amp;sheet=U0&amp;row=5451&amp;col=6&amp;number=3.7&amp;sourceID=14","3.7")</f>
        <v>3.7</v>
      </c>
      <c r="G5451" s="4" t="str">
        <f>HYPERLINK("http://141.218.60.56/~jnz1568/getInfo.php?workbook=18_08.xlsx&amp;sheet=U0&amp;row=5451&amp;col=7&amp;number=0.0041&amp;sourceID=14","0.0041")</f>
        <v>0.0041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HYPERLINK("http://141.218.60.56/~jnz1568/getInfo.php?workbook=18_08.xlsx&amp;sheet=U0&amp;row=5452&amp;col=6&amp;number=3.8&amp;sourceID=14","3.8")</f>
        <v>3.8</v>
      </c>
      <c r="G5452" s="4" t="str">
        <f>HYPERLINK("http://141.218.60.56/~jnz1568/getInfo.php?workbook=18_08.xlsx&amp;sheet=U0&amp;row=5452&amp;col=7&amp;number=0.0041&amp;sourceID=14","0.0041")</f>
        <v>0.0041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HYPERLINK("http://141.218.60.56/~jnz1568/getInfo.php?workbook=18_08.xlsx&amp;sheet=U0&amp;row=5453&amp;col=6&amp;number=3.9&amp;sourceID=14","3.9")</f>
        <v>3.9</v>
      </c>
      <c r="G5453" s="4" t="str">
        <f>HYPERLINK("http://141.218.60.56/~jnz1568/getInfo.php?workbook=18_08.xlsx&amp;sheet=U0&amp;row=5453&amp;col=7&amp;number=0.0041&amp;sourceID=14","0.0041")</f>
        <v>0.0041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HYPERLINK("http://141.218.60.56/~jnz1568/getInfo.php?workbook=18_08.xlsx&amp;sheet=U0&amp;row=5454&amp;col=6&amp;number=4&amp;sourceID=14","4")</f>
        <v>4</v>
      </c>
      <c r="G5454" s="4" t="str">
        <f>HYPERLINK("http://141.218.60.56/~jnz1568/getInfo.php?workbook=18_08.xlsx&amp;sheet=U0&amp;row=5454&amp;col=7&amp;number=0.0041&amp;sourceID=14","0.0041")</f>
        <v>0.0041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HYPERLINK("http://141.218.60.56/~jnz1568/getInfo.php?workbook=18_08.xlsx&amp;sheet=U0&amp;row=5455&amp;col=6&amp;number=4.1&amp;sourceID=14","4.1")</f>
        <v>4.1</v>
      </c>
      <c r="G5455" s="4" t="str">
        <f>HYPERLINK("http://141.218.60.56/~jnz1568/getInfo.php?workbook=18_08.xlsx&amp;sheet=U0&amp;row=5455&amp;col=7&amp;number=0.0041&amp;sourceID=14","0.0041")</f>
        <v>0.0041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HYPERLINK("http://141.218.60.56/~jnz1568/getInfo.php?workbook=18_08.xlsx&amp;sheet=U0&amp;row=5456&amp;col=6&amp;number=4.2&amp;sourceID=14","4.2")</f>
        <v>4.2</v>
      </c>
      <c r="G5456" s="4" t="str">
        <f>HYPERLINK("http://141.218.60.56/~jnz1568/getInfo.php?workbook=18_08.xlsx&amp;sheet=U0&amp;row=5456&amp;col=7&amp;number=0.0041&amp;sourceID=14","0.0041")</f>
        <v>0.0041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HYPERLINK("http://141.218.60.56/~jnz1568/getInfo.php?workbook=18_08.xlsx&amp;sheet=U0&amp;row=5457&amp;col=6&amp;number=4.3&amp;sourceID=14","4.3")</f>
        <v>4.3</v>
      </c>
      <c r="G5457" s="4" t="str">
        <f>HYPERLINK("http://141.218.60.56/~jnz1568/getInfo.php?workbook=18_08.xlsx&amp;sheet=U0&amp;row=5457&amp;col=7&amp;number=0.0041&amp;sourceID=14","0.0041")</f>
        <v>0.0041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HYPERLINK("http://141.218.60.56/~jnz1568/getInfo.php?workbook=18_08.xlsx&amp;sheet=U0&amp;row=5458&amp;col=6&amp;number=4.4&amp;sourceID=14","4.4")</f>
        <v>4.4</v>
      </c>
      <c r="G5458" s="4" t="str">
        <f>HYPERLINK("http://141.218.60.56/~jnz1568/getInfo.php?workbook=18_08.xlsx&amp;sheet=U0&amp;row=5458&amp;col=7&amp;number=0.0041&amp;sourceID=14","0.0041")</f>
        <v>0.0041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HYPERLINK("http://141.218.60.56/~jnz1568/getInfo.php?workbook=18_08.xlsx&amp;sheet=U0&amp;row=5459&amp;col=6&amp;number=4.5&amp;sourceID=14","4.5")</f>
        <v>4.5</v>
      </c>
      <c r="G5459" s="4" t="str">
        <f>HYPERLINK("http://141.218.60.56/~jnz1568/getInfo.php?workbook=18_08.xlsx&amp;sheet=U0&amp;row=5459&amp;col=7&amp;number=0.0041&amp;sourceID=14","0.0041")</f>
        <v>0.0041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HYPERLINK("http://141.218.60.56/~jnz1568/getInfo.php?workbook=18_08.xlsx&amp;sheet=U0&amp;row=5460&amp;col=6&amp;number=4.6&amp;sourceID=14","4.6")</f>
        <v>4.6</v>
      </c>
      <c r="G5460" s="4" t="str">
        <f>HYPERLINK("http://141.218.60.56/~jnz1568/getInfo.php?workbook=18_08.xlsx&amp;sheet=U0&amp;row=5460&amp;col=7&amp;number=0.0041&amp;sourceID=14","0.0041")</f>
        <v>0.0041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HYPERLINK("http://141.218.60.56/~jnz1568/getInfo.php?workbook=18_08.xlsx&amp;sheet=U0&amp;row=5461&amp;col=6&amp;number=4.7&amp;sourceID=14","4.7")</f>
        <v>4.7</v>
      </c>
      <c r="G5461" s="4" t="str">
        <f>HYPERLINK("http://141.218.60.56/~jnz1568/getInfo.php?workbook=18_08.xlsx&amp;sheet=U0&amp;row=5461&amp;col=7&amp;number=0.0041&amp;sourceID=14","0.0041")</f>
        <v>0.0041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HYPERLINK("http://141.218.60.56/~jnz1568/getInfo.php?workbook=18_08.xlsx&amp;sheet=U0&amp;row=5462&amp;col=6&amp;number=4.8&amp;sourceID=14","4.8")</f>
        <v>4.8</v>
      </c>
      <c r="G5462" s="4" t="str">
        <f>HYPERLINK("http://141.218.60.56/~jnz1568/getInfo.php?workbook=18_08.xlsx&amp;sheet=U0&amp;row=5462&amp;col=7&amp;number=0.0041&amp;sourceID=14","0.0041")</f>
        <v>0.0041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HYPERLINK("http://141.218.60.56/~jnz1568/getInfo.php?workbook=18_08.xlsx&amp;sheet=U0&amp;row=5463&amp;col=6&amp;number=4.9&amp;sourceID=14","4.9")</f>
        <v>4.9</v>
      </c>
      <c r="G5463" s="4" t="str">
        <f>HYPERLINK("http://141.218.60.56/~jnz1568/getInfo.php?workbook=18_08.xlsx&amp;sheet=U0&amp;row=5463&amp;col=7&amp;number=0.00409&amp;sourceID=14","0.00409")</f>
        <v>0.00409</v>
      </c>
    </row>
    <row r="5464" spans="1:7">
      <c r="A5464" s="3">
        <v>18</v>
      </c>
      <c r="B5464" s="3">
        <v>8</v>
      </c>
      <c r="C5464" s="3" t="s">
        <v>71</v>
      </c>
      <c r="D5464" s="3">
        <v>6</v>
      </c>
      <c r="E5464" s="3">
        <v>1</v>
      </c>
      <c r="F5464" s="4" t="str">
        <f>HYPERLINK("http://141.218.60.56/~jnz1568/getInfo.php?workbook=18_08.xlsx&amp;sheet=U0&amp;row=5464&amp;col=6&amp;number=3&amp;sourceID=14","3")</f>
        <v>3</v>
      </c>
      <c r="G5464" s="4" t="str">
        <f>HYPERLINK("http://141.218.60.56/~jnz1568/getInfo.php?workbook=18_08.xlsx&amp;sheet=U0&amp;row=5464&amp;col=7&amp;number=0.00281&amp;sourceID=14","0.00281")</f>
        <v>0.00281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HYPERLINK("http://141.218.60.56/~jnz1568/getInfo.php?workbook=18_08.xlsx&amp;sheet=U0&amp;row=5465&amp;col=6&amp;number=3.1&amp;sourceID=14","3.1")</f>
        <v>3.1</v>
      </c>
      <c r="G5465" s="4" t="str">
        <f>HYPERLINK("http://141.218.60.56/~jnz1568/getInfo.php?workbook=18_08.xlsx&amp;sheet=U0&amp;row=5465&amp;col=7&amp;number=0.00281&amp;sourceID=14","0.00281")</f>
        <v>0.00281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HYPERLINK("http://141.218.60.56/~jnz1568/getInfo.php?workbook=18_08.xlsx&amp;sheet=U0&amp;row=5466&amp;col=6&amp;number=3.2&amp;sourceID=14","3.2")</f>
        <v>3.2</v>
      </c>
      <c r="G5466" s="4" t="str">
        <f>HYPERLINK("http://141.218.60.56/~jnz1568/getInfo.php?workbook=18_08.xlsx&amp;sheet=U0&amp;row=5466&amp;col=7&amp;number=0.00281&amp;sourceID=14","0.00281")</f>
        <v>0.00281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HYPERLINK("http://141.218.60.56/~jnz1568/getInfo.php?workbook=18_08.xlsx&amp;sheet=U0&amp;row=5467&amp;col=6&amp;number=3.3&amp;sourceID=14","3.3")</f>
        <v>3.3</v>
      </c>
      <c r="G5467" s="4" t="str">
        <f>HYPERLINK("http://141.218.60.56/~jnz1568/getInfo.php?workbook=18_08.xlsx&amp;sheet=U0&amp;row=5467&amp;col=7&amp;number=0.00281&amp;sourceID=14","0.00281")</f>
        <v>0.00281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HYPERLINK("http://141.218.60.56/~jnz1568/getInfo.php?workbook=18_08.xlsx&amp;sheet=U0&amp;row=5468&amp;col=6&amp;number=3.4&amp;sourceID=14","3.4")</f>
        <v>3.4</v>
      </c>
      <c r="G5468" s="4" t="str">
        <f>HYPERLINK("http://141.218.60.56/~jnz1568/getInfo.php?workbook=18_08.xlsx&amp;sheet=U0&amp;row=5468&amp;col=7&amp;number=0.00281&amp;sourceID=14","0.00281")</f>
        <v>0.00281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HYPERLINK("http://141.218.60.56/~jnz1568/getInfo.php?workbook=18_08.xlsx&amp;sheet=U0&amp;row=5469&amp;col=6&amp;number=3.5&amp;sourceID=14","3.5")</f>
        <v>3.5</v>
      </c>
      <c r="G5469" s="4" t="str">
        <f>HYPERLINK("http://141.218.60.56/~jnz1568/getInfo.php?workbook=18_08.xlsx&amp;sheet=U0&amp;row=5469&amp;col=7&amp;number=0.00282&amp;sourceID=14","0.00282")</f>
        <v>0.00282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HYPERLINK("http://141.218.60.56/~jnz1568/getInfo.php?workbook=18_08.xlsx&amp;sheet=U0&amp;row=5470&amp;col=6&amp;number=3.6&amp;sourceID=14","3.6")</f>
        <v>3.6</v>
      </c>
      <c r="G5470" s="4" t="str">
        <f>HYPERLINK("http://141.218.60.56/~jnz1568/getInfo.php?workbook=18_08.xlsx&amp;sheet=U0&amp;row=5470&amp;col=7&amp;number=0.00282&amp;sourceID=14","0.00282")</f>
        <v>0.00282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HYPERLINK("http://141.218.60.56/~jnz1568/getInfo.php?workbook=18_08.xlsx&amp;sheet=U0&amp;row=5471&amp;col=6&amp;number=3.7&amp;sourceID=14","3.7")</f>
        <v>3.7</v>
      </c>
      <c r="G5471" s="4" t="str">
        <f>HYPERLINK("http://141.218.60.56/~jnz1568/getInfo.php?workbook=18_08.xlsx&amp;sheet=U0&amp;row=5471&amp;col=7&amp;number=0.00282&amp;sourceID=14","0.00282")</f>
        <v>0.00282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HYPERLINK("http://141.218.60.56/~jnz1568/getInfo.php?workbook=18_08.xlsx&amp;sheet=U0&amp;row=5472&amp;col=6&amp;number=3.8&amp;sourceID=14","3.8")</f>
        <v>3.8</v>
      </c>
      <c r="G5472" s="4" t="str">
        <f>HYPERLINK("http://141.218.60.56/~jnz1568/getInfo.php?workbook=18_08.xlsx&amp;sheet=U0&amp;row=5472&amp;col=7&amp;number=0.00282&amp;sourceID=14","0.00282")</f>
        <v>0.00282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HYPERLINK("http://141.218.60.56/~jnz1568/getInfo.php?workbook=18_08.xlsx&amp;sheet=U0&amp;row=5473&amp;col=6&amp;number=3.9&amp;sourceID=14","3.9")</f>
        <v>3.9</v>
      </c>
      <c r="G5473" s="4" t="str">
        <f>HYPERLINK("http://141.218.60.56/~jnz1568/getInfo.php?workbook=18_08.xlsx&amp;sheet=U0&amp;row=5473&amp;col=7&amp;number=0.00283&amp;sourceID=14","0.00283")</f>
        <v>0.00283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HYPERLINK("http://141.218.60.56/~jnz1568/getInfo.php?workbook=18_08.xlsx&amp;sheet=U0&amp;row=5474&amp;col=6&amp;number=4&amp;sourceID=14","4")</f>
        <v>4</v>
      </c>
      <c r="G5474" s="4" t="str">
        <f>HYPERLINK("http://141.218.60.56/~jnz1568/getInfo.php?workbook=18_08.xlsx&amp;sheet=U0&amp;row=5474&amp;col=7&amp;number=0.00283&amp;sourceID=14","0.00283")</f>
        <v>0.00283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HYPERLINK("http://141.218.60.56/~jnz1568/getInfo.php?workbook=18_08.xlsx&amp;sheet=U0&amp;row=5475&amp;col=6&amp;number=4.1&amp;sourceID=14","4.1")</f>
        <v>4.1</v>
      </c>
      <c r="G5475" s="4" t="str">
        <f>HYPERLINK("http://141.218.60.56/~jnz1568/getInfo.php?workbook=18_08.xlsx&amp;sheet=U0&amp;row=5475&amp;col=7&amp;number=0.00284&amp;sourceID=14","0.00284")</f>
        <v>0.00284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HYPERLINK("http://141.218.60.56/~jnz1568/getInfo.php?workbook=18_08.xlsx&amp;sheet=U0&amp;row=5476&amp;col=6&amp;number=4.2&amp;sourceID=14","4.2")</f>
        <v>4.2</v>
      </c>
      <c r="G5476" s="4" t="str">
        <f>HYPERLINK("http://141.218.60.56/~jnz1568/getInfo.php?workbook=18_08.xlsx&amp;sheet=U0&amp;row=5476&amp;col=7&amp;number=0.00285&amp;sourceID=14","0.00285")</f>
        <v>0.00285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HYPERLINK("http://141.218.60.56/~jnz1568/getInfo.php?workbook=18_08.xlsx&amp;sheet=U0&amp;row=5477&amp;col=6&amp;number=4.3&amp;sourceID=14","4.3")</f>
        <v>4.3</v>
      </c>
      <c r="G5477" s="4" t="str">
        <f>HYPERLINK("http://141.218.60.56/~jnz1568/getInfo.php?workbook=18_08.xlsx&amp;sheet=U0&amp;row=5477&amp;col=7&amp;number=0.00286&amp;sourceID=14","0.00286")</f>
        <v>0.00286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HYPERLINK("http://141.218.60.56/~jnz1568/getInfo.php?workbook=18_08.xlsx&amp;sheet=U0&amp;row=5478&amp;col=6&amp;number=4.4&amp;sourceID=14","4.4")</f>
        <v>4.4</v>
      </c>
      <c r="G5478" s="4" t="str">
        <f>HYPERLINK("http://141.218.60.56/~jnz1568/getInfo.php?workbook=18_08.xlsx&amp;sheet=U0&amp;row=5478&amp;col=7&amp;number=0.00287&amp;sourceID=14","0.00287")</f>
        <v>0.00287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HYPERLINK("http://141.218.60.56/~jnz1568/getInfo.php?workbook=18_08.xlsx&amp;sheet=U0&amp;row=5479&amp;col=6&amp;number=4.5&amp;sourceID=14","4.5")</f>
        <v>4.5</v>
      </c>
      <c r="G5479" s="4" t="str">
        <f>HYPERLINK("http://141.218.60.56/~jnz1568/getInfo.php?workbook=18_08.xlsx&amp;sheet=U0&amp;row=5479&amp;col=7&amp;number=0.00289&amp;sourceID=14","0.00289")</f>
        <v>0.00289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HYPERLINK("http://141.218.60.56/~jnz1568/getInfo.php?workbook=18_08.xlsx&amp;sheet=U0&amp;row=5480&amp;col=6&amp;number=4.6&amp;sourceID=14","4.6")</f>
        <v>4.6</v>
      </c>
      <c r="G5480" s="4" t="str">
        <f>HYPERLINK("http://141.218.60.56/~jnz1568/getInfo.php?workbook=18_08.xlsx&amp;sheet=U0&amp;row=5480&amp;col=7&amp;number=0.00291&amp;sourceID=14","0.00291")</f>
        <v>0.00291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HYPERLINK("http://141.218.60.56/~jnz1568/getInfo.php?workbook=18_08.xlsx&amp;sheet=U0&amp;row=5481&amp;col=6&amp;number=4.7&amp;sourceID=14","4.7")</f>
        <v>4.7</v>
      </c>
      <c r="G5481" s="4" t="str">
        <f>HYPERLINK("http://141.218.60.56/~jnz1568/getInfo.php?workbook=18_08.xlsx&amp;sheet=U0&amp;row=5481&amp;col=7&amp;number=0.00293&amp;sourceID=14","0.00293")</f>
        <v>0.00293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HYPERLINK("http://141.218.60.56/~jnz1568/getInfo.php?workbook=18_08.xlsx&amp;sheet=U0&amp;row=5482&amp;col=6&amp;number=4.8&amp;sourceID=14","4.8")</f>
        <v>4.8</v>
      </c>
      <c r="G5482" s="4" t="str">
        <f>HYPERLINK("http://141.218.60.56/~jnz1568/getInfo.php?workbook=18_08.xlsx&amp;sheet=U0&amp;row=5482&amp;col=7&amp;number=0.00296&amp;sourceID=14","0.00296")</f>
        <v>0.00296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HYPERLINK("http://141.218.60.56/~jnz1568/getInfo.php?workbook=18_08.xlsx&amp;sheet=U0&amp;row=5483&amp;col=6&amp;number=4.9&amp;sourceID=14","4.9")</f>
        <v>4.9</v>
      </c>
      <c r="G5483" s="4" t="str">
        <f>HYPERLINK("http://141.218.60.56/~jnz1568/getInfo.php?workbook=18_08.xlsx&amp;sheet=U0&amp;row=5483&amp;col=7&amp;number=0.003&amp;sourceID=14","0.003")</f>
        <v>0.003</v>
      </c>
    </row>
    <row r="5484" spans="1:7">
      <c r="A5484" s="3">
        <v>18</v>
      </c>
      <c r="B5484" s="3">
        <v>8</v>
      </c>
      <c r="C5484" s="3" t="s">
        <v>71</v>
      </c>
      <c r="D5484" s="3">
        <v>7</v>
      </c>
      <c r="E5484" s="3">
        <v>1</v>
      </c>
      <c r="F5484" s="4" t="str">
        <f>HYPERLINK("http://141.218.60.56/~jnz1568/getInfo.php?workbook=18_08.xlsx&amp;sheet=U0&amp;row=5484&amp;col=6&amp;number=3&amp;sourceID=14","3")</f>
        <v>3</v>
      </c>
      <c r="G5484" s="4" t="str">
        <f>HYPERLINK("http://141.218.60.56/~jnz1568/getInfo.php?workbook=18_08.xlsx&amp;sheet=U0&amp;row=5484&amp;col=7&amp;number=0.00757&amp;sourceID=14","0.00757")</f>
        <v>0.00757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HYPERLINK("http://141.218.60.56/~jnz1568/getInfo.php?workbook=18_08.xlsx&amp;sheet=U0&amp;row=5485&amp;col=6&amp;number=3.1&amp;sourceID=14","3.1")</f>
        <v>3.1</v>
      </c>
      <c r="G5485" s="4" t="str">
        <f>HYPERLINK("http://141.218.60.56/~jnz1568/getInfo.php?workbook=18_08.xlsx&amp;sheet=U0&amp;row=5485&amp;col=7&amp;number=0.00757&amp;sourceID=14","0.00757")</f>
        <v>0.00757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HYPERLINK("http://141.218.60.56/~jnz1568/getInfo.php?workbook=18_08.xlsx&amp;sheet=U0&amp;row=5486&amp;col=6&amp;number=3.2&amp;sourceID=14","3.2")</f>
        <v>3.2</v>
      </c>
      <c r="G5486" s="4" t="str">
        <f>HYPERLINK("http://141.218.60.56/~jnz1568/getInfo.php?workbook=18_08.xlsx&amp;sheet=U0&amp;row=5486&amp;col=7&amp;number=0.00757&amp;sourceID=14","0.00757")</f>
        <v>0.00757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HYPERLINK("http://141.218.60.56/~jnz1568/getInfo.php?workbook=18_08.xlsx&amp;sheet=U0&amp;row=5487&amp;col=6&amp;number=3.3&amp;sourceID=14","3.3")</f>
        <v>3.3</v>
      </c>
      <c r="G5487" s="4" t="str">
        <f>HYPERLINK("http://141.218.60.56/~jnz1568/getInfo.php?workbook=18_08.xlsx&amp;sheet=U0&amp;row=5487&amp;col=7&amp;number=0.00757&amp;sourceID=14","0.00757")</f>
        <v>0.00757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HYPERLINK("http://141.218.60.56/~jnz1568/getInfo.php?workbook=18_08.xlsx&amp;sheet=U0&amp;row=5488&amp;col=6&amp;number=3.4&amp;sourceID=14","3.4")</f>
        <v>3.4</v>
      </c>
      <c r="G5488" s="4" t="str">
        <f>HYPERLINK("http://141.218.60.56/~jnz1568/getInfo.php?workbook=18_08.xlsx&amp;sheet=U0&amp;row=5488&amp;col=7&amp;number=0.00757&amp;sourceID=14","0.00757")</f>
        <v>0.00757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HYPERLINK("http://141.218.60.56/~jnz1568/getInfo.php?workbook=18_08.xlsx&amp;sheet=U0&amp;row=5489&amp;col=6&amp;number=3.5&amp;sourceID=14","3.5")</f>
        <v>3.5</v>
      </c>
      <c r="G5489" s="4" t="str">
        <f>HYPERLINK("http://141.218.60.56/~jnz1568/getInfo.php?workbook=18_08.xlsx&amp;sheet=U0&amp;row=5489&amp;col=7&amp;number=0.00757&amp;sourceID=14","0.00757")</f>
        <v>0.00757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HYPERLINK("http://141.218.60.56/~jnz1568/getInfo.php?workbook=18_08.xlsx&amp;sheet=U0&amp;row=5490&amp;col=6&amp;number=3.6&amp;sourceID=14","3.6")</f>
        <v>3.6</v>
      </c>
      <c r="G5490" s="4" t="str">
        <f>HYPERLINK("http://141.218.60.56/~jnz1568/getInfo.php?workbook=18_08.xlsx&amp;sheet=U0&amp;row=5490&amp;col=7&amp;number=0.00757&amp;sourceID=14","0.00757")</f>
        <v>0.00757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HYPERLINK("http://141.218.60.56/~jnz1568/getInfo.php?workbook=18_08.xlsx&amp;sheet=U0&amp;row=5491&amp;col=6&amp;number=3.7&amp;sourceID=14","3.7")</f>
        <v>3.7</v>
      </c>
      <c r="G5491" s="4" t="str">
        <f>HYPERLINK("http://141.218.60.56/~jnz1568/getInfo.php?workbook=18_08.xlsx&amp;sheet=U0&amp;row=5491&amp;col=7&amp;number=0.00756&amp;sourceID=14","0.00756")</f>
        <v>0.00756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HYPERLINK("http://141.218.60.56/~jnz1568/getInfo.php?workbook=18_08.xlsx&amp;sheet=U0&amp;row=5492&amp;col=6&amp;number=3.8&amp;sourceID=14","3.8")</f>
        <v>3.8</v>
      </c>
      <c r="G5492" s="4" t="str">
        <f>HYPERLINK("http://141.218.60.56/~jnz1568/getInfo.php?workbook=18_08.xlsx&amp;sheet=U0&amp;row=5492&amp;col=7&amp;number=0.00756&amp;sourceID=14","0.00756")</f>
        <v>0.00756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HYPERLINK("http://141.218.60.56/~jnz1568/getInfo.php?workbook=18_08.xlsx&amp;sheet=U0&amp;row=5493&amp;col=6&amp;number=3.9&amp;sourceID=14","3.9")</f>
        <v>3.9</v>
      </c>
      <c r="G5493" s="4" t="str">
        <f>HYPERLINK("http://141.218.60.56/~jnz1568/getInfo.php?workbook=18_08.xlsx&amp;sheet=U0&amp;row=5493&amp;col=7&amp;number=0.00756&amp;sourceID=14","0.00756")</f>
        <v>0.00756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HYPERLINK("http://141.218.60.56/~jnz1568/getInfo.php?workbook=18_08.xlsx&amp;sheet=U0&amp;row=5494&amp;col=6&amp;number=4&amp;sourceID=14","4")</f>
        <v>4</v>
      </c>
      <c r="G5494" s="4" t="str">
        <f>HYPERLINK("http://141.218.60.56/~jnz1568/getInfo.php?workbook=18_08.xlsx&amp;sheet=U0&amp;row=5494&amp;col=7&amp;number=0.00756&amp;sourceID=14","0.00756")</f>
        <v>0.00756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HYPERLINK("http://141.218.60.56/~jnz1568/getInfo.php?workbook=18_08.xlsx&amp;sheet=U0&amp;row=5495&amp;col=6&amp;number=4.1&amp;sourceID=14","4.1")</f>
        <v>4.1</v>
      </c>
      <c r="G5495" s="4" t="str">
        <f>HYPERLINK("http://141.218.60.56/~jnz1568/getInfo.php?workbook=18_08.xlsx&amp;sheet=U0&amp;row=5495&amp;col=7&amp;number=0.00756&amp;sourceID=14","0.00756")</f>
        <v>0.00756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HYPERLINK("http://141.218.60.56/~jnz1568/getInfo.php?workbook=18_08.xlsx&amp;sheet=U0&amp;row=5496&amp;col=6&amp;number=4.2&amp;sourceID=14","4.2")</f>
        <v>4.2</v>
      </c>
      <c r="G5496" s="4" t="str">
        <f>HYPERLINK("http://141.218.60.56/~jnz1568/getInfo.php?workbook=18_08.xlsx&amp;sheet=U0&amp;row=5496&amp;col=7&amp;number=0.00756&amp;sourceID=14","0.00756")</f>
        <v>0.00756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HYPERLINK("http://141.218.60.56/~jnz1568/getInfo.php?workbook=18_08.xlsx&amp;sheet=U0&amp;row=5497&amp;col=6&amp;number=4.3&amp;sourceID=14","4.3")</f>
        <v>4.3</v>
      </c>
      <c r="G5497" s="4" t="str">
        <f>HYPERLINK("http://141.218.60.56/~jnz1568/getInfo.php?workbook=18_08.xlsx&amp;sheet=U0&amp;row=5497&amp;col=7&amp;number=0.00756&amp;sourceID=14","0.00756")</f>
        <v>0.00756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HYPERLINK("http://141.218.60.56/~jnz1568/getInfo.php?workbook=18_08.xlsx&amp;sheet=U0&amp;row=5498&amp;col=6&amp;number=4.4&amp;sourceID=14","4.4")</f>
        <v>4.4</v>
      </c>
      <c r="G5498" s="4" t="str">
        <f>HYPERLINK("http://141.218.60.56/~jnz1568/getInfo.php?workbook=18_08.xlsx&amp;sheet=U0&amp;row=5498&amp;col=7&amp;number=0.00755&amp;sourceID=14","0.00755")</f>
        <v>0.00755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HYPERLINK("http://141.218.60.56/~jnz1568/getInfo.php?workbook=18_08.xlsx&amp;sheet=U0&amp;row=5499&amp;col=6&amp;number=4.5&amp;sourceID=14","4.5")</f>
        <v>4.5</v>
      </c>
      <c r="G5499" s="4" t="str">
        <f>HYPERLINK("http://141.218.60.56/~jnz1568/getInfo.php?workbook=18_08.xlsx&amp;sheet=U0&amp;row=5499&amp;col=7&amp;number=0.00755&amp;sourceID=14","0.00755")</f>
        <v>0.00755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HYPERLINK("http://141.218.60.56/~jnz1568/getInfo.php?workbook=18_08.xlsx&amp;sheet=U0&amp;row=5500&amp;col=6&amp;number=4.6&amp;sourceID=14","4.6")</f>
        <v>4.6</v>
      </c>
      <c r="G5500" s="4" t="str">
        <f>HYPERLINK("http://141.218.60.56/~jnz1568/getInfo.php?workbook=18_08.xlsx&amp;sheet=U0&amp;row=5500&amp;col=7&amp;number=0.00754&amp;sourceID=14","0.00754")</f>
        <v>0.00754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HYPERLINK("http://141.218.60.56/~jnz1568/getInfo.php?workbook=18_08.xlsx&amp;sheet=U0&amp;row=5501&amp;col=6&amp;number=4.7&amp;sourceID=14","4.7")</f>
        <v>4.7</v>
      </c>
      <c r="G5501" s="4" t="str">
        <f>HYPERLINK("http://141.218.60.56/~jnz1568/getInfo.php?workbook=18_08.xlsx&amp;sheet=U0&amp;row=5501&amp;col=7&amp;number=0.00754&amp;sourceID=14","0.00754")</f>
        <v>0.00754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HYPERLINK("http://141.218.60.56/~jnz1568/getInfo.php?workbook=18_08.xlsx&amp;sheet=U0&amp;row=5502&amp;col=6&amp;number=4.8&amp;sourceID=14","4.8")</f>
        <v>4.8</v>
      </c>
      <c r="G5502" s="4" t="str">
        <f>HYPERLINK("http://141.218.60.56/~jnz1568/getInfo.php?workbook=18_08.xlsx&amp;sheet=U0&amp;row=5502&amp;col=7&amp;number=0.00753&amp;sourceID=14","0.00753")</f>
        <v>0.00753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HYPERLINK("http://141.218.60.56/~jnz1568/getInfo.php?workbook=18_08.xlsx&amp;sheet=U0&amp;row=5503&amp;col=6&amp;number=4.9&amp;sourceID=14","4.9")</f>
        <v>4.9</v>
      </c>
      <c r="G5503" s="4" t="str">
        <f>HYPERLINK("http://141.218.60.56/~jnz1568/getInfo.php?workbook=18_08.xlsx&amp;sheet=U0&amp;row=5503&amp;col=7&amp;number=0.00752&amp;sourceID=14","0.00752")</f>
        <v>0.00752</v>
      </c>
    </row>
    <row r="5504" spans="1:7">
      <c r="A5504" s="3">
        <v>18</v>
      </c>
      <c r="B5504" s="3">
        <v>8</v>
      </c>
      <c r="C5504" s="3" t="s">
        <v>71</v>
      </c>
      <c r="D5504" s="3">
        <v>8</v>
      </c>
      <c r="E5504" s="3">
        <v>1</v>
      </c>
      <c r="F5504" s="4" t="str">
        <f>HYPERLINK("http://141.218.60.56/~jnz1568/getInfo.php?workbook=18_08.xlsx&amp;sheet=U0&amp;row=5504&amp;col=6&amp;number=3&amp;sourceID=14","3")</f>
        <v>3</v>
      </c>
      <c r="G5504" s="4" t="str">
        <f>HYPERLINK("http://141.218.60.56/~jnz1568/getInfo.php?workbook=18_08.xlsx&amp;sheet=U0&amp;row=5504&amp;col=7&amp;number=0.0172&amp;sourceID=14","0.0172")</f>
        <v>0.0172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HYPERLINK("http://141.218.60.56/~jnz1568/getInfo.php?workbook=18_08.xlsx&amp;sheet=U0&amp;row=5505&amp;col=6&amp;number=3.1&amp;sourceID=14","3.1")</f>
        <v>3.1</v>
      </c>
      <c r="G5505" s="4" t="str">
        <f>HYPERLINK("http://141.218.60.56/~jnz1568/getInfo.php?workbook=18_08.xlsx&amp;sheet=U0&amp;row=5505&amp;col=7&amp;number=0.0172&amp;sourceID=14","0.0172")</f>
        <v>0.0172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HYPERLINK("http://141.218.60.56/~jnz1568/getInfo.php?workbook=18_08.xlsx&amp;sheet=U0&amp;row=5506&amp;col=6&amp;number=3.2&amp;sourceID=14","3.2")</f>
        <v>3.2</v>
      </c>
      <c r="G5506" s="4" t="str">
        <f>HYPERLINK("http://141.218.60.56/~jnz1568/getInfo.php?workbook=18_08.xlsx&amp;sheet=U0&amp;row=5506&amp;col=7&amp;number=0.0172&amp;sourceID=14","0.0172")</f>
        <v>0.0172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HYPERLINK("http://141.218.60.56/~jnz1568/getInfo.php?workbook=18_08.xlsx&amp;sheet=U0&amp;row=5507&amp;col=6&amp;number=3.3&amp;sourceID=14","3.3")</f>
        <v>3.3</v>
      </c>
      <c r="G5507" s="4" t="str">
        <f>HYPERLINK("http://141.218.60.56/~jnz1568/getInfo.php?workbook=18_08.xlsx&amp;sheet=U0&amp;row=5507&amp;col=7&amp;number=0.0172&amp;sourceID=14","0.0172")</f>
        <v>0.0172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HYPERLINK("http://141.218.60.56/~jnz1568/getInfo.php?workbook=18_08.xlsx&amp;sheet=U0&amp;row=5508&amp;col=6&amp;number=3.4&amp;sourceID=14","3.4")</f>
        <v>3.4</v>
      </c>
      <c r="G5508" s="4" t="str">
        <f>HYPERLINK("http://141.218.60.56/~jnz1568/getInfo.php?workbook=18_08.xlsx&amp;sheet=U0&amp;row=5508&amp;col=7&amp;number=0.0172&amp;sourceID=14","0.0172")</f>
        <v>0.0172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HYPERLINK("http://141.218.60.56/~jnz1568/getInfo.php?workbook=18_08.xlsx&amp;sheet=U0&amp;row=5509&amp;col=6&amp;number=3.5&amp;sourceID=14","3.5")</f>
        <v>3.5</v>
      </c>
      <c r="G5509" s="4" t="str">
        <f>HYPERLINK("http://141.218.60.56/~jnz1568/getInfo.php?workbook=18_08.xlsx&amp;sheet=U0&amp;row=5509&amp;col=7&amp;number=0.0171&amp;sourceID=14","0.0171")</f>
        <v>0.0171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HYPERLINK("http://141.218.60.56/~jnz1568/getInfo.php?workbook=18_08.xlsx&amp;sheet=U0&amp;row=5510&amp;col=6&amp;number=3.6&amp;sourceID=14","3.6")</f>
        <v>3.6</v>
      </c>
      <c r="G5510" s="4" t="str">
        <f>HYPERLINK("http://141.218.60.56/~jnz1568/getInfo.php?workbook=18_08.xlsx&amp;sheet=U0&amp;row=5510&amp;col=7&amp;number=0.0171&amp;sourceID=14","0.0171")</f>
        <v>0.0171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HYPERLINK("http://141.218.60.56/~jnz1568/getInfo.php?workbook=18_08.xlsx&amp;sheet=U0&amp;row=5511&amp;col=6&amp;number=3.7&amp;sourceID=14","3.7")</f>
        <v>3.7</v>
      </c>
      <c r="G5511" s="4" t="str">
        <f>HYPERLINK("http://141.218.60.56/~jnz1568/getInfo.php?workbook=18_08.xlsx&amp;sheet=U0&amp;row=5511&amp;col=7&amp;number=0.0171&amp;sourceID=14","0.0171")</f>
        <v>0.0171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HYPERLINK("http://141.218.60.56/~jnz1568/getInfo.php?workbook=18_08.xlsx&amp;sheet=U0&amp;row=5512&amp;col=6&amp;number=3.8&amp;sourceID=14","3.8")</f>
        <v>3.8</v>
      </c>
      <c r="G5512" s="4" t="str">
        <f>HYPERLINK("http://141.218.60.56/~jnz1568/getInfo.php?workbook=18_08.xlsx&amp;sheet=U0&amp;row=5512&amp;col=7&amp;number=0.0171&amp;sourceID=14","0.0171")</f>
        <v>0.0171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HYPERLINK("http://141.218.60.56/~jnz1568/getInfo.php?workbook=18_08.xlsx&amp;sheet=U0&amp;row=5513&amp;col=6&amp;number=3.9&amp;sourceID=14","3.9")</f>
        <v>3.9</v>
      </c>
      <c r="G5513" s="4" t="str">
        <f>HYPERLINK("http://141.218.60.56/~jnz1568/getInfo.php?workbook=18_08.xlsx&amp;sheet=U0&amp;row=5513&amp;col=7&amp;number=0.0171&amp;sourceID=14","0.0171")</f>
        <v>0.0171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HYPERLINK("http://141.218.60.56/~jnz1568/getInfo.php?workbook=18_08.xlsx&amp;sheet=U0&amp;row=5514&amp;col=6&amp;number=4&amp;sourceID=14","4")</f>
        <v>4</v>
      </c>
      <c r="G5514" s="4" t="str">
        <f>HYPERLINK("http://141.218.60.56/~jnz1568/getInfo.php?workbook=18_08.xlsx&amp;sheet=U0&amp;row=5514&amp;col=7&amp;number=0.0171&amp;sourceID=14","0.0171")</f>
        <v>0.0171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HYPERLINK("http://141.218.60.56/~jnz1568/getInfo.php?workbook=18_08.xlsx&amp;sheet=U0&amp;row=5515&amp;col=6&amp;number=4.1&amp;sourceID=14","4.1")</f>
        <v>4.1</v>
      </c>
      <c r="G5515" s="4" t="str">
        <f>HYPERLINK("http://141.218.60.56/~jnz1568/getInfo.php?workbook=18_08.xlsx&amp;sheet=U0&amp;row=5515&amp;col=7&amp;number=0.0171&amp;sourceID=14","0.0171")</f>
        <v>0.0171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HYPERLINK("http://141.218.60.56/~jnz1568/getInfo.php?workbook=18_08.xlsx&amp;sheet=U0&amp;row=5516&amp;col=6&amp;number=4.2&amp;sourceID=14","4.2")</f>
        <v>4.2</v>
      </c>
      <c r="G5516" s="4" t="str">
        <f>HYPERLINK("http://141.218.60.56/~jnz1568/getInfo.php?workbook=18_08.xlsx&amp;sheet=U0&amp;row=5516&amp;col=7&amp;number=0.0171&amp;sourceID=14","0.0171")</f>
        <v>0.0171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HYPERLINK("http://141.218.60.56/~jnz1568/getInfo.php?workbook=18_08.xlsx&amp;sheet=U0&amp;row=5517&amp;col=6&amp;number=4.3&amp;sourceID=14","4.3")</f>
        <v>4.3</v>
      </c>
      <c r="G5517" s="4" t="str">
        <f>HYPERLINK("http://141.218.60.56/~jnz1568/getInfo.php?workbook=18_08.xlsx&amp;sheet=U0&amp;row=5517&amp;col=7&amp;number=0.0171&amp;sourceID=14","0.0171")</f>
        <v>0.0171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HYPERLINK("http://141.218.60.56/~jnz1568/getInfo.php?workbook=18_08.xlsx&amp;sheet=U0&amp;row=5518&amp;col=6&amp;number=4.4&amp;sourceID=14","4.4")</f>
        <v>4.4</v>
      </c>
      <c r="G5518" s="4" t="str">
        <f>HYPERLINK("http://141.218.60.56/~jnz1568/getInfo.php?workbook=18_08.xlsx&amp;sheet=U0&amp;row=5518&amp;col=7&amp;number=0.0171&amp;sourceID=14","0.0171")</f>
        <v>0.0171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HYPERLINK("http://141.218.60.56/~jnz1568/getInfo.php?workbook=18_08.xlsx&amp;sheet=U0&amp;row=5519&amp;col=6&amp;number=4.5&amp;sourceID=14","4.5")</f>
        <v>4.5</v>
      </c>
      <c r="G5519" s="4" t="str">
        <f>HYPERLINK("http://141.218.60.56/~jnz1568/getInfo.php?workbook=18_08.xlsx&amp;sheet=U0&amp;row=5519&amp;col=7&amp;number=0.017&amp;sourceID=14","0.017")</f>
        <v>0.017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HYPERLINK("http://141.218.60.56/~jnz1568/getInfo.php?workbook=18_08.xlsx&amp;sheet=U0&amp;row=5520&amp;col=6&amp;number=4.6&amp;sourceID=14","4.6")</f>
        <v>4.6</v>
      </c>
      <c r="G5520" s="4" t="str">
        <f>HYPERLINK("http://141.218.60.56/~jnz1568/getInfo.php?workbook=18_08.xlsx&amp;sheet=U0&amp;row=5520&amp;col=7&amp;number=0.017&amp;sourceID=14","0.017")</f>
        <v>0.017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HYPERLINK("http://141.218.60.56/~jnz1568/getInfo.php?workbook=18_08.xlsx&amp;sheet=U0&amp;row=5521&amp;col=6&amp;number=4.7&amp;sourceID=14","4.7")</f>
        <v>4.7</v>
      </c>
      <c r="G5521" s="4" t="str">
        <f>HYPERLINK("http://141.218.60.56/~jnz1568/getInfo.php?workbook=18_08.xlsx&amp;sheet=U0&amp;row=5521&amp;col=7&amp;number=0.017&amp;sourceID=14","0.017")</f>
        <v>0.017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HYPERLINK("http://141.218.60.56/~jnz1568/getInfo.php?workbook=18_08.xlsx&amp;sheet=U0&amp;row=5522&amp;col=6&amp;number=4.8&amp;sourceID=14","4.8")</f>
        <v>4.8</v>
      </c>
      <c r="G5522" s="4" t="str">
        <f>HYPERLINK("http://141.218.60.56/~jnz1568/getInfo.php?workbook=18_08.xlsx&amp;sheet=U0&amp;row=5522&amp;col=7&amp;number=0.0169&amp;sourceID=14","0.0169")</f>
        <v>0.0169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HYPERLINK("http://141.218.60.56/~jnz1568/getInfo.php?workbook=18_08.xlsx&amp;sheet=U0&amp;row=5523&amp;col=6&amp;number=4.9&amp;sourceID=14","4.9")</f>
        <v>4.9</v>
      </c>
      <c r="G5523" s="4" t="str">
        <f>HYPERLINK("http://141.218.60.56/~jnz1568/getInfo.php?workbook=18_08.xlsx&amp;sheet=U0&amp;row=5523&amp;col=7&amp;number=0.0169&amp;sourceID=14","0.0169")</f>
        <v>0.0169</v>
      </c>
    </row>
    <row r="5524" spans="1:7">
      <c r="A5524" s="3">
        <v>18</v>
      </c>
      <c r="B5524" s="3">
        <v>8</v>
      </c>
      <c r="C5524" s="3" t="s">
        <v>71</v>
      </c>
      <c r="D5524" s="3">
        <v>9</v>
      </c>
      <c r="E5524" s="3">
        <v>1</v>
      </c>
      <c r="F5524" s="4" t="str">
        <f>HYPERLINK("http://141.218.60.56/~jnz1568/getInfo.php?workbook=18_08.xlsx&amp;sheet=U0&amp;row=5524&amp;col=6&amp;number=3&amp;sourceID=14","3")</f>
        <v>3</v>
      </c>
      <c r="G5524" s="4" t="str">
        <f>HYPERLINK("http://141.218.60.56/~jnz1568/getInfo.php?workbook=18_08.xlsx&amp;sheet=U0&amp;row=5524&amp;col=7&amp;number=0.0251&amp;sourceID=14","0.0251")</f>
        <v>0.0251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HYPERLINK("http://141.218.60.56/~jnz1568/getInfo.php?workbook=18_08.xlsx&amp;sheet=U0&amp;row=5525&amp;col=6&amp;number=3.1&amp;sourceID=14","3.1")</f>
        <v>3.1</v>
      </c>
      <c r="G5525" s="4" t="str">
        <f>HYPERLINK("http://141.218.60.56/~jnz1568/getInfo.php?workbook=18_08.xlsx&amp;sheet=U0&amp;row=5525&amp;col=7&amp;number=0.0251&amp;sourceID=14","0.0251")</f>
        <v>0.0251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HYPERLINK("http://141.218.60.56/~jnz1568/getInfo.php?workbook=18_08.xlsx&amp;sheet=U0&amp;row=5526&amp;col=6&amp;number=3.2&amp;sourceID=14","3.2")</f>
        <v>3.2</v>
      </c>
      <c r="G5526" s="4" t="str">
        <f>HYPERLINK("http://141.218.60.56/~jnz1568/getInfo.php?workbook=18_08.xlsx&amp;sheet=U0&amp;row=5526&amp;col=7&amp;number=0.0251&amp;sourceID=14","0.0251")</f>
        <v>0.0251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HYPERLINK("http://141.218.60.56/~jnz1568/getInfo.php?workbook=18_08.xlsx&amp;sheet=U0&amp;row=5527&amp;col=6&amp;number=3.3&amp;sourceID=14","3.3")</f>
        <v>3.3</v>
      </c>
      <c r="G5527" s="4" t="str">
        <f>HYPERLINK("http://141.218.60.56/~jnz1568/getInfo.php?workbook=18_08.xlsx&amp;sheet=U0&amp;row=5527&amp;col=7&amp;number=0.0251&amp;sourceID=14","0.0251")</f>
        <v>0.0251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HYPERLINK("http://141.218.60.56/~jnz1568/getInfo.php?workbook=18_08.xlsx&amp;sheet=U0&amp;row=5528&amp;col=6&amp;number=3.4&amp;sourceID=14","3.4")</f>
        <v>3.4</v>
      </c>
      <c r="G5528" s="4" t="str">
        <f>HYPERLINK("http://141.218.60.56/~jnz1568/getInfo.php?workbook=18_08.xlsx&amp;sheet=U0&amp;row=5528&amp;col=7&amp;number=0.0251&amp;sourceID=14","0.0251")</f>
        <v>0.0251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HYPERLINK("http://141.218.60.56/~jnz1568/getInfo.php?workbook=18_08.xlsx&amp;sheet=U0&amp;row=5529&amp;col=6&amp;number=3.5&amp;sourceID=14","3.5")</f>
        <v>3.5</v>
      </c>
      <c r="G5529" s="4" t="str">
        <f>HYPERLINK("http://141.218.60.56/~jnz1568/getInfo.php?workbook=18_08.xlsx&amp;sheet=U0&amp;row=5529&amp;col=7&amp;number=0.0251&amp;sourceID=14","0.0251")</f>
        <v>0.0251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HYPERLINK("http://141.218.60.56/~jnz1568/getInfo.php?workbook=18_08.xlsx&amp;sheet=U0&amp;row=5530&amp;col=6&amp;number=3.6&amp;sourceID=14","3.6")</f>
        <v>3.6</v>
      </c>
      <c r="G5530" s="4" t="str">
        <f>HYPERLINK("http://141.218.60.56/~jnz1568/getInfo.php?workbook=18_08.xlsx&amp;sheet=U0&amp;row=5530&amp;col=7&amp;number=0.0251&amp;sourceID=14","0.0251")</f>
        <v>0.0251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HYPERLINK("http://141.218.60.56/~jnz1568/getInfo.php?workbook=18_08.xlsx&amp;sheet=U0&amp;row=5531&amp;col=6&amp;number=3.7&amp;sourceID=14","3.7")</f>
        <v>3.7</v>
      </c>
      <c r="G5531" s="4" t="str">
        <f>HYPERLINK("http://141.218.60.56/~jnz1568/getInfo.php?workbook=18_08.xlsx&amp;sheet=U0&amp;row=5531&amp;col=7&amp;number=0.0251&amp;sourceID=14","0.0251")</f>
        <v>0.0251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HYPERLINK("http://141.218.60.56/~jnz1568/getInfo.php?workbook=18_08.xlsx&amp;sheet=U0&amp;row=5532&amp;col=6&amp;number=3.8&amp;sourceID=14","3.8")</f>
        <v>3.8</v>
      </c>
      <c r="G5532" s="4" t="str">
        <f>HYPERLINK("http://141.218.60.56/~jnz1568/getInfo.php?workbook=18_08.xlsx&amp;sheet=U0&amp;row=5532&amp;col=7&amp;number=0.0251&amp;sourceID=14","0.0251")</f>
        <v>0.0251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HYPERLINK("http://141.218.60.56/~jnz1568/getInfo.php?workbook=18_08.xlsx&amp;sheet=U0&amp;row=5533&amp;col=6&amp;number=3.9&amp;sourceID=14","3.9")</f>
        <v>3.9</v>
      </c>
      <c r="G5533" s="4" t="str">
        <f>HYPERLINK("http://141.218.60.56/~jnz1568/getInfo.php?workbook=18_08.xlsx&amp;sheet=U0&amp;row=5533&amp;col=7&amp;number=0.0251&amp;sourceID=14","0.0251")</f>
        <v>0.0251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HYPERLINK("http://141.218.60.56/~jnz1568/getInfo.php?workbook=18_08.xlsx&amp;sheet=U0&amp;row=5534&amp;col=6&amp;number=4&amp;sourceID=14","4")</f>
        <v>4</v>
      </c>
      <c r="G5534" s="4" t="str">
        <f>HYPERLINK("http://141.218.60.56/~jnz1568/getInfo.php?workbook=18_08.xlsx&amp;sheet=U0&amp;row=5534&amp;col=7&amp;number=0.0251&amp;sourceID=14","0.0251")</f>
        <v>0.0251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HYPERLINK("http://141.218.60.56/~jnz1568/getInfo.php?workbook=18_08.xlsx&amp;sheet=U0&amp;row=5535&amp;col=6&amp;number=4.1&amp;sourceID=14","4.1")</f>
        <v>4.1</v>
      </c>
      <c r="G5535" s="4" t="str">
        <f>HYPERLINK("http://141.218.60.56/~jnz1568/getInfo.php?workbook=18_08.xlsx&amp;sheet=U0&amp;row=5535&amp;col=7&amp;number=0.0251&amp;sourceID=14","0.0251")</f>
        <v>0.0251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HYPERLINK("http://141.218.60.56/~jnz1568/getInfo.php?workbook=18_08.xlsx&amp;sheet=U0&amp;row=5536&amp;col=6&amp;number=4.2&amp;sourceID=14","4.2")</f>
        <v>4.2</v>
      </c>
      <c r="G5536" s="4" t="str">
        <f>HYPERLINK("http://141.218.60.56/~jnz1568/getInfo.php?workbook=18_08.xlsx&amp;sheet=U0&amp;row=5536&amp;col=7&amp;number=0.0251&amp;sourceID=14","0.0251")</f>
        <v>0.0251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HYPERLINK("http://141.218.60.56/~jnz1568/getInfo.php?workbook=18_08.xlsx&amp;sheet=U0&amp;row=5537&amp;col=6&amp;number=4.3&amp;sourceID=14","4.3")</f>
        <v>4.3</v>
      </c>
      <c r="G5537" s="4" t="str">
        <f>HYPERLINK("http://141.218.60.56/~jnz1568/getInfo.php?workbook=18_08.xlsx&amp;sheet=U0&amp;row=5537&amp;col=7&amp;number=0.025&amp;sourceID=14","0.025")</f>
        <v>0.025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HYPERLINK("http://141.218.60.56/~jnz1568/getInfo.php?workbook=18_08.xlsx&amp;sheet=U0&amp;row=5538&amp;col=6&amp;number=4.4&amp;sourceID=14","4.4")</f>
        <v>4.4</v>
      </c>
      <c r="G5538" s="4" t="str">
        <f>HYPERLINK("http://141.218.60.56/~jnz1568/getInfo.php?workbook=18_08.xlsx&amp;sheet=U0&amp;row=5538&amp;col=7&amp;number=0.025&amp;sourceID=14","0.025")</f>
        <v>0.025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HYPERLINK("http://141.218.60.56/~jnz1568/getInfo.php?workbook=18_08.xlsx&amp;sheet=U0&amp;row=5539&amp;col=6&amp;number=4.5&amp;sourceID=14","4.5")</f>
        <v>4.5</v>
      </c>
      <c r="G5539" s="4" t="str">
        <f>HYPERLINK("http://141.218.60.56/~jnz1568/getInfo.php?workbook=18_08.xlsx&amp;sheet=U0&amp;row=5539&amp;col=7&amp;number=0.025&amp;sourceID=14","0.025")</f>
        <v>0.025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HYPERLINK("http://141.218.60.56/~jnz1568/getInfo.php?workbook=18_08.xlsx&amp;sheet=U0&amp;row=5540&amp;col=6&amp;number=4.6&amp;sourceID=14","4.6")</f>
        <v>4.6</v>
      </c>
      <c r="G5540" s="4" t="str">
        <f>HYPERLINK("http://141.218.60.56/~jnz1568/getInfo.php?workbook=18_08.xlsx&amp;sheet=U0&amp;row=5540&amp;col=7&amp;number=0.0249&amp;sourceID=14","0.0249")</f>
        <v>0.0249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HYPERLINK("http://141.218.60.56/~jnz1568/getInfo.php?workbook=18_08.xlsx&amp;sheet=U0&amp;row=5541&amp;col=6&amp;number=4.7&amp;sourceID=14","4.7")</f>
        <v>4.7</v>
      </c>
      <c r="G5541" s="4" t="str">
        <f>HYPERLINK("http://141.218.60.56/~jnz1568/getInfo.php?workbook=18_08.xlsx&amp;sheet=U0&amp;row=5541&amp;col=7&amp;number=0.0249&amp;sourceID=14","0.0249")</f>
        <v>0.0249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HYPERLINK("http://141.218.60.56/~jnz1568/getInfo.php?workbook=18_08.xlsx&amp;sheet=U0&amp;row=5542&amp;col=6&amp;number=4.8&amp;sourceID=14","4.8")</f>
        <v>4.8</v>
      </c>
      <c r="G5542" s="4" t="str">
        <f>HYPERLINK("http://141.218.60.56/~jnz1568/getInfo.php?workbook=18_08.xlsx&amp;sheet=U0&amp;row=5542&amp;col=7&amp;number=0.0248&amp;sourceID=14","0.0248")</f>
        <v>0.0248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HYPERLINK("http://141.218.60.56/~jnz1568/getInfo.php?workbook=18_08.xlsx&amp;sheet=U0&amp;row=5543&amp;col=6&amp;number=4.9&amp;sourceID=14","4.9")</f>
        <v>4.9</v>
      </c>
      <c r="G5543" s="4" t="str">
        <f>HYPERLINK("http://141.218.60.56/~jnz1568/getInfo.php?workbook=18_08.xlsx&amp;sheet=U0&amp;row=5543&amp;col=7&amp;number=0.0247&amp;sourceID=14","0.0247")</f>
        <v>0.0247</v>
      </c>
    </row>
    <row r="5544" spans="1:7">
      <c r="A5544" s="3">
        <v>18</v>
      </c>
      <c r="B5544" s="3">
        <v>8</v>
      </c>
      <c r="C5544" s="3" t="s">
        <v>72</v>
      </c>
      <c r="D5544" s="3">
        <v>0</v>
      </c>
      <c r="E5544" s="3">
        <v>1</v>
      </c>
      <c r="F5544" s="4" t="str">
        <f>HYPERLINK("http://141.218.60.56/~jnz1568/getInfo.php?workbook=18_08.xlsx&amp;sheet=U0&amp;row=5544&amp;col=6&amp;number=3&amp;sourceID=14","3")</f>
        <v>3</v>
      </c>
      <c r="G5544" s="4" t="str">
        <f>HYPERLINK("http://141.218.60.56/~jnz1568/getInfo.php?workbook=18_08.xlsx&amp;sheet=U0&amp;row=5544&amp;col=7&amp;number=0.00933&amp;sourceID=14","0.00933")</f>
        <v>0.00933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HYPERLINK("http://141.218.60.56/~jnz1568/getInfo.php?workbook=18_08.xlsx&amp;sheet=U0&amp;row=5545&amp;col=6&amp;number=3.1&amp;sourceID=14","3.1")</f>
        <v>3.1</v>
      </c>
      <c r="G5545" s="4" t="str">
        <f>HYPERLINK("http://141.218.60.56/~jnz1568/getInfo.php?workbook=18_08.xlsx&amp;sheet=U0&amp;row=5545&amp;col=7&amp;number=0.00933&amp;sourceID=14","0.00933")</f>
        <v>0.00933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HYPERLINK("http://141.218.60.56/~jnz1568/getInfo.php?workbook=18_08.xlsx&amp;sheet=U0&amp;row=5546&amp;col=6&amp;number=3.2&amp;sourceID=14","3.2")</f>
        <v>3.2</v>
      </c>
      <c r="G5546" s="4" t="str">
        <f>HYPERLINK("http://141.218.60.56/~jnz1568/getInfo.php?workbook=18_08.xlsx&amp;sheet=U0&amp;row=5546&amp;col=7&amp;number=0.00933&amp;sourceID=14","0.00933")</f>
        <v>0.00933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HYPERLINK("http://141.218.60.56/~jnz1568/getInfo.php?workbook=18_08.xlsx&amp;sheet=U0&amp;row=5547&amp;col=6&amp;number=3.3&amp;sourceID=14","3.3")</f>
        <v>3.3</v>
      </c>
      <c r="G5547" s="4" t="str">
        <f>HYPERLINK("http://141.218.60.56/~jnz1568/getInfo.php?workbook=18_08.xlsx&amp;sheet=U0&amp;row=5547&amp;col=7&amp;number=0.00933&amp;sourceID=14","0.00933")</f>
        <v>0.00933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HYPERLINK("http://141.218.60.56/~jnz1568/getInfo.php?workbook=18_08.xlsx&amp;sheet=U0&amp;row=5548&amp;col=6&amp;number=3.4&amp;sourceID=14","3.4")</f>
        <v>3.4</v>
      </c>
      <c r="G5548" s="4" t="str">
        <f>HYPERLINK("http://141.218.60.56/~jnz1568/getInfo.php?workbook=18_08.xlsx&amp;sheet=U0&amp;row=5548&amp;col=7&amp;number=0.00933&amp;sourceID=14","0.00933")</f>
        <v>0.00933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HYPERLINK("http://141.218.60.56/~jnz1568/getInfo.php?workbook=18_08.xlsx&amp;sheet=U0&amp;row=5549&amp;col=6&amp;number=3.5&amp;sourceID=14","3.5")</f>
        <v>3.5</v>
      </c>
      <c r="G5549" s="4" t="str">
        <f>HYPERLINK("http://141.218.60.56/~jnz1568/getInfo.php?workbook=18_08.xlsx&amp;sheet=U0&amp;row=5549&amp;col=7&amp;number=0.00933&amp;sourceID=14","0.00933")</f>
        <v>0.00933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HYPERLINK("http://141.218.60.56/~jnz1568/getInfo.php?workbook=18_08.xlsx&amp;sheet=U0&amp;row=5550&amp;col=6&amp;number=3.6&amp;sourceID=14","3.6")</f>
        <v>3.6</v>
      </c>
      <c r="G5550" s="4" t="str">
        <f>HYPERLINK("http://141.218.60.56/~jnz1568/getInfo.php?workbook=18_08.xlsx&amp;sheet=U0&amp;row=5550&amp;col=7&amp;number=0.00933&amp;sourceID=14","0.00933")</f>
        <v>0.00933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HYPERLINK("http://141.218.60.56/~jnz1568/getInfo.php?workbook=18_08.xlsx&amp;sheet=U0&amp;row=5551&amp;col=6&amp;number=3.7&amp;sourceID=14","3.7")</f>
        <v>3.7</v>
      </c>
      <c r="G5551" s="4" t="str">
        <f>HYPERLINK("http://141.218.60.56/~jnz1568/getInfo.php?workbook=18_08.xlsx&amp;sheet=U0&amp;row=5551&amp;col=7&amp;number=0.00933&amp;sourceID=14","0.00933")</f>
        <v>0.00933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HYPERLINK("http://141.218.60.56/~jnz1568/getInfo.php?workbook=18_08.xlsx&amp;sheet=U0&amp;row=5552&amp;col=6&amp;number=3.8&amp;sourceID=14","3.8")</f>
        <v>3.8</v>
      </c>
      <c r="G5552" s="4" t="str">
        <f>HYPERLINK("http://141.218.60.56/~jnz1568/getInfo.php?workbook=18_08.xlsx&amp;sheet=U0&amp;row=5552&amp;col=7&amp;number=0.00933&amp;sourceID=14","0.00933")</f>
        <v>0.00933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HYPERLINK("http://141.218.60.56/~jnz1568/getInfo.php?workbook=18_08.xlsx&amp;sheet=U0&amp;row=5553&amp;col=6&amp;number=3.9&amp;sourceID=14","3.9")</f>
        <v>3.9</v>
      </c>
      <c r="G5553" s="4" t="str">
        <f>HYPERLINK("http://141.218.60.56/~jnz1568/getInfo.php?workbook=18_08.xlsx&amp;sheet=U0&amp;row=5553&amp;col=7&amp;number=0.00932&amp;sourceID=14","0.00932")</f>
        <v>0.00932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HYPERLINK("http://141.218.60.56/~jnz1568/getInfo.php?workbook=18_08.xlsx&amp;sheet=U0&amp;row=5554&amp;col=6&amp;number=4&amp;sourceID=14","4")</f>
        <v>4</v>
      </c>
      <c r="G5554" s="4" t="str">
        <f>HYPERLINK("http://141.218.60.56/~jnz1568/getInfo.php?workbook=18_08.xlsx&amp;sheet=U0&amp;row=5554&amp;col=7&amp;number=0.00932&amp;sourceID=14","0.00932")</f>
        <v>0.00932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HYPERLINK("http://141.218.60.56/~jnz1568/getInfo.php?workbook=18_08.xlsx&amp;sheet=U0&amp;row=5555&amp;col=6&amp;number=4.1&amp;sourceID=14","4.1")</f>
        <v>4.1</v>
      </c>
      <c r="G5555" s="4" t="str">
        <f>HYPERLINK("http://141.218.60.56/~jnz1568/getInfo.php?workbook=18_08.xlsx&amp;sheet=U0&amp;row=5555&amp;col=7&amp;number=0.00932&amp;sourceID=14","0.00932")</f>
        <v>0.00932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HYPERLINK("http://141.218.60.56/~jnz1568/getInfo.php?workbook=18_08.xlsx&amp;sheet=U0&amp;row=5556&amp;col=6&amp;number=4.2&amp;sourceID=14","4.2")</f>
        <v>4.2</v>
      </c>
      <c r="G5556" s="4" t="str">
        <f>HYPERLINK("http://141.218.60.56/~jnz1568/getInfo.php?workbook=18_08.xlsx&amp;sheet=U0&amp;row=5556&amp;col=7&amp;number=0.00932&amp;sourceID=14","0.00932")</f>
        <v>0.00932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HYPERLINK("http://141.218.60.56/~jnz1568/getInfo.php?workbook=18_08.xlsx&amp;sheet=U0&amp;row=5557&amp;col=6&amp;number=4.3&amp;sourceID=14","4.3")</f>
        <v>4.3</v>
      </c>
      <c r="G5557" s="4" t="str">
        <f>HYPERLINK("http://141.218.60.56/~jnz1568/getInfo.php?workbook=18_08.xlsx&amp;sheet=U0&amp;row=5557&amp;col=7&amp;number=0.00931&amp;sourceID=14","0.00931")</f>
        <v>0.00931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HYPERLINK("http://141.218.60.56/~jnz1568/getInfo.php?workbook=18_08.xlsx&amp;sheet=U0&amp;row=5558&amp;col=6&amp;number=4.4&amp;sourceID=14","4.4")</f>
        <v>4.4</v>
      </c>
      <c r="G5558" s="4" t="str">
        <f>HYPERLINK("http://141.218.60.56/~jnz1568/getInfo.php?workbook=18_08.xlsx&amp;sheet=U0&amp;row=5558&amp;col=7&amp;number=0.00931&amp;sourceID=14","0.00931")</f>
        <v>0.00931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HYPERLINK("http://141.218.60.56/~jnz1568/getInfo.php?workbook=18_08.xlsx&amp;sheet=U0&amp;row=5559&amp;col=6&amp;number=4.5&amp;sourceID=14","4.5")</f>
        <v>4.5</v>
      </c>
      <c r="G5559" s="4" t="str">
        <f>HYPERLINK("http://141.218.60.56/~jnz1568/getInfo.php?workbook=18_08.xlsx&amp;sheet=U0&amp;row=5559&amp;col=7&amp;number=0.0093&amp;sourceID=14","0.0093")</f>
        <v>0.0093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HYPERLINK("http://141.218.60.56/~jnz1568/getInfo.php?workbook=18_08.xlsx&amp;sheet=U0&amp;row=5560&amp;col=6&amp;number=4.6&amp;sourceID=14","4.6")</f>
        <v>4.6</v>
      </c>
      <c r="G5560" s="4" t="str">
        <f>HYPERLINK("http://141.218.60.56/~jnz1568/getInfo.php?workbook=18_08.xlsx&amp;sheet=U0&amp;row=5560&amp;col=7&amp;number=0.0093&amp;sourceID=14","0.0093")</f>
        <v>0.0093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HYPERLINK("http://141.218.60.56/~jnz1568/getInfo.php?workbook=18_08.xlsx&amp;sheet=U0&amp;row=5561&amp;col=6&amp;number=4.7&amp;sourceID=14","4.7")</f>
        <v>4.7</v>
      </c>
      <c r="G5561" s="4" t="str">
        <f>HYPERLINK("http://141.218.60.56/~jnz1568/getInfo.php?workbook=18_08.xlsx&amp;sheet=U0&amp;row=5561&amp;col=7&amp;number=0.00929&amp;sourceID=14","0.00929")</f>
        <v>0.00929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HYPERLINK("http://141.218.60.56/~jnz1568/getInfo.php?workbook=18_08.xlsx&amp;sheet=U0&amp;row=5562&amp;col=6&amp;number=4.8&amp;sourceID=14","4.8")</f>
        <v>4.8</v>
      </c>
      <c r="G5562" s="4" t="str">
        <f>HYPERLINK("http://141.218.60.56/~jnz1568/getInfo.php?workbook=18_08.xlsx&amp;sheet=U0&amp;row=5562&amp;col=7&amp;number=0.00928&amp;sourceID=14","0.00928")</f>
        <v>0.00928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HYPERLINK("http://141.218.60.56/~jnz1568/getInfo.php?workbook=18_08.xlsx&amp;sheet=U0&amp;row=5563&amp;col=6&amp;number=4.9&amp;sourceID=14","4.9")</f>
        <v>4.9</v>
      </c>
      <c r="G5563" s="4" t="str">
        <f>HYPERLINK("http://141.218.60.56/~jnz1568/getInfo.php?workbook=18_08.xlsx&amp;sheet=U0&amp;row=5563&amp;col=7&amp;number=0.00926&amp;sourceID=14","0.00926")</f>
        <v>0.00926</v>
      </c>
    </row>
    <row r="5564" spans="1:7">
      <c r="A5564" s="3">
        <v>18</v>
      </c>
      <c r="B5564" s="3">
        <v>8</v>
      </c>
      <c r="C5564" s="3" t="s">
        <v>72</v>
      </c>
      <c r="D5564" s="3">
        <v>1</v>
      </c>
      <c r="E5564" s="3">
        <v>1</v>
      </c>
      <c r="F5564" s="4" t="str">
        <f>HYPERLINK("http://141.218.60.56/~jnz1568/getInfo.php?workbook=18_08.xlsx&amp;sheet=U0&amp;row=5564&amp;col=6&amp;number=3&amp;sourceID=14","3")</f>
        <v>3</v>
      </c>
      <c r="G5564" s="4" t="str">
        <f>HYPERLINK("http://141.218.60.56/~jnz1568/getInfo.php?workbook=18_08.xlsx&amp;sheet=U0&amp;row=5564&amp;col=7&amp;number=0.0113&amp;sourceID=14","0.0113")</f>
        <v>0.0113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HYPERLINK("http://141.218.60.56/~jnz1568/getInfo.php?workbook=18_08.xlsx&amp;sheet=U0&amp;row=5565&amp;col=6&amp;number=3.1&amp;sourceID=14","3.1")</f>
        <v>3.1</v>
      </c>
      <c r="G5565" s="4" t="str">
        <f>HYPERLINK("http://141.218.60.56/~jnz1568/getInfo.php?workbook=18_08.xlsx&amp;sheet=U0&amp;row=5565&amp;col=7&amp;number=0.0113&amp;sourceID=14","0.0113")</f>
        <v>0.0113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HYPERLINK("http://141.218.60.56/~jnz1568/getInfo.php?workbook=18_08.xlsx&amp;sheet=U0&amp;row=5566&amp;col=6&amp;number=3.2&amp;sourceID=14","3.2")</f>
        <v>3.2</v>
      </c>
      <c r="G5566" s="4" t="str">
        <f>HYPERLINK("http://141.218.60.56/~jnz1568/getInfo.php?workbook=18_08.xlsx&amp;sheet=U0&amp;row=5566&amp;col=7&amp;number=0.0113&amp;sourceID=14","0.0113")</f>
        <v>0.0113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HYPERLINK("http://141.218.60.56/~jnz1568/getInfo.php?workbook=18_08.xlsx&amp;sheet=U0&amp;row=5567&amp;col=6&amp;number=3.3&amp;sourceID=14","3.3")</f>
        <v>3.3</v>
      </c>
      <c r="G5567" s="4" t="str">
        <f>HYPERLINK("http://141.218.60.56/~jnz1568/getInfo.php?workbook=18_08.xlsx&amp;sheet=U0&amp;row=5567&amp;col=7&amp;number=0.0113&amp;sourceID=14","0.0113")</f>
        <v>0.0113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HYPERLINK("http://141.218.60.56/~jnz1568/getInfo.php?workbook=18_08.xlsx&amp;sheet=U0&amp;row=5568&amp;col=6&amp;number=3.4&amp;sourceID=14","3.4")</f>
        <v>3.4</v>
      </c>
      <c r="G5568" s="4" t="str">
        <f>HYPERLINK("http://141.218.60.56/~jnz1568/getInfo.php?workbook=18_08.xlsx&amp;sheet=U0&amp;row=5568&amp;col=7&amp;number=0.0113&amp;sourceID=14","0.0113")</f>
        <v>0.0113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HYPERLINK("http://141.218.60.56/~jnz1568/getInfo.php?workbook=18_08.xlsx&amp;sheet=U0&amp;row=5569&amp;col=6&amp;number=3.5&amp;sourceID=14","3.5")</f>
        <v>3.5</v>
      </c>
      <c r="G5569" s="4" t="str">
        <f>HYPERLINK("http://141.218.60.56/~jnz1568/getInfo.php?workbook=18_08.xlsx&amp;sheet=U0&amp;row=5569&amp;col=7&amp;number=0.0113&amp;sourceID=14","0.0113")</f>
        <v>0.0113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HYPERLINK("http://141.218.60.56/~jnz1568/getInfo.php?workbook=18_08.xlsx&amp;sheet=U0&amp;row=5570&amp;col=6&amp;number=3.6&amp;sourceID=14","3.6")</f>
        <v>3.6</v>
      </c>
      <c r="G5570" s="4" t="str">
        <f>HYPERLINK("http://141.218.60.56/~jnz1568/getInfo.php?workbook=18_08.xlsx&amp;sheet=U0&amp;row=5570&amp;col=7&amp;number=0.0113&amp;sourceID=14","0.0113")</f>
        <v>0.0113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HYPERLINK("http://141.218.60.56/~jnz1568/getInfo.php?workbook=18_08.xlsx&amp;sheet=U0&amp;row=5571&amp;col=6&amp;number=3.7&amp;sourceID=14","3.7")</f>
        <v>3.7</v>
      </c>
      <c r="G5571" s="4" t="str">
        <f>HYPERLINK("http://141.218.60.56/~jnz1568/getInfo.php?workbook=18_08.xlsx&amp;sheet=U0&amp;row=5571&amp;col=7&amp;number=0.0113&amp;sourceID=14","0.0113")</f>
        <v>0.0113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HYPERLINK("http://141.218.60.56/~jnz1568/getInfo.php?workbook=18_08.xlsx&amp;sheet=U0&amp;row=5572&amp;col=6&amp;number=3.8&amp;sourceID=14","3.8")</f>
        <v>3.8</v>
      </c>
      <c r="G5572" s="4" t="str">
        <f>HYPERLINK("http://141.218.60.56/~jnz1568/getInfo.php?workbook=18_08.xlsx&amp;sheet=U0&amp;row=5572&amp;col=7&amp;number=0.0113&amp;sourceID=14","0.0113")</f>
        <v>0.0113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HYPERLINK("http://141.218.60.56/~jnz1568/getInfo.php?workbook=18_08.xlsx&amp;sheet=U0&amp;row=5573&amp;col=6&amp;number=3.9&amp;sourceID=14","3.9")</f>
        <v>3.9</v>
      </c>
      <c r="G5573" s="4" t="str">
        <f>HYPERLINK("http://141.218.60.56/~jnz1568/getInfo.php?workbook=18_08.xlsx&amp;sheet=U0&amp;row=5573&amp;col=7&amp;number=0.0113&amp;sourceID=14","0.0113")</f>
        <v>0.0113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HYPERLINK("http://141.218.60.56/~jnz1568/getInfo.php?workbook=18_08.xlsx&amp;sheet=U0&amp;row=5574&amp;col=6&amp;number=4&amp;sourceID=14","4")</f>
        <v>4</v>
      </c>
      <c r="G5574" s="4" t="str">
        <f>HYPERLINK("http://141.218.60.56/~jnz1568/getInfo.php?workbook=18_08.xlsx&amp;sheet=U0&amp;row=5574&amp;col=7&amp;number=0.0113&amp;sourceID=14","0.0113")</f>
        <v>0.0113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HYPERLINK("http://141.218.60.56/~jnz1568/getInfo.php?workbook=18_08.xlsx&amp;sheet=U0&amp;row=5575&amp;col=6&amp;number=4.1&amp;sourceID=14","4.1")</f>
        <v>4.1</v>
      </c>
      <c r="G5575" s="4" t="str">
        <f>HYPERLINK("http://141.218.60.56/~jnz1568/getInfo.php?workbook=18_08.xlsx&amp;sheet=U0&amp;row=5575&amp;col=7&amp;number=0.0113&amp;sourceID=14","0.0113")</f>
        <v>0.0113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HYPERLINK("http://141.218.60.56/~jnz1568/getInfo.php?workbook=18_08.xlsx&amp;sheet=U0&amp;row=5576&amp;col=6&amp;number=4.2&amp;sourceID=14","4.2")</f>
        <v>4.2</v>
      </c>
      <c r="G5576" s="4" t="str">
        <f>HYPERLINK("http://141.218.60.56/~jnz1568/getInfo.php?workbook=18_08.xlsx&amp;sheet=U0&amp;row=5576&amp;col=7&amp;number=0.0113&amp;sourceID=14","0.0113")</f>
        <v>0.0113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HYPERLINK("http://141.218.60.56/~jnz1568/getInfo.php?workbook=18_08.xlsx&amp;sheet=U0&amp;row=5577&amp;col=6&amp;number=4.3&amp;sourceID=14","4.3")</f>
        <v>4.3</v>
      </c>
      <c r="G5577" s="4" t="str">
        <f>HYPERLINK("http://141.218.60.56/~jnz1568/getInfo.php?workbook=18_08.xlsx&amp;sheet=U0&amp;row=5577&amp;col=7&amp;number=0.0113&amp;sourceID=14","0.0113")</f>
        <v>0.0113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HYPERLINK("http://141.218.60.56/~jnz1568/getInfo.php?workbook=18_08.xlsx&amp;sheet=U0&amp;row=5578&amp;col=6&amp;number=4.4&amp;sourceID=14","4.4")</f>
        <v>4.4</v>
      </c>
      <c r="G5578" s="4" t="str">
        <f>HYPERLINK("http://141.218.60.56/~jnz1568/getInfo.php?workbook=18_08.xlsx&amp;sheet=U0&amp;row=5578&amp;col=7&amp;number=0.0113&amp;sourceID=14","0.0113")</f>
        <v>0.0113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HYPERLINK("http://141.218.60.56/~jnz1568/getInfo.php?workbook=18_08.xlsx&amp;sheet=U0&amp;row=5579&amp;col=6&amp;number=4.5&amp;sourceID=14","4.5")</f>
        <v>4.5</v>
      </c>
      <c r="G5579" s="4" t="str">
        <f>HYPERLINK("http://141.218.60.56/~jnz1568/getInfo.php?workbook=18_08.xlsx&amp;sheet=U0&amp;row=5579&amp;col=7&amp;number=0.0112&amp;sourceID=14","0.0112")</f>
        <v>0.0112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HYPERLINK("http://141.218.60.56/~jnz1568/getInfo.php?workbook=18_08.xlsx&amp;sheet=U0&amp;row=5580&amp;col=6&amp;number=4.6&amp;sourceID=14","4.6")</f>
        <v>4.6</v>
      </c>
      <c r="G5580" s="4" t="str">
        <f>HYPERLINK("http://141.218.60.56/~jnz1568/getInfo.php?workbook=18_08.xlsx&amp;sheet=U0&amp;row=5580&amp;col=7&amp;number=0.0112&amp;sourceID=14","0.0112")</f>
        <v>0.0112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HYPERLINK("http://141.218.60.56/~jnz1568/getInfo.php?workbook=18_08.xlsx&amp;sheet=U0&amp;row=5581&amp;col=6&amp;number=4.7&amp;sourceID=14","4.7")</f>
        <v>4.7</v>
      </c>
      <c r="G5581" s="4" t="str">
        <f>HYPERLINK("http://141.218.60.56/~jnz1568/getInfo.php?workbook=18_08.xlsx&amp;sheet=U0&amp;row=5581&amp;col=7&amp;number=0.0112&amp;sourceID=14","0.0112")</f>
        <v>0.0112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HYPERLINK("http://141.218.60.56/~jnz1568/getInfo.php?workbook=18_08.xlsx&amp;sheet=U0&amp;row=5582&amp;col=6&amp;number=4.8&amp;sourceID=14","4.8")</f>
        <v>4.8</v>
      </c>
      <c r="G5582" s="4" t="str">
        <f>HYPERLINK("http://141.218.60.56/~jnz1568/getInfo.php?workbook=18_08.xlsx&amp;sheet=U0&amp;row=5582&amp;col=7&amp;number=0.0112&amp;sourceID=14","0.0112")</f>
        <v>0.0112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HYPERLINK("http://141.218.60.56/~jnz1568/getInfo.php?workbook=18_08.xlsx&amp;sheet=U0&amp;row=5583&amp;col=6&amp;number=4.9&amp;sourceID=14","4.9")</f>
        <v>4.9</v>
      </c>
      <c r="G5583" s="4" t="str">
        <f>HYPERLINK("http://141.218.60.56/~jnz1568/getInfo.php?workbook=18_08.xlsx&amp;sheet=U0&amp;row=5583&amp;col=7&amp;number=0.0112&amp;sourceID=14","0.0112")</f>
        <v>0.0112</v>
      </c>
    </row>
    <row r="5584" spans="1:7">
      <c r="A5584" s="3">
        <v>18</v>
      </c>
      <c r="B5584" s="3">
        <v>8</v>
      </c>
      <c r="C5584" s="3" t="s">
        <v>72</v>
      </c>
      <c r="D5584" s="3">
        <v>2</v>
      </c>
      <c r="E5584" s="3">
        <v>1</v>
      </c>
      <c r="F5584" s="4" t="str">
        <f>HYPERLINK("http://141.218.60.56/~jnz1568/getInfo.php?workbook=18_08.xlsx&amp;sheet=U0&amp;row=5584&amp;col=6&amp;number=3&amp;sourceID=14","3")</f>
        <v>3</v>
      </c>
      <c r="G5584" s="4" t="str">
        <f>HYPERLINK("http://141.218.60.56/~jnz1568/getInfo.php?workbook=18_08.xlsx&amp;sheet=U0&amp;row=5584&amp;col=7&amp;number=0.0191&amp;sourceID=14","0.0191")</f>
        <v>0.0191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HYPERLINK("http://141.218.60.56/~jnz1568/getInfo.php?workbook=18_08.xlsx&amp;sheet=U0&amp;row=5585&amp;col=6&amp;number=3.1&amp;sourceID=14","3.1")</f>
        <v>3.1</v>
      </c>
      <c r="G5585" s="4" t="str">
        <f>HYPERLINK("http://141.218.60.56/~jnz1568/getInfo.php?workbook=18_08.xlsx&amp;sheet=U0&amp;row=5585&amp;col=7&amp;number=0.0191&amp;sourceID=14","0.0191")</f>
        <v>0.0191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HYPERLINK("http://141.218.60.56/~jnz1568/getInfo.php?workbook=18_08.xlsx&amp;sheet=U0&amp;row=5586&amp;col=6&amp;number=3.2&amp;sourceID=14","3.2")</f>
        <v>3.2</v>
      </c>
      <c r="G5586" s="4" t="str">
        <f>HYPERLINK("http://141.218.60.56/~jnz1568/getInfo.php?workbook=18_08.xlsx&amp;sheet=U0&amp;row=5586&amp;col=7&amp;number=0.0191&amp;sourceID=14","0.0191")</f>
        <v>0.0191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HYPERLINK("http://141.218.60.56/~jnz1568/getInfo.php?workbook=18_08.xlsx&amp;sheet=U0&amp;row=5587&amp;col=6&amp;number=3.3&amp;sourceID=14","3.3")</f>
        <v>3.3</v>
      </c>
      <c r="G5587" s="4" t="str">
        <f>HYPERLINK("http://141.218.60.56/~jnz1568/getInfo.php?workbook=18_08.xlsx&amp;sheet=U0&amp;row=5587&amp;col=7&amp;number=0.0191&amp;sourceID=14","0.0191")</f>
        <v>0.0191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HYPERLINK("http://141.218.60.56/~jnz1568/getInfo.php?workbook=18_08.xlsx&amp;sheet=U0&amp;row=5588&amp;col=6&amp;number=3.4&amp;sourceID=14","3.4")</f>
        <v>3.4</v>
      </c>
      <c r="G5588" s="4" t="str">
        <f>HYPERLINK("http://141.218.60.56/~jnz1568/getInfo.php?workbook=18_08.xlsx&amp;sheet=U0&amp;row=5588&amp;col=7&amp;number=0.0191&amp;sourceID=14","0.0191")</f>
        <v>0.0191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HYPERLINK("http://141.218.60.56/~jnz1568/getInfo.php?workbook=18_08.xlsx&amp;sheet=U0&amp;row=5589&amp;col=6&amp;number=3.5&amp;sourceID=14","3.5")</f>
        <v>3.5</v>
      </c>
      <c r="G5589" s="4" t="str">
        <f>HYPERLINK("http://141.218.60.56/~jnz1568/getInfo.php?workbook=18_08.xlsx&amp;sheet=U0&amp;row=5589&amp;col=7&amp;number=0.0191&amp;sourceID=14","0.0191")</f>
        <v>0.0191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HYPERLINK("http://141.218.60.56/~jnz1568/getInfo.php?workbook=18_08.xlsx&amp;sheet=U0&amp;row=5590&amp;col=6&amp;number=3.6&amp;sourceID=14","3.6")</f>
        <v>3.6</v>
      </c>
      <c r="G5590" s="4" t="str">
        <f>HYPERLINK("http://141.218.60.56/~jnz1568/getInfo.php?workbook=18_08.xlsx&amp;sheet=U0&amp;row=5590&amp;col=7&amp;number=0.0191&amp;sourceID=14","0.0191")</f>
        <v>0.0191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HYPERLINK("http://141.218.60.56/~jnz1568/getInfo.php?workbook=18_08.xlsx&amp;sheet=U0&amp;row=5591&amp;col=6&amp;number=3.7&amp;sourceID=14","3.7")</f>
        <v>3.7</v>
      </c>
      <c r="G5591" s="4" t="str">
        <f>HYPERLINK("http://141.218.60.56/~jnz1568/getInfo.php?workbook=18_08.xlsx&amp;sheet=U0&amp;row=5591&amp;col=7&amp;number=0.0191&amp;sourceID=14","0.0191")</f>
        <v>0.0191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HYPERLINK("http://141.218.60.56/~jnz1568/getInfo.php?workbook=18_08.xlsx&amp;sheet=U0&amp;row=5592&amp;col=6&amp;number=3.8&amp;sourceID=14","3.8")</f>
        <v>3.8</v>
      </c>
      <c r="G5592" s="4" t="str">
        <f>HYPERLINK("http://141.218.60.56/~jnz1568/getInfo.php?workbook=18_08.xlsx&amp;sheet=U0&amp;row=5592&amp;col=7&amp;number=0.0191&amp;sourceID=14","0.0191")</f>
        <v>0.0191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HYPERLINK("http://141.218.60.56/~jnz1568/getInfo.php?workbook=18_08.xlsx&amp;sheet=U0&amp;row=5593&amp;col=6&amp;number=3.9&amp;sourceID=14","3.9")</f>
        <v>3.9</v>
      </c>
      <c r="G5593" s="4" t="str">
        <f>HYPERLINK("http://141.218.60.56/~jnz1568/getInfo.php?workbook=18_08.xlsx&amp;sheet=U0&amp;row=5593&amp;col=7&amp;number=0.0191&amp;sourceID=14","0.0191")</f>
        <v>0.0191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HYPERLINK("http://141.218.60.56/~jnz1568/getInfo.php?workbook=18_08.xlsx&amp;sheet=U0&amp;row=5594&amp;col=6&amp;number=4&amp;sourceID=14","4")</f>
        <v>4</v>
      </c>
      <c r="G5594" s="4" t="str">
        <f>HYPERLINK("http://141.218.60.56/~jnz1568/getInfo.php?workbook=18_08.xlsx&amp;sheet=U0&amp;row=5594&amp;col=7&amp;number=0.0191&amp;sourceID=14","0.0191")</f>
        <v>0.0191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HYPERLINK("http://141.218.60.56/~jnz1568/getInfo.php?workbook=18_08.xlsx&amp;sheet=U0&amp;row=5595&amp;col=6&amp;number=4.1&amp;sourceID=14","4.1")</f>
        <v>4.1</v>
      </c>
      <c r="G5595" s="4" t="str">
        <f>HYPERLINK("http://141.218.60.56/~jnz1568/getInfo.php?workbook=18_08.xlsx&amp;sheet=U0&amp;row=5595&amp;col=7&amp;number=0.019&amp;sourceID=14","0.019")</f>
        <v>0.019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HYPERLINK("http://141.218.60.56/~jnz1568/getInfo.php?workbook=18_08.xlsx&amp;sheet=U0&amp;row=5596&amp;col=6&amp;number=4.2&amp;sourceID=14","4.2")</f>
        <v>4.2</v>
      </c>
      <c r="G5596" s="4" t="str">
        <f>HYPERLINK("http://141.218.60.56/~jnz1568/getInfo.php?workbook=18_08.xlsx&amp;sheet=U0&amp;row=5596&amp;col=7&amp;number=0.019&amp;sourceID=14","0.019")</f>
        <v>0.019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HYPERLINK("http://141.218.60.56/~jnz1568/getInfo.php?workbook=18_08.xlsx&amp;sheet=U0&amp;row=5597&amp;col=6&amp;number=4.3&amp;sourceID=14","4.3")</f>
        <v>4.3</v>
      </c>
      <c r="G5597" s="4" t="str">
        <f>HYPERLINK("http://141.218.60.56/~jnz1568/getInfo.php?workbook=18_08.xlsx&amp;sheet=U0&amp;row=5597&amp;col=7&amp;number=0.019&amp;sourceID=14","0.019")</f>
        <v>0.019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HYPERLINK("http://141.218.60.56/~jnz1568/getInfo.php?workbook=18_08.xlsx&amp;sheet=U0&amp;row=5598&amp;col=6&amp;number=4.4&amp;sourceID=14","4.4")</f>
        <v>4.4</v>
      </c>
      <c r="G5598" s="4" t="str">
        <f>HYPERLINK("http://141.218.60.56/~jnz1568/getInfo.php?workbook=18_08.xlsx&amp;sheet=U0&amp;row=5598&amp;col=7&amp;number=0.019&amp;sourceID=14","0.019")</f>
        <v>0.019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HYPERLINK("http://141.218.60.56/~jnz1568/getInfo.php?workbook=18_08.xlsx&amp;sheet=U0&amp;row=5599&amp;col=6&amp;number=4.5&amp;sourceID=14","4.5")</f>
        <v>4.5</v>
      </c>
      <c r="G5599" s="4" t="str">
        <f>HYPERLINK("http://141.218.60.56/~jnz1568/getInfo.php?workbook=18_08.xlsx&amp;sheet=U0&amp;row=5599&amp;col=7&amp;number=0.019&amp;sourceID=14","0.019")</f>
        <v>0.019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HYPERLINK("http://141.218.60.56/~jnz1568/getInfo.php?workbook=18_08.xlsx&amp;sheet=U0&amp;row=5600&amp;col=6&amp;number=4.6&amp;sourceID=14","4.6")</f>
        <v>4.6</v>
      </c>
      <c r="G5600" s="4" t="str">
        <f>HYPERLINK("http://141.218.60.56/~jnz1568/getInfo.php?workbook=18_08.xlsx&amp;sheet=U0&amp;row=5600&amp;col=7&amp;number=0.0189&amp;sourceID=14","0.0189")</f>
        <v>0.0189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HYPERLINK("http://141.218.60.56/~jnz1568/getInfo.php?workbook=18_08.xlsx&amp;sheet=U0&amp;row=5601&amp;col=6&amp;number=4.7&amp;sourceID=14","4.7")</f>
        <v>4.7</v>
      </c>
      <c r="G5601" s="4" t="str">
        <f>HYPERLINK("http://141.218.60.56/~jnz1568/getInfo.php?workbook=18_08.xlsx&amp;sheet=U0&amp;row=5601&amp;col=7&amp;number=0.0189&amp;sourceID=14","0.0189")</f>
        <v>0.0189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HYPERLINK("http://141.218.60.56/~jnz1568/getInfo.php?workbook=18_08.xlsx&amp;sheet=U0&amp;row=5602&amp;col=6&amp;number=4.8&amp;sourceID=14","4.8")</f>
        <v>4.8</v>
      </c>
      <c r="G5602" s="4" t="str">
        <f>HYPERLINK("http://141.218.60.56/~jnz1568/getInfo.php?workbook=18_08.xlsx&amp;sheet=U0&amp;row=5602&amp;col=7&amp;number=0.0188&amp;sourceID=14","0.0188")</f>
        <v>0.0188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HYPERLINK("http://141.218.60.56/~jnz1568/getInfo.php?workbook=18_08.xlsx&amp;sheet=U0&amp;row=5603&amp;col=6&amp;number=4.9&amp;sourceID=14","4.9")</f>
        <v>4.9</v>
      </c>
      <c r="G5603" s="4" t="str">
        <f>HYPERLINK("http://141.218.60.56/~jnz1568/getInfo.php?workbook=18_08.xlsx&amp;sheet=U0&amp;row=5603&amp;col=7&amp;number=0.0187&amp;sourceID=14","0.0187")</f>
        <v>0.0187</v>
      </c>
    </row>
    <row r="5604" spans="1:7">
      <c r="A5604" s="3">
        <v>18</v>
      </c>
      <c r="B5604" s="3">
        <v>8</v>
      </c>
      <c r="C5604" s="3" t="s">
        <v>72</v>
      </c>
      <c r="D5604" s="3">
        <v>3</v>
      </c>
      <c r="E5604" s="3">
        <v>1</v>
      </c>
      <c r="F5604" s="4" t="str">
        <f>HYPERLINK("http://141.218.60.56/~jnz1568/getInfo.php?workbook=18_08.xlsx&amp;sheet=U0&amp;row=5604&amp;col=6&amp;number=3&amp;sourceID=14","3")</f>
        <v>3</v>
      </c>
      <c r="G5604" s="4" t="str">
        <f>HYPERLINK("http://141.218.60.56/~jnz1568/getInfo.php?workbook=18_08.xlsx&amp;sheet=U0&amp;row=5604&amp;col=7&amp;number=0.0251&amp;sourceID=14","0.0251")</f>
        <v>0.0251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HYPERLINK("http://141.218.60.56/~jnz1568/getInfo.php?workbook=18_08.xlsx&amp;sheet=U0&amp;row=5605&amp;col=6&amp;number=3.1&amp;sourceID=14","3.1")</f>
        <v>3.1</v>
      </c>
      <c r="G5605" s="4" t="str">
        <f>HYPERLINK("http://141.218.60.56/~jnz1568/getInfo.php?workbook=18_08.xlsx&amp;sheet=U0&amp;row=5605&amp;col=7&amp;number=0.0251&amp;sourceID=14","0.0251")</f>
        <v>0.0251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HYPERLINK("http://141.218.60.56/~jnz1568/getInfo.php?workbook=18_08.xlsx&amp;sheet=U0&amp;row=5606&amp;col=6&amp;number=3.2&amp;sourceID=14","3.2")</f>
        <v>3.2</v>
      </c>
      <c r="G5606" s="4" t="str">
        <f>HYPERLINK("http://141.218.60.56/~jnz1568/getInfo.php?workbook=18_08.xlsx&amp;sheet=U0&amp;row=5606&amp;col=7&amp;number=0.025&amp;sourceID=14","0.025")</f>
        <v>0.025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HYPERLINK("http://141.218.60.56/~jnz1568/getInfo.php?workbook=18_08.xlsx&amp;sheet=U0&amp;row=5607&amp;col=6&amp;number=3.3&amp;sourceID=14","3.3")</f>
        <v>3.3</v>
      </c>
      <c r="G5607" s="4" t="str">
        <f>HYPERLINK("http://141.218.60.56/~jnz1568/getInfo.php?workbook=18_08.xlsx&amp;sheet=U0&amp;row=5607&amp;col=7&amp;number=0.025&amp;sourceID=14","0.025")</f>
        <v>0.025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HYPERLINK("http://141.218.60.56/~jnz1568/getInfo.php?workbook=18_08.xlsx&amp;sheet=U0&amp;row=5608&amp;col=6&amp;number=3.4&amp;sourceID=14","3.4")</f>
        <v>3.4</v>
      </c>
      <c r="G5608" s="4" t="str">
        <f>HYPERLINK("http://141.218.60.56/~jnz1568/getInfo.php?workbook=18_08.xlsx&amp;sheet=U0&amp;row=5608&amp;col=7&amp;number=0.025&amp;sourceID=14","0.025")</f>
        <v>0.025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HYPERLINK("http://141.218.60.56/~jnz1568/getInfo.php?workbook=18_08.xlsx&amp;sheet=U0&amp;row=5609&amp;col=6&amp;number=3.5&amp;sourceID=14","3.5")</f>
        <v>3.5</v>
      </c>
      <c r="G5609" s="4" t="str">
        <f>HYPERLINK("http://141.218.60.56/~jnz1568/getInfo.php?workbook=18_08.xlsx&amp;sheet=U0&amp;row=5609&amp;col=7&amp;number=0.025&amp;sourceID=14","0.025")</f>
        <v>0.025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HYPERLINK("http://141.218.60.56/~jnz1568/getInfo.php?workbook=18_08.xlsx&amp;sheet=U0&amp;row=5610&amp;col=6&amp;number=3.6&amp;sourceID=14","3.6")</f>
        <v>3.6</v>
      </c>
      <c r="G5610" s="4" t="str">
        <f>HYPERLINK("http://141.218.60.56/~jnz1568/getInfo.php?workbook=18_08.xlsx&amp;sheet=U0&amp;row=5610&amp;col=7&amp;number=0.025&amp;sourceID=14","0.025")</f>
        <v>0.025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HYPERLINK("http://141.218.60.56/~jnz1568/getInfo.php?workbook=18_08.xlsx&amp;sheet=U0&amp;row=5611&amp;col=6&amp;number=3.7&amp;sourceID=14","3.7")</f>
        <v>3.7</v>
      </c>
      <c r="G5611" s="4" t="str">
        <f>HYPERLINK("http://141.218.60.56/~jnz1568/getInfo.php?workbook=18_08.xlsx&amp;sheet=U0&amp;row=5611&amp;col=7&amp;number=0.025&amp;sourceID=14","0.025")</f>
        <v>0.025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HYPERLINK("http://141.218.60.56/~jnz1568/getInfo.php?workbook=18_08.xlsx&amp;sheet=U0&amp;row=5612&amp;col=6&amp;number=3.8&amp;sourceID=14","3.8")</f>
        <v>3.8</v>
      </c>
      <c r="G5612" s="4" t="str">
        <f>HYPERLINK("http://141.218.60.56/~jnz1568/getInfo.php?workbook=18_08.xlsx&amp;sheet=U0&amp;row=5612&amp;col=7&amp;number=0.025&amp;sourceID=14","0.025")</f>
        <v>0.025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HYPERLINK("http://141.218.60.56/~jnz1568/getInfo.php?workbook=18_08.xlsx&amp;sheet=U0&amp;row=5613&amp;col=6&amp;number=3.9&amp;sourceID=14","3.9")</f>
        <v>3.9</v>
      </c>
      <c r="G5613" s="4" t="str">
        <f>HYPERLINK("http://141.218.60.56/~jnz1568/getInfo.php?workbook=18_08.xlsx&amp;sheet=U0&amp;row=5613&amp;col=7&amp;number=0.025&amp;sourceID=14","0.025")</f>
        <v>0.025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HYPERLINK("http://141.218.60.56/~jnz1568/getInfo.php?workbook=18_08.xlsx&amp;sheet=U0&amp;row=5614&amp;col=6&amp;number=4&amp;sourceID=14","4")</f>
        <v>4</v>
      </c>
      <c r="G5614" s="4" t="str">
        <f>HYPERLINK("http://141.218.60.56/~jnz1568/getInfo.php?workbook=18_08.xlsx&amp;sheet=U0&amp;row=5614&amp;col=7&amp;number=0.025&amp;sourceID=14","0.025")</f>
        <v>0.025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HYPERLINK("http://141.218.60.56/~jnz1568/getInfo.php?workbook=18_08.xlsx&amp;sheet=U0&amp;row=5615&amp;col=6&amp;number=4.1&amp;sourceID=14","4.1")</f>
        <v>4.1</v>
      </c>
      <c r="G5615" s="4" t="str">
        <f>HYPERLINK("http://141.218.60.56/~jnz1568/getInfo.php?workbook=18_08.xlsx&amp;sheet=U0&amp;row=5615&amp;col=7&amp;number=0.025&amp;sourceID=14","0.025")</f>
        <v>0.025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HYPERLINK("http://141.218.60.56/~jnz1568/getInfo.php?workbook=18_08.xlsx&amp;sheet=U0&amp;row=5616&amp;col=6&amp;number=4.2&amp;sourceID=14","4.2")</f>
        <v>4.2</v>
      </c>
      <c r="G5616" s="4" t="str">
        <f>HYPERLINK("http://141.218.60.56/~jnz1568/getInfo.php?workbook=18_08.xlsx&amp;sheet=U0&amp;row=5616&amp;col=7&amp;number=0.025&amp;sourceID=14","0.025")</f>
        <v>0.025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HYPERLINK("http://141.218.60.56/~jnz1568/getInfo.php?workbook=18_08.xlsx&amp;sheet=U0&amp;row=5617&amp;col=6&amp;number=4.3&amp;sourceID=14","4.3")</f>
        <v>4.3</v>
      </c>
      <c r="G5617" s="4" t="str">
        <f>HYPERLINK("http://141.218.60.56/~jnz1568/getInfo.php?workbook=18_08.xlsx&amp;sheet=U0&amp;row=5617&amp;col=7&amp;number=0.0249&amp;sourceID=14","0.0249")</f>
        <v>0.0249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HYPERLINK("http://141.218.60.56/~jnz1568/getInfo.php?workbook=18_08.xlsx&amp;sheet=U0&amp;row=5618&amp;col=6&amp;number=4.4&amp;sourceID=14","4.4")</f>
        <v>4.4</v>
      </c>
      <c r="G5618" s="4" t="str">
        <f>HYPERLINK("http://141.218.60.56/~jnz1568/getInfo.php?workbook=18_08.xlsx&amp;sheet=U0&amp;row=5618&amp;col=7&amp;number=0.0249&amp;sourceID=14","0.0249")</f>
        <v>0.0249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HYPERLINK("http://141.218.60.56/~jnz1568/getInfo.php?workbook=18_08.xlsx&amp;sheet=U0&amp;row=5619&amp;col=6&amp;number=4.5&amp;sourceID=14","4.5")</f>
        <v>4.5</v>
      </c>
      <c r="G5619" s="4" t="str">
        <f>HYPERLINK("http://141.218.60.56/~jnz1568/getInfo.php?workbook=18_08.xlsx&amp;sheet=U0&amp;row=5619&amp;col=7&amp;number=0.0249&amp;sourceID=14","0.0249")</f>
        <v>0.0249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HYPERLINK("http://141.218.60.56/~jnz1568/getInfo.php?workbook=18_08.xlsx&amp;sheet=U0&amp;row=5620&amp;col=6&amp;number=4.6&amp;sourceID=14","4.6")</f>
        <v>4.6</v>
      </c>
      <c r="G5620" s="4" t="str">
        <f>HYPERLINK("http://141.218.60.56/~jnz1568/getInfo.php?workbook=18_08.xlsx&amp;sheet=U0&amp;row=5620&amp;col=7&amp;number=0.0248&amp;sourceID=14","0.0248")</f>
        <v>0.0248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HYPERLINK("http://141.218.60.56/~jnz1568/getInfo.php?workbook=18_08.xlsx&amp;sheet=U0&amp;row=5621&amp;col=6&amp;number=4.7&amp;sourceID=14","4.7")</f>
        <v>4.7</v>
      </c>
      <c r="G5621" s="4" t="str">
        <f>HYPERLINK("http://141.218.60.56/~jnz1568/getInfo.php?workbook=18_08.xlsx&amp;sheet=U0&amp;row=5621&amp;col=7&amp;number=0.0247&amp;sourceID=14","0.0247")</f>
        <v>0.0247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HYPERLINK("http://141.218.60.56/~jnz1568/getInfo.php?workbook=18_08.xlsx&amp;sheet=U0&amp;row=5622&amp;col=6&amp;number=4.8&amp;sourceID=14","4.8")</f>
        <v>4.8</v>
      </c>
      <c r="G5622" s="4" t="str">
        <f>HYPERLINK("http://141.218.60.56/~jnz1568/getInfo.php?workbook=18_08.xlsx&amp;sheet=U0&amp;row=5622&amp;col=7&amp;number=0.0247&amp;sourceID=14","0.0247")</f>
        <v>0.0247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HYPERLINK("http://141.218.60.56/~jnz1568/getInfo.php?workbook=18_08.xlsx&amp;sheet=U0&amp;row=5623&amp;col=6&amp;number=4.9&amp;sourceID=14","4.9")</f>
        <v>4.9</v>
      </c>
      <c r="G5623" s="4" t="str">
        <f>HYPERLINK("http://141.218.60.56/~jnz1568/getInfo.php?workbook=18_08.xlsx&amp;sheet=U0&amp;row=5623&amp;col=7&amp;number=0.0246&amp;sourceID=14","0.0246")</f>
        <v>0.0246</v>
      </c>
    </row>
    <row r="5624" spans="1:7">
      <c r="A5624" s="3">
        <v>18</v>
      </c>
      <c r="B5624" s="3">
        <v>8</v>
      </c>
      <c r="C5624" s="3" t="s">
        <v>72</v>
      </c>
      <c r="D5624" s="3">
        <v>4</v>
      </c>
      <c r="E5624" s="3">
        <v>1</v>
      </c>
      <c r="F5624" s="4" t="str">
        <f>HYPERLINK("http://141.218.60.56/~jnz1568/getInfo.php?workbook=18_08.xlsx&amp;sheet=U0&amp;row=5624&amp;col=6&amp;number=3&amp;sourceID=14","3")</f>
        <v>3</v>
      </c>
      <c r="G5624" s="4" t="str">
        <f>HYPERLINK("http://141.218.60.56/~jnz1568/getInfo.php?workbook=18_08.xlsx&amp;sheet=U0&amp;row=5624&amp;col=7&amp;number=0.0181&amp;sourceID=14","0.0181")</f>
        <v>0.0181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HYPERLINK("http://141.218.60.56/~jnz1568/getInfo.php?workbook=18_08.xlsx&amp;sheet=U0&amp;row=5625&amp;col=6&amp;number=3.1&amp;sourceID=14","3.1")</f>
        <v>3.1</v>
      </c>
      <c r="G5625" s="4" t="str">
        <f>HYPERLINK("http://141.218.60.56/~jnz1568/getInfo.php?workbook=18_08.xlsx&amp;sheet=U0&amp;row=5625&amp;col=7&amp;number=0.0181&amp;sourceID=14","0.0181")</f>
        <v>0.0181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HYPERLINK("http://141.218.60.56/~jnz1568/getInfo.php?workbook=18_08.xlsx&amp;sheet=U0&amp;row=5626&amp;col=6&amp;number=3.2&amp;sourceID=14","3.2")</f>
        <v>3.2</v>
      </c>
      <c r="G5626" s="4" t="str">
        <f>HYPERLINK("http://141.218.60.56/~jnz1568/getInfo.php?workbook=18_08.xlsx&amp;sheet=U0&amp;row=5626&amp;col=7&amp;number=0.0181&amp;sourceID=14","0.0181")</f>
        <v>0.0181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HYPERLINK("http://141.218.60.56/~jnz1568/getInfo.php?workbook=18_08.xlsx&amp;sheet=U0&amp;row=5627&amp;col=6&amp;number=3.3&amp;sourceID=14","3.3")</f>
        <v>3.3</v>
      </c>
      <c r="G5627" s="4" t="str">
        <f>HYPERLINK("http://141.218.60.56/~jnz1568/getInfo.php?workbook=18_08.xlsx&amp;sheet=U0&amp;row=5627&amp;col=7&amp;number=0.0181&amp;sourceID=14","0.0181")</f>
        <v>0.0181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HYPERLINK("http://141.218.60.56/~jnz1568/getInfo.php?workbook=18_08.xlsx&amp;sheet=U0&amp;row=5628&amp;col=6&amp;number=3.4&amp;sourceID=14","3.4")</f>
        <v>3.4</v>
      </c>
      <c r="G5628" s="4" t="str">
        <f>HYPERLINK("http://141.218.60.56/~jnz1568/getInfo.php?workbook=18_08.xlsx&amp;sheet=U0&amp;row=5628&amp;col=7&amp;number=0.0181&amp;sourceID=14","0.0181")</f>
        <v>0.0181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HYPERLINK("http://141.218.60.56/~jnz1568/getInfo.php?workbook=18_08.xlsx&amp;sheet=U0&amp;row=5629&amp;col=6&amp;number=3.5&amp;sourceID=14","3.5")</f>
        <v>3.5</v>
      </c>
      <c r="G5629" s="4" t="str">
        <f>HYPERLINK("http://141.218.60.56/~jnz1568/getInfo.php?workbook=18_08.xlsx&amp;sheet=U0&amp;row=5629&amp;col=7&amp;number=0.0181&amp;sourceID=14","0.0181")</f>
        <v>0.0181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HYPERLINK("http://141.218.60.56/~jnz1568/getInfo.php?workbook=18_08.xlsx&amp;sheet=U0&amp;row=5630&amp;col=6&amp;number=3.6&amp;sourceID=14","3.6")</f>
        <v>3.6</v>
      </c>
      <c r="G5630" s="4" t="str">
        <f>HYPERLINK("http://141.218.60.56/~jnz1568/getInfo.php?workbook=18_08.xlsx&amp;sheet=U0&amp;row=5630&amp;col=7&amp;number=0.0181&amp;sourceID=14","0.0181")</f>
        <v>0.0181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HYPERLINK("http://141.218.60.56/~jnz1568/getInfo.php?workbook=18_08.xlsx&amp;sheet=U0&amp;row=5631&amp;col=6&amp;number=3.7&amp;sourceID=14","3.7")</f>
        <v>3.7</v>
      </c>
      <c r="G5631" s="4" t="str">
        <f>HYPERLINK("http://141.218.60.56/~jnz1568/getInfo.php?workbook=18_08.xlsx&amp;sheet=U0&amp;row=5631&amp;col=7&amp;number=0.0181&amp;sourceID=14","0.0181")</f>
        <v>0.0181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HYPERLINK("http://141.218.60.56/~jnz1568/getInfo.php?workbook=18_08.xlsx&amp;sheet=U0&amp;row=5632&amp;col=6&amp;number=3.8&amp;sourceID=14","3.8")</f>
        <v>3.8</v>
      </c>
      <c r="G5632" s="4" t="str">
        <f>HYPERLINK("http://141.218.60.56/~jnz1568/getInfo.php?workbook=18_08.xlsx&amp;sheet=U0&amp;row=5632&amp;col=7&amp;number=0.0181&amp;sourceID=14","0.0181")</f>
        <v>0.0181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HYPERLINK("http://141.218.60.56/~jnz1568/getInfo.php?workbook=18_08.xlsx&amp;sheet=U0&amp;row=5633&amp;col=6&amp;number=3.9&amp;sourceID=14","3.9")</f>
        <v>3.9</v>
      </c>
      <c r="G5633" s="4" t="str">
        <f>HYPERLINK("http://141.218.60.56/~jnz1568/getInfo.php?workbook=18_08.xlsx&amp;sheet=U0&amp;row=5633&amp;col=7&amp;number=0.0181&amp;sourceID=14","0.0181")</f>
        <v>0.0181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HYPERLINK("http://141.218.60.56/~jnz1568/getInfo.php?workbook=18_08.xlsx&amp;sheet=U0&amp;row=5634&amp;col=6&amp;number=4&amp;sourceID=14","4")</f>
        <v>4</v>
      </c>
      <c r="G5634" s="4" t="str">
        <f>HYPERLINK("http://141.218.60.56/~jnz1568/getInfo.php?workbook=18_08.xlsx&amp;sheet=U0&amp;row=5634&amp;col=7&amp;number=0.0181&amp;sourceID=14","0.0181")</f>
        <v>0.0181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HYPERLINK("http://141.218.60.56/~jnz1568/getInfo.php?workbook=18_08.xlsx&amp;sheet=U0&amp;row=5635&amp;col=6&amp;number=4.1&amp;sourceID=14","4.1")</f>
        <v>4.1</v>
      </c>
      <c r="G5635" s="4" t="str">
        <f>HYPERLINK("http://141.218.60.56/~jnz1568/getInfo.php?workbook=18_08.xlsx&amp;sheet=U0&amp;row=5635&amp;col=7&amp;number=0.0181&amp;sourceID=14","0.0181")</f>
        <v>0.0181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HYPERLINK("http://141.218.60.56/~jnz1568/getInfo.php?workbook=18_08.xlsx&amp;sheet=U0&amp;row=5636&amp;col=6&amp;number=4.2&amp;sourceID=14","4.2")</f>
        <v>4.2</v>
      </c>
      <c r="G5636" s="4" t="str">
        <f>HYPERLINK("http://141.218.60.56/~jnz1568/getInfo.php?workbook=18_08.xlsx&amp;sheet=U0&amp;row=5636&amp;col=7&amp;number=0.0181&amp;sourceID=14","0.0181")</f>
        <v>0.0181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HYPERLINK("http://141.218.60.56/~jnz1568/getInfo.php?workbook=18_08.xlsx&amp;sheet=U0&amp;row=5637&amp;col=6&amp;number=4.3&amp;sourceID=14","4.3")</f>
        <v>4.3</v>
      </c>
      <c r="G5637" s="4" t="str">
        <f>HYPERLINK("http://141.218.60.56/~jnz1568/getInfo.php?workbook=18_08.xlsx&amp;sheet=U0&amp;row=5637&amp;col=7&amp;number=0.0181&amp;sourceID=14","0.0181")</f>
        <v>0.0181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HYPERLINK("http://141.218.60.56/~jnz1568/getInfo.php?workbook=18_08.xlsx&amp;sheet=U0&amp;row=5638&amp;col=6&amp;number=4.4&amp;sourceID=14","4.4")</f>
        <v>4.4</v>
      </c>
      <c r="G5638" s="4" t="str">
        <f>HYPERLINK("http://141.218.60.56/~jnz1568/getInfo.php?workbook=18_08.xlsx&amp;sheet=U0&amp;row=5638&amp;col=7&amp;number=0.0181&amp;sourceID=14","0.0181")</f>
        <v>0.0181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HYPERLINK("http://141.218.60.56/~jnz1568/getInfo.php?workbook=18_08.xlsx&amp;sheet=U0&amp;row=5639&amp;col=6&amp;number=4.5&amp;sourceID=14","4.5")</f>
        <v>4.5</v>
      </c>
      <c r="G5639" s="4" t="str">
        <f>HYPERLINK("http://141.218.60.56/~jnz1568/getInfo.php?workbook=18_08.xlsx&amp;sheet=U0&amp;row=5639&amp;col=7&amp;number=0.0181&amp;sourceID=14","0.0181")</f>
        <v>0.0181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HYPERLINK("http://141.218.60.56/~jnz1568/getInfo.php?workbook=18_08.xlsx&amp;sheet=U0&amp;row=5640&amp;col=6&amp;number=4.6&amp;sourceID=14","4.6")</f>
        <v>4.6</v>
      </c>
      <c r="G5640" s="4" t="str">
        <f>HYPERLINK("http://141.218.60.56/~jnz1568/getInfo.php?workbook=18_08.xlsx&amp;sheet=U0&amp;row=5640&amp;col=7&amp;number=0.0181&amp;sourceID=14","0.0181")</f>
        <v>0.0181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HYPERLINK("http://141.218.60.56/~jnz1568/getInfo.php?workbook=18_08.xlsx&amp;sheet=U0&amp;row=5641&amp;col=6&amp;number=4.7&amp;sourceID=14","4.7")</f>
        <v>4.7</v>
      </c>
      <c r="G5641" s="4" t="str">
        <f>HYPERLINK("http://141.218.60.56/~jnz1568/getInfo.php?workbook=18_08.xlsx&amp;sheet=U0&amp;row=5641&amp;col=7&amp;number=0.0181&amp;sourceID=14","0.0181")</f>
        <v>0.0181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HYPERLINK("http://141.218.60.56/~jnz1568/getInfo.php?workbook=18_08.xlsx&amp;sheet=U0&amp;row=5642&amp;col=6&amp;number=4.8&amp;sourceID=14","4.8")</f>
        <v>4.8</v>
      </c>
      <c r="G5642" s="4" t="str">
        <f>HYPERLINK("http://141.218.60.56/~jnz1568/getInfo.php?workbook=18_08.xlsx&amp;sheet=U0&amp;row=5642&amp;col=7&amp;number=0.0182&amp;sourceID=14","0.0182")</f>
        <v>0.0182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HYPERLINK("http://141.218.60.56/~jnz1568/getInfo.php?workbook=18_08.xlsx&amp;sheet=U0&amp;row=5643&amp;col=6&amp;number=4.9&amp;sourceID=14","4.9")</f>
        <v>4.9</v>
      </c>
      <c r="G5643" s="4" t="str">
        <f>HYPERLINK("http://141.218.60.56/~jnz1568/getInfo.php?workbook=18_08.xlsx&amp;sheet=U0&amp;row=5643&amp;col=7&amp;number=0.0182&amp;sourceID=14","0.0182")</f>
        <v>0.0182</v>
      </c>
    </row>
    <row r="5644" spans="1:7">
      <c r="A5644" s="3">
        <v>18</v>
      </c>
      <c r="B5644" s="3">
        <v>8</v>
      </c>
      <c r="C5644" s="3" t="s">
        <v>72</v>
      </c>
      <c r="D5644" s="3">
        <v>5</v>
      </c>
      <c r="E5644" s="3">
        <v>1</v>
      </c>
      <c r="F5644" s="4" t="str">
        <f>HYPERLINK("http://141.218.60.56/~jnz1568/getInfo.php?workbook=18_08.xlsx&amp;sheet=U0&amp;row=5644&amp;col=6&amp;number=3&amp;sourceID=14","3")</f>
        <v>3</v>
      </c>
      <c r="G5644" s="4" t="str">
        <f>HYPERLINK("http://141.218.60.56/~jnz1568/getInfo.php?workbook=18_08.xlsx&amp;sheet=U0&amp;row=5644&amp;col=7&amp;number=0.00142&amp;sourceID=14","0.00142")</f>
        <v>0.00142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HYPERLINK("http://141.218.60.56/~jnz1568/getInfo.php?workbook=18_08.xlsx&amp;sheet=U0&amp;row=5645&amp;col=6&amp;number=3.1&amp;sourceID=14","3.1")</f>
        <v>3.1</v>
      </c>
      <c r="G5645" s="4" t="str">
        <f>HYPERLINK("http://141.218.60.56/~jnz1568/getInfo.php?workbook=18_08.xlsx&amp;sheet=U0&amp;row=5645&amp;col=7&amp;number=0.00142&amp;sourceID=14","0.00142")</f>
        <v>0.00142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HYPERLINK("http://141.218.60.56/~jnz1568/getInfo.php?workbook=18_08.xlsx&amp;sheet=U0&amp;row=5646&amp;col=6&amp;number=3.2&amp;sourceID=14","3.2")</f>
        <v>3.2</v>
      </c>
      <c r="G5646" s="4" t="str">
        <f>HYPERLINK("http://141.218.60.56/~jnz1568/getInfo.php?workbook=18_08.xlsx&amp;sheet=U0&amp;row=5646&amp;col=7&amp;number=0.00142&amp;sourceID=14","0.00142")</f>
        <v>0.00142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HYPERLINK("http://141.218.60.56/~jnz1568/getInfo.php?workbook=18_08.xlsx&amp;sheet=U0&amp;row=5647&amp;col=6&amp;number=3.3&amp;sourceID=14","3.3")</f>
        <v>3.3</v>
      </c>
      <c r="G5647" s="4" t="str">
        <f>HYPERLINK("http://141.218.60.56/~jnz1568/getInfo.php?workbook=18_08.xlsx&amp;sheet=U0&amp;row=5647&amp;col=7&amp;number=0.00142&amp;sourceID=14","0.00142")</f>
        <v>0.00142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HYPERLINK("http://141.218.60.56/~jnz1568/getInfo.php?workbook=18_08.xlsx&amp;sheet=U0&amp;row=5648&amp;col=6&amp;number=3.4&amp;sourceID=14","3.4")</f>
        <v>3.4</v>
      </c>
      <c r="G5648" s="4" t="str">
        <f>HYPERLINK("http://141.218.60.56/~jnz1568/getInfo.php?workbook=18_08.xlsx&amp;sheet=U0&amp;row=5648&amp;col=7&amp;number=0.00142&amp;sourceID=14","0.00142")</f>
        <v>0.00142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HYPERLINK("http://141.218.60.56/~jnz1568/getInfo.php?workbook=18_08.xlsx&amp;sheet=U0&amp;row=5649&amp;col=6&amp;number=3.5&amp;sourceID=14","3.5")</f>
        <v>3.5</v>
      </c>
      <c r="G5649" s="4" t="str">
        <f>HYPERLINK("http://141.218.60.56/~jnz1568/getInfo.php?workbook=18_08.xlsx&amp;sheet=U0&amp;row=5649&amp;col=7&amp;number=0.00142&amp;sourceID=14","0.00142")</f>
        <v>0.00142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HYPERLINK("http://141.218.60.56/~jnz1568/getInfo.php?workbook=18_08.xlsx&amp;sheet=U0&amp;row=5650&amp;col=6&amp;number=3.6&amp;sourceID=14","3.6")</f>
        <v>3.6</v>
      </c>
      <c r="G5650" s="4" t="str">
        <f>HYPERLINK("http://141.218.60.56/~jnz1568/getInfo.php?workbook=18_08.xlsx&amp;sheet=U0&amp;row=5650&amp;col=7&amp;number=0.00142&amp;sourceID=14","0.00142")</f>
        <v>0.00142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HYPERLINK("http://141.218.60.56/~jnz1568/getInfo.php?workbook=18_08.xlsx&amp;sheet=U0&amp;row=5651&amp;col=6&amp;number=3.7&amp;sourceID=14","3.7")</f>
        <v>3.7</v>
      </c>
      <c r="G5651" s="4" t="str">
        <f>HYPERLINK("http://141.218.60.56/~jnz1568/getInfo.php?workbook=18_08.xlsx&amp;sheet=U0&amp;row=5651&amp;col=7&amp;number=0.00142&amp;sourceID=14","0.00142")</f>
        <v>0.00142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HYPERLINK("http://141.218.60.56/~jnz1568/getInfo.php?workbook=18_08.xlsx&amp;sheet=U0&amp;row=5652&amp;col=6&amp;number=3.8&amp;sourceID=14","3.8")</f>
        <v>3.8</v>
      </c>
      <c r="G5652" s="4" t="str">
        <f>HYPERLINK("http://141.218.60.56/~jnz1568/getInfo.php?workbook=18_08.xlsx&amp;sheet=U0&amp;row=5652&amp;col=7&amp;number=0.00142&amp;sourceID=14","0.00142")</f>
        <v>0.00142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HYPERLINK("http://141.218.60.56/~jnz1568/getInfo.php?workbook=18_08.xlsx&amp;sheet=U0&amp;row=5653&amp;col=6&amp;number=3.9&amp;sourceID=14","3.9")</f>
        <v>3.9</v>
      </c>
      <c r="G5653" s="4" t="str">
        <f>HYPERLINK("http://141.218.60.56/~jnz1568/getInfo.php?workbook=18_08.xlsx&amp;sheet=U0&amp;row=5653&amp;col=7&amp;number=0.00142&amp;sourceID=14","0.00142")</f>
        <v>0.00142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HYPERLINK("http://141.218.60.56/~jnz1568/getInfo.php?workbook=18_08.xlsx&amp;sheet=U0&amp;row=5654&amp;col=6&amp;number=4&amp;sourceID=14","4")</f>
        <v>4</v>
      </c>
      <c r="G5654" s="4" t="str">
        <f>HYPERLINK("http://141.218.60.56/~jnz1568/getInfo.php?workbook=18_08.xlsx&amp;sheet=U0&amp;row=5654&amp;col=7&amp;number=0.00142&amp;sourceID=14","0.00142")</f>
        <v>0.00142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HYPERLINK("http://141.218.60.56/~jnz1568/getInfo.php?workbook=18_08.xlsx&amp;sheet=U0&amp;row=5655&amp;col=6&amp;number=4.1&amp;sourceID=14","4.1")</f>
        <v>4.1</v>
      </c>
      <c r="G5655" s="4" t="str">
        <f>HYPERLINK("http://141.218.60.56/~jnz1568/getInfo.php?workbook=18_08.xlsx&amp;sheet=U0&amp;row=5655&amp;col=7&amp;number=0.00142&amp;sourceID=14","0.00142")</f>
        <v>0.00142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HYPERLINK("http://141.218.60.56/~jnz1568/getInfo.php?workbook=18_08.xlsx&amp;sheet=U0&amp;row=5656&amp;col=6&amp;number=4.2&amp;sourceID=14","4.2")</f>
        <v>4.2</v>
      </c>
      <c r="G5656" s="4" t="str">
        <f>HYPERLINK("http://141.218.60.56/~jnz1568/getInfo.php?workbook=18_08.xlsx&amp;sheet=U0&amp;row=5656&amp;col=7&amp;number=0.00142&amp;sourceID=14","0.00142")</f>
        <v>0.00142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HYPERLINK("http://141.218.60.56/~jnz1568/getInfo.php?workbook=18_08.xlsx&amp;sheet=U0&amp;row=5657&amp;col=6&amp;number=4.3&amp;sourceID=14","4.3")</f>
        <v>4.3</v>
      </c>
      <c r="G5657" s="4" t="str">
        <f>HYPERLINK("http://141.218.60.56/~jnz1568/getInfo.php?workbook=18_08.xlsx&amp;sheet=U0&amp;row=5657&amp;col=7&amp;number=0.00142&amp;sourceID=14","0.00142")</f>
        <v>0.00142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HYPERLINK("http://141.218.60.56/~jnz1568/getInfo.php?workbook=18_08.xlsx&amp;sheet=U0&amp;row=5658&amp;col=6&amp;number=4.4&amp;sourceID=14","4.4")</f>
        <v>4.4</v>
      </c>
      <c r="G5658" s="4" t="str">
        <f>HYPERLINK("http://141.218.60.56/~jnz1568/getInfo.php?workbook=18_08.xlsx&amp;sheet=U0&amp;row=5658&amp;col=7&amp;number=0.00141&amp;sourceID=14","0.00141")</f>
        <v>0.00141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HYPERLINK("http://141.218.60.56/~jnz1568/getInfo.php?workbook=18_08.xlsx&amp;sheet=U0&amp;row=5659&amp;col=6&amp;number=4.5&amp;sourceID=14","4.5")</f>
        <v>4.5</v>
      </c>
      <c r="G5659" s="4" t="str">
        <f>HYPERLINK("http://141.218.60.56/~jnz1568/getInfo.php?workbook=18_08.xlsx&amp;sheet=U0&amp;row=5659&amp;col=7&amp;number=0.00141&amp;sourceID=14","0.00141")</f>
        <v>0.00141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HYPERLINK("http://141.218.60.56/~jnz1568/getInfo.php?workbook=18_08.xlsx&amp;sheet=U0&amp;row=5660&amp;col=6&amp;number=4.6&amp;sourceID=14","4.6")</f>
        <v>4.6</v>
      </c>
      <c r="G5660" s="4" t="str">
        <f>HYPERLINK("http://141.218.60.56/~jnz1568/getInfo.php?workbook=18_08.xlsx&amp;sheet=U0&amp;row=5660&amp;col=7&amp;number=0.00141&amp;sourceID=14","0.00141")</f>
        <v>0.00141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HYPERLINK("http://141.218.60.56/~jnz1568/getInfo.php?workbook=18_08.xlsx&amp;sheet=U0&amp;row=5661&amp;col=6&amp;number=4.7&amp;sourceID=14","4.7")</f>
        <v>4.7</v>
      </c>
      <c r="G5661" s="4" t="str">
        <f>HYPERLINK("http://141.218.60.56/~jnz1568/getInfo.php?workbook=18_08.xlsx&amp;sheet=U0&amp;row=5661&amp;col=7&amp;number=0.00141&amp;sourceID=14","0.00141")</f>
        <v>0.00141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HYPERLINK("http://141.218.60.56/~jnz1568/getInfo.php?workbook=18_08.xlsx&amp;sheet=U0&amp;row=5662&amp;col=6&amp;number=4.8&amp;sourceID=14","4.8")</f>
        <v>4.8</v>
      </c>
      <c r="G5662" s="4" t="str">
        <f>HYPERLINK("http://141.218.60.56/~jnz1568/getInfo.php?workbook=18_08.xlsx&amp;sheet=U0&amp;row=5662&amp;col=7&amp;number=0.0014&amp;sourceID=14","0.0014")</f>
        <v>0.0014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HYPERLINK("http://141.218.60.56/~jnz1568/getInfo.php?workbook=18_08.xlsx&amp;sheet=U0&amp;row=5663&amp;col=6&amp;number=4.9&amp;sourceID=14","4.9")</f>
        <v>4.9</v>
      </c>
      <c r="G5663" s="4" t="str">
        <f>HYPERLINK("http://141.218.60.56/~jnz1568/getInfo.php?workbook=18_08.xlsx&amp;sheet=U0&amp;row=5663&amp;col=7&amp;number=0.00139&amp;sourceID=14","0.00139")</f>
        <v>0.00139</v>
      </c>
    </row>
    <row r="5664" spans="1:7">
      <c r="A5664" s="3">
        <v>18</v>
      </c>
      <c r="B5664" s="3">
        <v>8</v>
      </c>
      <c r="C5664" s="3" t="s">
        <v>72</v>
      </c>
      <c r="D5664" s="3">
        <v>6</v>
      </c>
      <c r="E5664" s="3">
        <v>1</v>
      </c>
      <c r="F5664" s="4" t="str">
        <f>HYPERLINK("http://141.218.60.56/~jnz1568/getInfo.php?workbook=18_08.xlsx&amp;sheet=U0&amp;row=5664&amp;col=6&amp;number=3&amp;sourceID=14","3")</f>
        <v>3</v>
      </c>
      <c r="G5664" s="4" t="str">
        <f>HYPERLINK("http://141.218.60.56/~jnz1568/getInfo.php?workbook=18_08.xlsx&amp;sheet=U0&amp;row=5664&amp;col=7&amp;number=0.00396&amp;sourceID=14","0.00396")</f>
        <v>0.00396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HYPERLINK("http://141.218.60.56/~jnz1568/getInfo.php?workbook=18_08.xlsx&amp;sheet=U0&amp;row=5665&amp;col=6&amp;number=3.1&amp;sourceID=14","3.1")</f>
        <v>3.1</v>
      </c>
      <c r="G5665" s="4" t="str">
        <f>HYPERLINK("http://141.218.60.56/~jnz1568/getInfo.php?workbook=18_08.xlsx&amp;sheet=U0&amp;row=5665&amp;col=7&amp;number=0.00396&amp;sourceID=14","0.00396")</f>
        <v>0.00396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HYPERLINK("http://141.218.60.56/~jnz1568/getInfo.php?workbook=18_08.xlsx&amp;sheet=U0&amp;row=5666&amp;col=6&amp;number=3.2&amp;sourceID=14","3.2")</f>
        <v>3.2</v>
      </c>
      <c r="G5666" s="4" t="str">
        <f>HYPERLINK("http://141.218.60.56/~jnz1568/getInfo.php?workbook=18_08.xlsx&amp;sheet=U0&amp;row=5666&amp;col=7&amp;number=0.00396&amp;sourceID=14","0.00396")</f>
        <v>0.00396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HYPERLINK("http://141.218.60.56/~jnz1568/getInfo.php?workbook=18_08.xlsx&amp;sheet=U0&amp;row=5667&amp;col=6&amp;number=3.3&amp;sourceID=14","3.3")</f>
        <v>3.3</v>
      </c>
      <c r="G5667" s="4" t="str">
        <f>HYPERLINK("http://141.218.60.56/~jnz1568/getInfo.php?workbook=18_08.xlsx&amp;sheet=U0&amp;row=5667&amp;col=7&amp;number=0.00396&amp;sourceID=14","0.00396")</f>
        <v>0.00396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HYPERLINK("http://141.218.60.56/~jnz1568/getInfo.php?workbook=18_08.xlsx&amp;sheet=U0&amp;row=5668&amp;col=6&amp;number=3.4&amp;sourceID=14","3.4")</f>
        <v>3.4</v>
      </c>
      <c r="G5668" s="4" t="str">
        <f>HYPERLINK("http://141.218.60.56/~jnz1568/getInfo.php?workbook=18_08.xlsx&amp;sheet=U0&amp;row=5668&amp;col=7&amp;number=0.00396&amp;sourceID=14","0.00396")</f>
        <v>0.00396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HYPERLINK("http://141.218.60.56/~jnz1568/getInfo.php?workbook=18_08.xlsx&amp;sheet=U0&amp;row=5669&amp;col=6&amp;number=3.5&amp;sourceID=14","3.5")</f>
        <v>3.5</v>
      </c>
      <c r="G5669" s="4" t="str">
        <f>HYPERLINK("http://141.218.60.56/~jnz1568/getInfo.php?workbook=18_08.xlsx&amp;sheet=U0&amp;row=5669&amp;col=7&amp;number=0.00396&amp;sourceID=14","0.00396")</f>
        <v>0.00396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HYPERLINK("http://141.218.60.56/~jnz1568/getInfo.php?workbook=18_08.xlsx&amp;sheet=U0&amp;row=5670&amp;col=6&amp;number=3.6&amp;sourceID=14","3.6")</f>
        <v>3.6</v>
      </c>
      <c r="G5670" s="4" t="str">
        <f>HYPERLINK("http://141.218.60.56/~jnz1568/getInfo.php?workbook=18_08.xlsx&amp;sheet=U0&amp;row=5670&amp;col=7&amp;number=0.00396&amp;sourceID=14","0.00396")</f>
        <v>0.00396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HYPERLINK("http://141.218.60.56/~jnz1568/getInfo.php?workbook=18_08.xlsx&amp;sheet=U0&amp;row=5671&amp;col=6&amp;number=3.7&amp;sourceID=14","3.7")</f>
        <v>3.7</v>
      </c>
      <c r="G5671" s="4" t="str">
        <f>HYPERLINK("http://141.218.60.56/~jnz1568/getInfo.php?workbook=18_08.xlsx&amp;sheet=U0&amp;row=5671&amp;col=7&amp;number=0.00396&amp;sourceID=14","0.00396")</f>
        <v>0.00396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HYPERLINK("http://141.218.60.56/~jnz1568/getInfo.php?workbook=18_08.xlsx&amp;sheet=U0&amp;row=5672&amp;col=6&amp;number=3.8&amp;sourceID=14","3.8")</f>
        <v>3.8</v>
      </c>
      <c r="G5672" s="4" t="str">
        <f>HYPERLINK("http://141.218.60.56/~jnz1568/getInfo.php?workbook=18_08.xlsx&amp;sheet=U0&amp;row=5672&amp;col=7&amp;number=0.00395&amp;sourceID=14","0.00395")</f>
        <v>0.00395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HYPERLINK("http://141.218.60.56/~jnz1568/getInfo.php?workbook=18_08.xlsx&amp;sheet=U0&amp;row=5673&amp;col=6&amp;number=3.9&amp;sourceID=14","3.9")</f>
        <v>3.9</v>
      </c>
      <c r="G5673" s="4" t="str">
        <f>HYPERLINK("http://141.218.60.56/~jnz1568/getInfo.php?workbook=18_08.xlsx&amp;sheet=U0&amp;row=5673&amp;col=7&amp;number=0.00395&amp;sourceID=14","0.00395")</f>
        <v>0.00395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HYPERLINK("http://141.218.60.56/~jnz1568/getInfo.php?workbook=18_08.xlsx&amp;sheet=U0&amp;row=5674&amp;col=6&amp;number=4&amp;sourceID=14","4")</f>
        <v>4</v>
      </c>
      <c r="G5674" s="4" t="str">
        <f>HYPERLINK("http://141.218.60.56/~jnz1568/getInfo.php?workbook=18_08.xlsx&amp;sheet=U0&amp;row=5674&amp;col=7&amp;number=0.00395&amp;sourceID=14","0.00395")</f>
        <v>0.00395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HYPERLINK("http://141.218.60.56/~jnz1568/getInfo.php?workbook=18_08.xlsx&amp;sheet=U0&amp;row=5675&amp;col=6&amp;number=4.1&amp;sourceID=14","4.1")</f>
        <v>4.1</v>
      </c>
      <c r="G5675" s="4" t="str">
        <f>HYPERLINK("http://141.218.60.56/~jnz1568/getInfo.php?workbook=18_08.xlsx&amp;sheet=U0&amp;row=5675&amp;col=7&amp;number=0.00395&amp;sourceID=14","0.00395")</f>
        <v>0.00395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HYPERLINK("http://141.218.60.56/~jnz1568/getInfo.php?workbook=18_08.xlsx&amp;sheet=U0&amp;row=5676&amp;col=6&amp;number=4.2&amp;sourceID=14","4.2")</f>
        <v>4.2</v>
      </c>
      <c r="G5676" s="4" t="str">
        <f>HYPERLINK("http://141.218.60.56/~jnz1568/getInfo.php?workbook=18_08.xlsx&amp;sheet=U0&amp;row=5676&amp;col=7&amp;number=0.00395&amp;sourceID=14","0.00395")</f>
        <v>0.00395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HYPERLINK("http://141.218.60.56/~jnz1568/getInfo.php?workbook=18_08.xlsx&amp;sheet=U0&amp;row=5677&amp;col=6&amp;number=4.3&amp;sourceID=14","4.3")</f>
        <v>4.3</v>
      </c>
      <c r="G5677" s="4" t="str">
        <f>HYPERLINK("http://141.218.60.56/~jnz1568/getInfo.php?workbook=18_08.xlsx&amp;sheet=U0&amp;row=5677&amp;col=7&amp;number=0.00395&amp;sourceID=14","0.00395")</f>
        <v>0.00395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HYPERLINK("http://141.218.60.56/~jnz1568/getInfo.php?workbook=18_08.xlsx&amp;sheet=U0&amp;row=5678&amp;col=6&amp;number=4.4&amp;sourceID=14","4.4")</f>
        <v>4.4</v>
      </c>
      <c r="G5678" s="4" t="str">
        <f>HYPERLINK("http://141.218.60.56/~jnz1568/getInfo.php?workbook=18_08.xlsx&amp;sheet=U0&amp;row=5678&amp;col=7&amp;number=0.00394&amp;sourceID=14","0.00394")</f>
        <v>0.00394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HYPERLINK("http://141.218.60.56/~jnz1568/getInfo.php?workbook=18_08.xlsx&amp;sheet=U0&amp;row=5679&amp;col=6&amp;number=4.5&amp;sourceID=14","4.5")</f>
        <v>4.5</v>
      </c>
      <c r="G5679" s="4" t="str">
        <f>HYPERLINK("http://141.218.60.56/~jnz1568/getInfo.php?workbook=18_08.xlsx&amp;sheet=U0&amp;row=5679&amp;col=7&amp;number=0.00394&amp;sourceID=14","0.00394")</f>
        <v>0.00394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HYPERLINK("http://141.218.60.56/~jnz1568/getInfo.php?workbook=18_08.xlsx&amp;sheet=U0&amp;row=5680&amp;col=6&amp;number=4.6&amp;sourceID=14","4.6")</f>
        <v>4.6</v>
      </c>
      <c r="G5680" s="4" t="str">
        <f>HYPERLINK("http://141.218.60.56/~jnz1568/getInfo.php?workbook=18_08.xlsx&amp;sheet=U0&amp;row=5680&amp;col=7&amp;number=0.00393&amp;sourceID=14","0.00393")</f>
        <v>0.00393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HYPERLINK("http://141.218.60.56/~jnz1568/getInfo.php?workbook=18_08.xlsx&amp;sheet=U0&amp;row=5681&amp;col=6&amp;number=4.7&amp;sourceID=14","4.7")</f>
        <v>4.7</v>
      </c>
      <c r="G5681" s="4" t="str">
        <f>HYPERLINK("http://141.218.60.56/~jnz1568/getInfo.php?workbook=18_08.xlsx&amp;sheet=U0&amp;row=5681&amp;col=7&amp;number=0.00393&amp;sourceID=14","0.00393")</f>
        <v>0.00393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HYPERLINK("http://141.218.60.56/~jnz1568/getInfo.php?workbook=18_08.xlsx&amp;sheet=U0&amp;row=5682&amp;col=6&amp;number=4.8&amp;sourceID=14","4.8")</f>
        <v>4.8</v>
      </c>
      <c r="G5682" s="4" t="str">
        <f>HYPERLINK("http://141.218.60.56/~jnz1568/getInfo.php?workbook=18_08.xlsx&amp;sheet=U0&amp;row=5682&amp;col=7&amp;number=0.00392&amp;sourceID=14","0.00392")</f>
        <v>0.00392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HYPERLINK("http://141.218.60.56/~jnz1568/getInfo.php?workbook=18_08.xlsx&amp;sheet=U0&amp;row=5683&amp;col=6&amp;number=4.9&amp;sourceID=14","4.9")</f>
        <v>4.9</v>
      </c>
      <c r="G5683" s="4" t="str">
        <f>HYPERLINK("http://141.218.60.56/~jnz1568/getInfo.php?workbook=18_08.xlsx&amp;sheet=U0&amp;row=5683&amp;col=7&amp;number=0.00391&amp;sourceID=14","0.00391")</f>
        <v>0.00391</v>
      </c>
    </row>
    <row r="5684" spans="1:7">
      <c r="A5684" s="3">
        <v>18</v>
      </c>
      <c r="B5684" s="3">
        <v>8</v>
      </c>
      <c r="C5684" s="3" t="s">
        <v>72</v>
      </c>
      <c r="D5684" s="3">
        <v>7</v>
      </c>
      <c r="E5684" s="3">
        <v>1</v>
      </c>
      <c r="F5684" s="4" t="str">
        <f>HYPERLINK("http://141.218.60.56/~jnz1568/getInfo.php?workbook=18_08.xlsx&amp;sheet=U0&amp;row=5684&amp;col=6&amp;number=3&amp;sourceID=14","3")</f>
        <v>3</v>
      </c>
      <c r="G5684" s="4" t="str">
        <f>HYPERLINK("http://141.218.60.56/~jnz1568/getInfo.php?workbook=18_08.xlsx&amp;sheet=U0&amp;row=5684&amp;col=7&amp;number=0.0136&amp;sourceID=14","0.0136")</f>
        <v>0.0136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HYPERLINK("http://141.218.60.56/~jnz1568/getInfo.php?workbook=18_08.xlsx&amp;sheet=U0&amp;row=5685&amp;col=6&amp;number=3.1&amp;sourceID=14","3.1")</f>
        <v>3.1</v>
      </c>
      <c r="G5685" s="4" t="str">
        <f>HYPERLINK("http://141.218.60.56/~jnz1568/getInfo.php?workbook=18_08.xlsx&amp;sheet=U0&amp;row=5685&amp;col=7&amp;number=0.0136&amp;sourceID=14","0.0136")</f>
        <v>0.0136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HYPERLINK("http://141.218.60.56/~jnz1568/getInfo.php?workbook=18_08.xlsx&amp;sheet=U0&amp;row=5686&amp;col=6&amp;number=3.2&amp;sourceID=14","3.2")</f>
        <v>3.2</v>
      </c>
      <c r="G5686" s="4" t="str">
        <f>HYPERLINK("http://141.218.60.56/~jnz1568/getInfo.php?workbook=18_08.xlsx&amp;sheet=U0&amp;row=5686&amp;col=7&amp;number=0.0136&amp;sourceID=14","0.0136")</f>
        <v>0.0136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HYPERLINK("http://141.218.60.56/~jnz1568/getInfo.php?workbook=18_08.xlsx&amp;sheet=U0&amp;row=5687&amp;col=6&amp;number=3.3&amp;sourceID=14","3.3")</f>
        <v>3.3</v>
      </c>
      <c r="G5687" s="4" t="str">
        <f>HYPERLINK("http://141.218.60.56/~jnz1568/getInfo.php?workbook=18_08.xlsx&amp;sheet=U0&amp;row=5687&amp;col=7&amp;number=0.0136&amp;sourceID=14","0.0136")</f>
        <v>0.0136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HYPERLINK("http://141.218.60.56/~jnz1568/getInfo.php?workbook=18_08.xlsx&amp;sheet=U0&amp;row=5688&amp;col=6&amp;number=3.4&amp;sourceID=14","3.4")</f>
        <v>3.4</v>
      </c>
      <c r="G5688" s="4" t="str">
        <f>HYPERLINK("http://141.218.60.56/~jnz1568/getInfo.php?workbook=18_08.xlsx&amp;sheet=U0&amp;row=5688&amp;col=7&amp;number=0.0136&amp;sourceID=14","0.0136")</f>
        <v>0.0136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HYPERLINK("http://141.218.60.56/~jnz1568/getInfo.php?workbook=18_08.xlsx&amp;sheet=U0&amp;row=5689&amp;col=6&amp;number=3.5&amp;sourceID=14","3.5")</f>
        <v>3.5</v>
      </c>
      <c r="G5689" s="4" t="str">
        <f>HYPERLINK("http://141.218.60.56/~jnz1568/getInfo.php?workbook=18_08.xlsx&amp;sheet=U0&amp;row=5689&amp;col=7&amp;number=0.0136&amp;sourceID=14","0.0136")</f>
        <v>0.0136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HYPERLINK("http://141.218.60.56/~jnz1568/getInfo.php?workbook=18_08.xlsx&amp;sheet=U0&amp;row=5690&amp;col=6&amp;number=3.6&amp;sourceID=14","3.6")</f>
        <v>3.6</v>
      </c>
      <c r="G5690" s="4" t="str">
        <f>HYPERLINK("http://141.218.60.56/~jnz1568/getInfo.php?workbook=18_08.xlsx&amp;sheet=U0&amp;row=5690&amp;col=7&amp;number=0.0136&amp;sourceID=14","0.0136")</f>
        <v>0.0136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HYPERLINK("http://141.218.60.56/~jnz1568/getInfo.php?workbook=18_08.xlsx&amp;sheet=U0&amp;row=5691&amp;col=6&amp;number=3.7&amp;sourceID=14","3.7")</f>
        <v>3.7</v>
      </c>
      <c r="G5691" s="4" t="str">
        <f>HYPERLINK("http://141.218.60.56/~jnz1568/getInfo.php?workbook=18_08.xlsx&amp;sheet=U0&amp;row=5691&amp;col=7&amp;number=0.0136&amp;sourceID=14","0.0136")</f>
        <v>0.0136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HYPERLINK("http://141.218.60.56/~jnz1568/getInfo.php?workbook=18_08.xlsx&amp;sheet=U0&amp;row=5692&amp;col=6&amp;number=3.8&amp;sourceID=14","3.8")</f>
        <v>3.8</v>
      </c>
      <c r="G5692" s="4" t="str">
        <f>HYPERLINK("http://141.218.60.56/~jnz1568/getInfo.php?workbook=18_08.xlsx&amp;sheet=U0&amp;row=5692&amp;col=7&amp;number=0.0136&amp;sourceID=14","0.0136")</f>
        <v>0.0136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HYPERLINK("http://141.218.60.56/~jnz1568/getInfo.php?workbook=18_08.xlsx&amp;sheet=U0&amp;row=5693&amp;col=6&amp;number=3.9&amp;sourceID=14","3.9")</f>
        <v>3.9</v>
      </c>
      <c r="G5693" s="4" t="str">
        <f>HYPERLINK("http://141.218.60.56/~jnz1568/getInfo.php?workbook=18_08.xlsx&amp;sheet=U0&amp;row=5693&amp;col=7&amp;number=0.0136&amp;sourceID=14","0.0136")</f>
        <v>0.0136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HYPERLINK("http://141.218.60.56/~jnz1568/getInfo.php?workbook=18_08.xlsx&amp;sheet=U0&amp;row=5694&amp;col=6&amp;number=4&amp;sourceID=14","4")</f>
        <v>4</v>
      </c>
      <c r="G5694" s="4" t="str">
        <f>HYPERLINK("http://141.218.60.56/~jnz1568/getInfo.php?workbook=18_08.xlsx&amp;sheet=U0&amp;row=5694&amp;col=7&amp;number=0.0136&amp;sourceID=14","0.0136")</f>
        <v>0.0136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HYPERLINK("http://141.218.60.56/~jnz1568/getInfo.php?workbook=18_08.xlsx&amp;sheet=U0&amp;row=5695&amp;col=6&amp;number=4.1&amp;sourceID=14","4.1")</f>
        <v>4.1</v>
      </c>
      <c r="G5695" s="4" t="str">
        <f>HYPERLINK("http://141.218.60.56/~jnz1568/getInfo.php?workbook=18_08.xlsx&amp;sheet=U0&amp;row=5695&amp;col=7&amp;number=0.0136&amp;sourceID=14","0.0136")</f>
        <v>0.0136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HYPERLINK("http://141.218.60.56/~jnz1568/getInfo.php?workbook=18_08.xlsx&amp;sheet=U0&amp;row=5696&amp;col=6&amp;number=4.2&amp;sourceID=14","4.2")</f>
        <v>4.2</v>
      </c>
      <c r="G5696" s="4" t="str">
        <f>HYPERLINK("http://141.218.60.56/~jnz1568/getInfo.php?workbook=18_08.xlsx&amp;sheet=U0&amp;row=5696&amp;col=7&amp;number=0.0136&amp;sourceID=14","0.0136")</f>
        <v>0.0136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HYPERLINK("http://141.218.60.56/~jnz1568/getInfo.php?workbook=18_08.xlsx&amp;sheet=U0&amp;row=5697&amp;col=6&amp;number=4.3&amp;sourceID=14","4.3")</f>
        <v>4.3</v>
      </c>
      <c r="G5697" s="4" t="str">
        <f>HYPERLINK("http://141.218.60.56/~jnz1568/getInfo.php?workbook=18_08.xlsx&amp;sheet=U0&amp;row=5697&amp;col=7&amp;number=0.0136&amp;sourceID=14","0.0136")</f>
        <v>0.0136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HYPERLINK("http://141.218.60.56/~jnz1568/getInfo.php?workbook=18_08.xlsx&amp;sheet=U0&amp;row=5698&amp;col=6&amp;number=4.4&amp;sourceID=14","4.4")</f>
        <v>4.4</v>
      </c>
      <c r="G5698" s="4" t="str">
        <f>HYPERLINK("http://141.218.60.56/~jnz1568/getInfo.php?workbook=18_08.xlsx&amp;sheet=U0&amp;row=5698&amp;col=7&amp;number=0.0136&amp;sourceID=14","0.0136")</f>
        <v>0.0136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HYPERLINK("http://141.218.60.56/~jnz1568/getInfo.php?workbook=18_08.xlsx&amp;sheet=U0&amp;row=5699&amp;col=6&amp;number=4.5&amp;sourceID=14","4.5")</f>
        <v>4.5</v>
      </c>
      <c r="G5699" s="4" t="str">
        <f>HYPERLINK("http://141.218.60.56/~jnz1568/getInfo.php?workbook=18_08.xlsx&amp;sheet=U0&amp;row=5699&amp;col=7&amp;number=0.0136&amp;sourceID=14","0.0136")</f>
        <v>0.0136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HYPERLINK("http://141.218.60.56/~jnz1568/getInfo.php?workbook=18_08.xlsx&amp;sheet=U0&amp;row=5700&amp;col=6&amp;number=4.6&amp;sourceID=14","4.6")</f>
        <v>4.6</v>
      </c>
      <c r="G5700" s="4" t="str">
        <f>HYPERLINK("http://141.218.60.56/~jnz1568/getInfo.php?workbook=18_08.xlsx&amp;sheet=U0&amp;row=5700&amp;col=7&amp;number=0.0136&amp;sourceID=14","0.0136")</f>
        <v>0.0136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HYPERLINK("http://141.218.60.56/~jnz1568/getInfo.php?workbook=18_08.xlsx&amp;sheet=U0&amp;row=5701&amp;col=6&amp;number=4.7&amp;sourceID=14","4.7")</f>
        <v>4.7</v>
      </c>
      <c r="G5701" s="4" t="str">
        <f>HYPERLINK("http://141.218.60.56/~jnz1568/getInfo.php?workbook=18_08.xlsx&amp;sheet=U0&amp;row=5701&amp;col=7&amp;number=0.0136&amp;sourceID=14","0.0136")</f>
        <v>0.0136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HYPERLINK("http://141.218.60.56/~jnz1568/getInfo.php?workbook=18_08.xlsx&amp;sheet=U0&amp;row=5702&amp;col=6&amp;number=4.8&amp;sourceID=14","4.8")</f>
        <v>4.8</v>
      </c>
      <c r="G5702" s="4" t="str">
        <f>HYPERLINK("http://141.218.60.56/~jnz1568/getInfo.php?workbook=18_08.xlsx&amp;sheet=U0&amp;row=5702&amp;col=7&amp;number=0.0136&amp;sourceID=14","0.0136")</f>
        <v>0.0136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HYPERLINK("http://141.218.60.56/~jnz1568/getInfo.php?workbook=18_08.xlsx&amp;sheet=U0&amp;row=5703&amp;col=6&amp;number=4.9&amp;sourceID=14","4.9")</f>
        <v>4.9</v>
      </c>
      <c r="G5703" s="4" t="str">
        <f>HYPERLINK("http://141.218.60.56/~jnz1568/getInfo.php?workbook=18_08.xlsx&amp;sheet=U0&amp;row=5703&amp;col=7&amp;number=0.0136&amp;sourceID=14","0.0136")</f>
        <v>0.0136</v>
      </c>
    </row>
    <row r="5704" spans="1:7">
      <c r="A5704" s="3">
        <v>18</v>
      </c>
      <c r="B5704" s="3">
        <v>8</v>
      </c>
      <c r="C5704" s="3" t="s">
        <v>72</v>
      </c>
      <c r="D5704" s="3">
        <v>8</v>
      </c>
      <c r="E5704" s="3">
        <v>1</v>
      </c>
      <c r="F5704" s="4" t="str">
        <f>HYPERLINK("http://141.218.60.56/~jnz1568/getInfo.php?workbook=18_08.xlsx&amp;sheet=U0&amp;row=5704&amp;col=6&amp;number=3&amp;sourceID=14","3")</f>
        <v>3</v>
      </c>
      <c r="G5704" s="4" t="str">
        <f>HYPERLINK("http://141.218.60.56/~jnz1568/getInfo.php?workbook=18_08.xlsx&amp;sheet=U0&amp;row=5704&amp;col=7&amp;number=1.96e-05&amp;sourceID=14","1.96e-05")</f>
        <v>1.96e-05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HYPERLINK("http://141.218.60.56/~jnz1568/getInfo.php?workbook=18_08.xlsx&amp;sheet=U0&amp;row=5705&amp;col=6&amp;number=3.1&amp;sourceID=14","3.1")</f>
        <v>3.1</v>
      </c>
      <c r="G5705" s="4" t="str">
        <f>HYPERLINK("http://141.218.60.56/~jnz1568/getInfo.php?workbook=18_08.xlsx&amp;sheet=U0&amp;row=5705&amp;col=7&amp;number=1.96e-05&amp;sourceID=14","1.96e-05")</f>
        <v>1.96e-05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HYPERLINK("http://141.218.60.56/~jnz1568/getInfo.php?workbook=18_08.xlsx&amp;sheet=U0&amp;row=5706&amp;col=6&amp;number=3.2&amp;sourceID=14","3.2")</f>
        <v>3.2</v>
      </c>
      <c r="G5706" s="4" t="str">
        <f>HYPERLINK("http://141.218.60.56/~jnz1568/getInfo.php?workbook=18_08.xlsx&amp;sheet=U0&amp;row=5706&amp;col=7&amp;number=1.96e-05&amp;sourceID=14","1.96e-05")</f>
        <v>1.96e-05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HYPERLINK("http://141.218.60.56/~jnz1568/getInfo.php?workbook=18_08.xlsx&amp;sheet=U0&amp;row=5707&amp;col=6&amp;number=3.3&amp;sourceID=14","3.3")</f>
        <v>3.3</v>
      </c>
      <c r="G5707" s="4" t="str">
        <f>HYPERLINK("http://141.218.60.56/~jnz1568/getInfo.php?workbook=18_08.xlsx&amp;sheet=U0&amp;row=5707&amp;col=7&amp;number=1.96e-05&amp;sourceID=14","1.96e-05")</f>
        <v>1.96e-05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HYPERLINK("http://141.218.60.56/~jnz1568/getInfo.php?workbook=18_08.xlsx&amp;sheet=U0&amp;row=5708&amp;col=6&amp;number=3.4&amp;sourceID=14","3.4")</f>
        <v>3.4</v>
      </c>
      <c r="G5708" s="4" t="str">
        <f>HYPERLINK("http://141.218.60.56/~jnz1568/getInfo.php?workbook=18_08.xlsx&amp;sheet=U0&amp;row=5708&amp;col=7&amp;number=1.96e-05&amp;sourceID=14","1.96e-05")</f>
        <v>1.96e-05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HYPERLINK("http://141.218.60.56/~jnz1568/getInfo.php?workbook=18_08.xlsx&amp;sheet=U0&amp;row=5709&amp;col=6&amp;number=3.5&amp;sourceID=14","3.5")</f>
        <v>3.5</v>
      </c>
      <c r="G5709" s="4" t="str">
        <f>HYPERLINK("http://141.218.60.56/~jnz1568/getInfo.php?workbook=18_08.xlsx&amp;sheet=U0&amp;row=5709&amp;col=7&amp;number=1.96e-05&amp;sourceID=14","1.96e-05")</f>
        <v>1.96e-05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HYPERLINK("http://141.218.60.56/~jnz1568/getInfo.php?workbook=18_08.xlsx&amp;sheet=U0&amp;row=5710&amp;col=6&amp;number=3.6&amp;sourceID=14","3.6")</f>
        <v>3.6</v>
      </c>
      <c r="G5710" s="4" t="str">
        <f>HYPERLINK("http://141.218.60.56/~jnz1568/getInfo.php?workbook=18_08.xlsx&amp;sheet=U0&amp;row=5710&amp;col=7&amp;number=1.96e-05&amp;sourceID=14","1.96e-05")</f>
        <v>1.96e-05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HYPERLINK("http://141.218.60.56/~jnz1568/getInfo.php?workbook=18_08.xlsx&amp;sheet=U0&amp;row=5711&amp;col=6&amp;number=3.7&amp;sourceID=14","3.7")</f>
        <v>3.7</v>
      </c>
      <c r="G5711" s="4" t="str">
        <f>HYPERLINK("http://141.218.60.56/~jnz1568/getInfo.php?workbook=18_08.xlsx&amp;sheet=U0&amp;row=5711&amp;col=7&amp;number=1.95e-05&amp;sourceID=14","1.95e-05")</f>
        <v>1.95e-05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HYPERLINK("http://141.218.60.56/~jnz1568/getInfo.php?workbook=18_08.xlsx&amp;sheet=U0&amp;row=5712&amp;col=6&amp;number=3.8&amp;sourceID=14","3.8")</f>
        <v>3.8</v>
      </c>
      <c r="G5712" s="4" t="str">
        <f>HYPERLINK("http://141.218.60.56/~jnz1568/getInfo.php?workbook=18_08.xlsx&amp;sheet=U0&amp;row=5712&amp;col=7&amp;number=1.95e-05&amp;sourceID=14","1.95e-05")</f>
        <v>1.95e-05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HYPERLINK("http://141.218.60.56/~jnz1568/getInfo.php?workbook=18_08.xlsx&amp;sheet=U0&amp;row=5713&amp;col=6&amp;number=3.9&amp;sourceID=14","3.9")</f>
        <v>3.9</v>
      </c>
      <c r="G5713" s="4" t="str">
        <f>HYPERLINK("http://141.218.60.56/~jnz1568/getInfo.php?workbook=18_08.xlsx&amp;sheet=U0&amp;row=5713&amp;col=7&amp;number=1.95e-05&amp;sourceID=14","1.95e-05")</f>
        <v>1.95e-05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HYPERLINK("http://141.218.60.56/~jnz1568/getInfo.php?workbook=18_08.xlsx&amp;sheet=U0&amp;row=5714&amp;col=6&amp;number=4&amp;sourceID=14","4")</f>
        <v>4</v>
      </c>
      <c r="G5714" s="4" t="str">
        <f>HYPERLINK("http://141.218.60.56/~jnz1568/getInfo.php?workbook=18_08.xlsx&amp;sheet=U0&amp;row=5714&amp;col=7&amp;number=1.95e-05&amp;sourceID=14","1.95e-05")</f>
        <v>1.95e-05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HYPERLINK("http://141.218.60.56/~jnz1568/getInfo.php?workbook=18_08.xlsx&amp;sheet=U0&amp;row=5715&amp;col=6&amp;number=4.1&amp;sourceID=14","4.1")</f>
        <v>4.1</v>
      </c>
      <c r="G5715" s="4" t="str">
        <f>HYPERLINK("http://141.218.60.56/~jnz1568/getInfo.php?workbook=18_08.xlsx&amp;sheet=U0&amp;row=5715&amp;col=7&amp;number=1.95e-05&amp;sourceID=14","1.95e-05")</f>
        <v>1.95e-05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HYPERLINK("http://141.218.60.56/~jnz1568/getInfo.php?workbook=18_08.xlsx&amp;sheet=U0&amp;row=5716&amp;col=6&amp;number=4.2&amp;sourceID=14","4.2")</f>
        <v>4.2</v>
      </c>
      <c r="G5716" s="4" t="str">
        <f>HYPERLINK("http://141.218.60.56/~jnz1568/getInfo.php?workbook=18_08.xlsx&amp;sheet=U0&amp;row=5716&amp;col=7&amp;number=1.95e-05&amp;sourceID=14","1.95e-05")</f>
        <v>1.95e-05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HYPERLINK("http://141.218.60.56/~jnz1568/getInfo.php?workbook=18_08.xlsx&amp;sheet=U0&amp;row=5717&amp;col=6&amp;number=4.3&amp;sourceID=14","4.3")</f>
        <v>4.3</v>
      </c>
      <c r="G5717" s="4" t="str">
        <f>HYPERLINK("http://141.218.60.56/~jnz1568/getInfo.php?workbook=18_08.xlsx&amp;sheet=U0&amp;row=5717&amp;col=7&amp;number=1.95e-05&amp;sourceID=14","1.95e-05")</f>
        <v>1.95e-05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HYPERLINK("http://141.218.60.56/~jnz1568/getInfo.php?workbook=18_08.xlsx&amp;sheet=U0&amp;row=5718&amp;col=6&amp;number=4.4&amp;sourceID=14","4.4")</f>
        <v>4.4</v>
      </c>
      <c r="G5718" s="4" t="str">
        <f>HYPERLINK("http://141.218.60.56/~jnz1568/getInfo.php?workbook=18_08.xlsx&amp;sheet=U0&amp;row=5718&amp;col=7&amp;number=1.94e-05&amp;sourceID=14","1.94e-05")</f>
        <v>1.94e-05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HYPERLINK("http://141.218.60.56/~jnz1568/getInfo.php?workbook=18_08.xlsx&amp;sheet=U0&amp;row=5719&amp;col=6&amp;number=4.5&amp;sourceID=14","4.5")</f>
        <v>4.5</v>
      </c>
      <c r="G5719" s="4" t="str">
        <f>HYPERLINK("http://141.218.60.56/~jnz1568/getInfo.php?workbook=18_08.xlsx&amp;sheet=U0&amp;row=5719&amp;col=7&amp;number=1.94e-05&amp;sourceID=14","1.94e-05")</f>
        <v>1.94e-05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HYPERLINK("http://141.218.60.56/~jnz1568/getInfo.php?workbook=18_08.xlsx&amp;sheet=U0&amp;row=5720&amp;col=6&amp;number=4.6&amp;sourceID=14","4.6")</f>
        <v>4.6</v>
      </c>
      <c r="G5720" s="4" t="str">
        <f>HYPERLINK("http://141.218.60.56/~jnz1568/getInfo.php?workbook=18_08.xlsx&amp;sheet=U0&amp;row=5720&amp;col=7&amp;number=1.93e-05&amp;sourceID=14","1.93e-05")</f>
        <v>1.93e-05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HYPERLINK("http://141.218.60.56/~jnz1568/getInfo.php?workbook=18_08.xlsx&amp;sheet=U0&amp;row=5721&amp;col=6&amp;number=4.7&amp;sourceID=14","4.7")</f>
        <v>4.7</v>
      </c>
      <c r="G5721" s="4" t="str">
        <f>HYPERLINK("http://141.218.60.56/~jnz1568/getInfo.php?workbook=18_08.xlsx&amp;sheet=U0&amp;row=5721&amp;col=7&amp;number=1.93e-05&amp;sourceID=14","1.93e-05")</f>
        <v>1.93e-05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HYPERLINK("http://141.218.60.56/~jnz1568/getInfo.php?workbook=18_08.xlsx&amp;sheet=U0&amp;row=5722&amp;col=6&amp;number=4.8&amp;sourceID=14","4.8")</f>
        <v>4.8</v>
      </c>
      <c r="G5722" s="4" t="str">
        <f>HYPERLINK("http://141.218.60.56/~jnz1568/getInfo.php?workbook=18_08.xlsx&amp;sheet=U0&amp;row=5722&amp;col=7&amp;number=1.92e-05&amp;sourceID=14","1.92e-05")</f>
        <v>1.92e-05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HYPERLINK("http://141.218.60.56/~jnz1568/getInfo.php?workbook=18_08.xlsx&amp;sheet=U0&amp;row=5723&amp;col=6&amp;number=4.9&amp;sourceID=14","4.9")</f>
        <v>4.9</v>
      </c>
      <c r="G5723" s="4" t="str">
        <f>HYPERLINK("http://141.218.60.56/~jnz1568/getInfo.php?workbook=18_08.xlsx&amp;sheet=U0&amp;row=5723&amp;col=7&amp;number=1.91e-05&amp;sourceID=14","1.91e-05")</f>
        <v>1.91e-05</v>
      </c>
    </row>
    <row r="5724" spans="1:7">
      <c r="A5724" s="3">
        <v>18</v>
      </c>
      <c r="B5724" s="3">
        <v>8</v>
      </c>
      <c r="C5724" s="3" t="s">
        <v>72</v>
      </c>
      <c r="D5724" s="3">
        <v>9</v>
      </c>
      <c r="E5724" s="3">
        <v>1</v>
      </c>
      <c r="F5724" s="4" t="str">
        <f>HYPERLINK("http://141.218.60.56/~jnz1568/getInfo.php?workbook=18_08.xlsx&amp;sheet=U0&amp;row=5724&amp;col=6&amp;number=3&amp;sourceID=14","3")</f>
        <v>3</v>
      </c>
      <c r="G5724" s="4" t="str">
        <f>HYPERLINK("http://141.218.60.56/~jnz1568/getInfo.php?workbook=18_08.xlsx&amp;sheet=U0&amp;row=5724&amp;col=7&amp;number=5.22e-05&amp;sourceID=14","5.22e-05")</f>
        <v>5.22e-05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HYPERLINK("http://141.218.60.56/~jnz1568/getInfo.php?workbook=18_08.xlsx&amp;sheet=U0&amp;row=5725&amp;col=6&amp;number=3.1&amp;sourceID=14","3.1")</f>
        <v>3.1</v>
      </c>
      <c r="G5725" s="4" t="str">
        <f>HYPERLINK("http://141.218.60.56/~jnz1568/getInfo.php?workbook=18_08.xlsx&amp;sheet=U0&amp;row=5725&amp;col=7&amp;number=5.22e-05&amp;sourceID=14","5.22e-05")</f>
        <v>5.22e-05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HYPERLINK("http://141.218.60.56/~jnz1568/getInfo.php?workbook=18_08.xlsx&amp;sheet=U0&amp;row=5726&amp;col=6&amp;number=3.2&amp;sourceID=14","3.2")</f>
        <v>3.2</v>
      </c>
      <c r="G5726" s="4" t="str">
        <f>HYPERLINK("http://141.218.60.56/~jnz1568/getInfo.php?workbook=18_08.xlsx&amp;sheet=U0&amp;row=5726&amp;col=7&amp;number=5.22e-05&amp;sourceID=14","5.22e-05")</f>
        <v>5.22e-05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HYPERLINK("http://141.218.60.56/~jnz1568/getInfo.php?workbook=18_08.xlsx&amp;sheet=U0&amp;row=5727&amp;col=6&amp;number=3.3&amp;sourceID=14","3.3")</f>
        <v>3.3</v>
      </c>
      <c r="G5727" s="4" t="str">
        <f>HYPERLINK("http://141.218.60.56/~jnz1568/getInfo.php?workbook=18_08.xlsx&amp;sheet=U0&amp;row=5727&amp;col=7&amp;number=5.22e-05&amp;sourceID=14","5.22e-05")</f>
        <v>5.22e-05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HYPERLINK("http://141.218.60.56/~jnz1568/getInfo.php?workbook=18_08.xlsx&amp;sheet=U0&amp;row=5728&amp;col=6&amp;number=3.4&amp;sourceID=14","3.4")</f>
        <v>3.4</v>
      </c>
      <c r="G5728" s="4" t="str">
        <f>HYPERLINK("http://141.218.60.56/~jnz1568/getInfo.php?workbook=18_08.xlsx&amp;sheet=U0&amp;row=5728&amp;col=7&amp;number=5.22e-05&amp;sourceID=14","5.22e-05")</f>
        <v>5.22e-05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HYPERLINK("http://141.218.60.56/~jnz1568/getInfo.php?workbook=18_08.xlsx&amp;sheet=U0&amp;row=5729&amp;col=6&amp;number=3.5&amp;sourceID=14","3.5")</f>
        <v>3.5</v>
      </c>
      <c r="G5729" s="4" t="str">
        <f>HYPERLINK("http://141.218.60.56/~jnz1568/getInfo.php?workbook=18_08.xlsx&amp;sheet=U0&amp;row=5729&amp;col=7&amp;number=5.22e-05&amp;sourceID=14","5.22e-05")</f>
        <v>5.22e-05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HYPERLINK("http://141.218.60.56/~jnz1568/getInfo.php?workbook=18_08.xlsx&amp;sheet=U0&amp;row=5730&amp;col=6&amp;number=3.6&amp;sourceID=14","3.6")</f>
        <v>3.6</v>
      </c>
      <c r="G5730" s="4" t="str">
        <f>HYPERLINK("http://141.218.60.56/~jnz1568/getInfo.php?workbook=18_08.xlsx&amp;sheet=U0&amp;row=5730&amp;col=7&amp;number=5.22e-05&amp;sourceID=14","5.22e-05")</f>
        <v>5.22e-05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HYPERLINK("http://141.218.60.56/~jnz1568/getInfo.php?workbook=18_08.xlsx&amp;sheet=U0&amp;row=5731&amp;col=6&amp;number=3.7&amp;sourceID=14","3.7")</f>
        <v>3.7</v>
      </c>
      <c r="G5731" s="4" t="str">
        <f>HYPERLINK("http://141.218.60.56/~jnz1568/getInfo.php?workbook=18_08.xlsx&amp;sheet=U0&amp;row=5731&amp;col=7&amp;number=5.21e-05&amp;sourceID=14","5.21e-05")</f>
        <v>5.21e-05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HYPERLINK("http://141.218.60.56/~jnz1568/getInfo.php?workbook=18_08.xlsx&amp;sheet=U0&amp;row=5732&amp;col=6&amp;number=3.8&amp;sourceID=14","3.8")</f>
        <v>3.8</v>
      </c>
      <c r="G5732" s="4" t="str">
        <f>HYPERLINK("http://141.218.60.56/~jnz1568/getInfo.php?workbook=18_08.xlsx&amp;sheet=U0&amp;row=5732&amp;col=7&amp;number=5.21e-05&amp;sourceID=14","5.21e-05")</f>
        <v>5.21e-05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HYPERLINK("http://141.218.60.56/~jnz1568/getInfo.php?workbook=18_08.xlsx&amp;sheet=U0&amp;row=5733&amp;col=6&amp;number=3.9&amp;sourceID=14","3.9")</f>
        <v>3.9</v>
      </c>
      <c r="G5733" s="4" t="str">
        <f>HYPERLINK("http://141.218.60.56/~jnz1568/getInfo.php?workbook=18_08.xlsx&amp;sheet=U0&amp;row=5733&amp;col=7&amp;number=5.21e-05&amp;sourceID=14","5.21e-05")</f>
        <v>5.21e-05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HYPERLINK("http://141.218.60.56/~jnz1568/getInfo.php?workbook=18_08.xlsx&amp;sheet=U0&amp;row=5734&amp;col=6&amp;number=4&amp;sourceID=14","4")</f>
        <v>4</v>
      </c>
      <c r="G5734" s="4" t="str">
        <f>HYPERLINK("http://141.218.60.56/~jnz1568/getInfo.php?workbook=18_08.xlsx&amp;sheet=U0&amp;row=5734&amp;col=7&amp;number=5.21e-05&amp;sourceID=14","5.21e-05")</f>
        <v>5.21e-05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HYPERLINK("http://141.218.60.56/~jnz1568/getInfo.php?workbook=18_08.xlsx&amp;sheet=U0&amp;row=5735&amp;col=6&amp;number=4.1&amp;sourceID=14","4.1")</f>
        <v>4.1</v>
      </c>
      <c r="G5735" s="4" t="str">
        <f>HYPERLINK("http://141.218.60.56/~jnz1568/getInfo.php?workbook=18_08.xlsx&amp;sheet=U0&amp;row=5735&amp;col=7&amp;number=5.21e-05&amp;sourceID=14","5.21e-05")</f>
        <v>5.21e-05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HYPERLINK("http://141.218.60.56/~jnz1568/getInfo.php?workbook=18_08.xlsx&amp;sheet=U0&amp;row=5736&amp;col=6&amp;number=4.2&amp;sourceID=14","4.2")</f>
        <v>4.2</v>
      </c>
      <c r="G5736" s="4" t="str">
        <f>HYPERLINK("http://141.218.60.56/~jnz1568/getInfo.php?workbook=18_08.xlsx&amp;sheet=U0&amp;row=5736&amp;col=7&amp;number=5.2e-05&amp;sourceID=14","5.2e-05")</f>
        <v>5.2e-05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HYPERLINK("http://141.218.60.56/~jnz1568/getInfo.php?workbook=18_08.xlsx&amp;sheet=U0&amp;row=5737&amp;col=6&amp;number=4.3&amp;sourceID=14","4.3")</f>
        <v>4.3</v>
      </c>
      <c r="G5737" s="4" t="str">
        <f>HYPERLINK("http://141.218.60.56/~jnz1568/getInfo.php?workbook=18_08.xlsx&amp;sheet=U0&amp;row=5737&amp;col=7&amp;number=5.2e-05&amp;sourceID=14","5.2e-05")</f>
        <v>5.2e-05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HYPERLINK("http://141.218.60.56/~jnz1568/getInfo.php?workbook=18_08.xlsx&amp;sheet=U0&amp;row=5738&amp;col=6&amp;number=4.4&amp;sourceID=14","4.4")</f>
        <v>4.4</v>
      </c>
      <c r="G5738" s="4" t="str">
        <f>HYPERLINK("http://141.218.60.56/~jnz1568/getInfo.php?workbook=18_08.xlsx&amp;sheet=U0&amp;row=5738&amp;col=7&amp;number=5.19e-05&amp;sourceID=14","5.19e-05")</f>
        <v>5.19e-05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HYPERLINK("http://141.218.60.56/~jnz1568/getInfo.php?workbook=18_08.xlsx&amp;sheet=U0&amp;row=5739&amp;col=6&amp;number=4.5&amp;sourceID=14","4.5")</f>
        <v>4.5</v>
      </c>
      <c r="G5739" s="4" t="str">
        <f>HYPERLINK("http://141.218.60.56/~jnz1568/getInfo.php?workbook=18_08.xlsx&amp;sheet=U0&amp;row=5739&amp;col=7&amp;number=5.19e-05&amp;sourceID=14","5.19e-05")</f>
        <v>5.19e-05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HYPERLINK("http://141.218.60.56/~jnz1568/getInfo.php?workbook=18_08.xlsx&amp;sheet=U0&amp;row=5740&amp;col=6&amp;number=4.6&amp;sourceID=14","4.6")</f>
        <v>4.6</v>
      </c>
      <c r="G5740" s="4" t="str">
        <f>HYPERLINK("http://141.218.60.56/~jnz1568/getInfo.php?workbook=18_08.xlsx&amp;sheet=U0&amp;row=5740&amp;col=7&amp;number=5.18e-05&amp;sourceID=14","5.18e-05")</f>
        <v>5.18e-05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HYPERLINK("http://141.218.60.56/~jnz1568/getInfo.php?workbook=18_08.xlsx&amp;sheet=U0&amp;row=5741&amp;col=6&amp;number=4.7&amp;sourceID=14","4.7")</f>
        <v>4.7</v>
      </c>
      <c r="G5741" s="4" t="str">
        <f>HYPERLINK("http://141.218.60.56/~jnz1568/getInfo.php?workbook=18_08.xlsx&amp;sheet=U0&amp;row=5741&amp;col=7&amp;number=5.17e-05&amp;sourceID=14","5.17e-05")</f>
        <v>5.17e-05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HYPERLINK("http://141.218.60.56/~jnz1568/getInfo.php?workbook=18_08.xlsx&amp;sheet=U0&amp;row=5742&amp;col=6&amp;number=4.8&amp;sourceID=14","4.8")</f>
        <v>4.8</v>
      </c>
      <c r="G5742" s="4" t="str">
        <f>HYPERLINK("http://141.218.60.56/~jnz1568/getInfo.php?workbook=18_08.xlsx&amp;sheet=U0&amp;row=5742&amp;col=7&amp;number=5.15e-05&amp;sourceID=14","5.15e-05")</f>
        <v>5.15e-05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HYPERLINK("http://141.218.60.56/~jnz1568/getInfo.php?workbook=18_08.xlsx&amp;sheet=U0&amp;row=5743&amp;col=6&amp;number=4.9&amp;sourceID=14","4.9")</f>
        <v>4.9</v>
      </c>
      <c r="G5743" s="4" t="str">
        <f>HYPERLINK("http://141.218.60.56/~jnz1568/getInfo.php?workbook=18_08.xlsx&amp;sheet=U0&amp;row=5743&amp;col=7&amp;number=5.13e-05&amp;sourceID=14","5.13e-05")</f>
        <v>5.13e-05</v>
      </c>
    </row>
    <row r="5744" spans="1:7">
      <c r="A5744" s="3">
        <v>18</v>
      </c>
      <c r="B5744" s="3">
        <v>8</v>
      </c>
      <c r="C5744" s="3" t="s">
        <v>73</v>
      </c>
      <c r="D5744" s="3">
        <v>0</v>
      </c>
      <c r="E5744" s="3">
        <v>1</v>
      </c>
      <c r="F5744" s="4" t="str">
        <f>HYPERLINK("http://141.218.60.56/~jnz1568/getInfo.php?workbook=18_08.xlsx&amp;sheet=U0&amp;row=5744&amp;col=6&amp;number=3&amp;sourceID=14","3")</f>
        <v>3</v>
      </c>
      <c r="G5744" s="4" t="str">
        <f>HYPERLINK("http://141.218.60.56/~jnz1568/getInfo.php?workbook=18_08.xlsx&amp;sheet=U0&amp;row=5744&amp;col=7&amp;number=0.000105&amp;sourceID=14","0.000105")</f>
        <v>0.000105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HYPERLINK("http://141.218.60.56/~jnz1568/getInfo.php?workbook=18_08.xlsx&amp;sheet=U0&amp;row=5745&amp;col=6&amp;number=3.1&amp;sourceID=14","3.1")</f>
        <v>3.1</v>
      </c>
      <c r="G5745" s="4" t="str">
        <f>HYPERLINK("http://141.218.60.56/~jnz1568/getInfo.php?workbook=18_08.xlsx&amp;sheet=U0&amp;row=5745&amp;col=7&amp;number=0.000105&amp;sourceID=14","0.000105")</f>
        <v>0.000105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HYPERLINK("http://141.218.60.56/~jnz1568/getInfo.php?workbook=18_08.xlsx&amp;sheet=U0&amp;row=5746&amp;col=6&amp;number=3.2&amp;sourceID=14","3.2")</f>
        <v>3.2</v>
      </c>
      <c r="G5746" s="4" t="str">
        <f>HYPERLINK("http://141.218.60.56/~jnz1568/getInfo.php?workbook=18_08.xlsx&amp;sheet=U0&amp;row=5746&amp;col=7&amp;number=0.000105&amp;sourceID=14","0.000105")</f>
        <v>0.000105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HYPERLINK("http://141.218.60.56/~jnz1568/getInfo.php?workbook=18_08.xlsx&amp;sheet=U0&amp;row=5747&amp;col=6&amp;number=3.3&amp;sourceID=14","3.3")</f>
        <v>3.3</v>
      </c>
      <c r="G5747" s="4" t="str">
        <f>HYPERLINK("http://141.218.60.56/~jnz1568/getInfo.php?workbook=18_08.xlsx&amp;sheet=U0&amp;row=5747&amp;col=7&amp;number=0.000105&amp;sourceID=14","0.000105")</f>
        <v>0.000105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HYPERLINK("http://141.218.60.56/~jnz1568/getInfo.php?workbook=18_08.xlsx&amp;sheet=U0&amp;row=5748&amp;col=6&amp;number=3.4&amp;sourceID=14","3.4")</f>
        <v>3.4</v>
      </c>
      <c r="G5748" s="4" t="str">
        <f>HYPERLINK("http://141.218.60.56/~jnz1568/getInfo.php?workbook=18_08.xlsx&amp;sheet=U0&amp;row=5748&amp;col=7&amp;number=0.000105&amp;sourceID=14","0.000105")</f>
        <v>0.000105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HYPERLINK("http://141.218.60.56/~jnz1568/getInfo.php?workbook=18_08.xlsx&amp;sheet=U0&amp;row=5749&amp;col=6&amp;number=3.5&amp;sourceID=14","3.5")</f>
        <v>3.5</v>
      </c>
      <c r="G5749" s="4" t="str">
        <f>HYPERLINK("http://141.218.60.56/~jnz1568/getInfo.php?workbook=18_08.xlsx&amp;sheet=U0&amp;row=5749&amp;col=7&amp;number=0.000104&amp;sourceID=14","0.000104")</f>
        <v>0.000104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HYPERLINK("http://141.218.60.56/~jnz1568/getInfo.php?workbook=18_08.xlsx&amp;sheet=U0&amp;row=5750&amp;col=6&amp;number=3.6&amp;sourceID=14","3.6")</f>
        <v>3.6</v>
      </c>
      <c r="G5750" s="4" t="str">
        <f>HYPERLINK("http://141.218.60.56/~jnz1568/getInfo.php?workbook=18_08.xlsx&amp;sheet=U0&amp;row=5750&amp;col=7&amp;number=0.000104&amp;sourceID=14","0.000104")</f>
        <v>0.000104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HYPERLINK("http://141.218.60.56/~jnz1568/getInfo.php?workbook=18_08.xlsx&amp;sheet=U0&amp;row=5751&amp;col=6&amp;number=3.7&amp;sourceID=14","3.7")</f>
        <v>3.7</v>
      </c>
      <c r="G5751" s="4" t="str">
        <f>HYPERLINK("http://141.218.60.56/~jnz1568/getInfo.php?workbook=18_08.xlsx&amp;sheet=U0&amp;row=5751&amp;col=7&amp;number=0.000104&amp;sourceID=14","0.000104")</f>
        <v>0.000104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HYPERLINK("http://141.218.60.56/~jnz1568/getInfo.php?workbook=18_08.xlsx&amp;sheet=U0&amp;row=5752&amp;col=6&amp;number=3.8&amp;sourceID=14","3.8")</f>
        <v>3.8</v>
      </c>
      <c r="G5752" s="4" t="str">
        <f>HYPERLINK("http://141.218.60.56/~jnz1568/getInfo.php?workbook=18_08.xlsx&amp;sheet=U0&amp;row=5752&amp;col=7&amp;number=0.000104&amp;sourceID=14","0.000104")</f>
        <v>0.000104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HYPERLINK("http://141.218.60.56/~jnz1568/getInfo.php?workbook=18_08.xlsx&amp;sheet=U0&amp;row=5753&amp;col=6&amp;number=3.9&amp;sourceID=14","3.9")</f>
        <v>3.9</v>
      </c>
      <c r="G5753" s="4" t="str">
        <f>HYPERLINK("http://141.218.60.56/~jnz1568/getInfo.php?workbook=18_08.xlsx&amp;sheet=U0&amp;row=5753&amp;col=7&amp;number=0.000104&amp;sourceID=14","0.000104")</f>
        <v>0.000104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HYPERLINK("http://141.218.60.56/~jnz1568/getInfo.php?workbook=18_08.xlsx&amp;sheet=U0&amp;row=5754&amp;col=6&amp;number=4&amp;sourceID=14","4")</f>
        <v>4</v>
      </c>
      <c r="G5754" s="4" t="str">
        <f>HYPERLINK("http://141.218.60.56/~jnz1568/getInfo.php?workbook=18_08.xlsx&amp;sheet=U0&amp;row=5754&amp;col=7&amp;number=0.000104&amp;sourceID=14","0.000104")</f>
        <v>0.000104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HYPERLINK("http://141.218.60.56/~jnz1568/getInfo.php?workbook=18_08.xlsx&amp;sheet=U0&amp;row=5755&amp;col=6&amp;number=4.1&amp;sourceID=14","4.1")</f>
        <v>4.1</v>
      </c>
      <c r="G5755" s="4" t="str">
        <f>HYPERLINK("http://141.218.60.56/~jnz1568/getInfo.php?workbook=18_08.xlsx&amp;sheet=U0&amp;row=5755&amp;col=7&amp;number=0.000104&amp;sourceID=14","0.000104")</f>
        <v>0.000104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HYPERLINK("http://141.218.60.56/~jnz1568/getInfo.php?workbook=18_08.xlsx&amp;sheet=U0&amp;row=5756&amp;col=6&amp;number=4.2&amp;sourceID=14","4.2")</f>
        <v>4.2</v>
      </c>
      <c r="G5756" s="4" t="str">
        <f>HYPERLINK("http://141.218.60.56/~jnz1568/getInfo.php?workbook=18_08.xlsx&amp;sheet=U0&amp;row=5756&amp;col=7&amp;number=0.000104&amp;sourceID=14","0.000104")</f>
        <v>0.000104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HYPERLINK("http://141.218.60.56/~jnz1568/getInfo.php?workbook=18_08.xlsx&amp;sheet=U0&amp;row=5757&amp;col=6&amp;number=4.3&amp;sourceID=14","4.3")</f>
        <v>4.3</v>
      </c>
      <c r="G5757" s="4" t="str">
        <f>HYPERLINK("http://141.218.60.56/~jnz1568/getInfo.php?workbook=18_08.xlsx&amp;sheet=U0&amp;row=5757&amp;col=7&amp;number=0.000104&amp;sourceID=14","0.000104")</f>
        <v>0.000104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HYPERLINK("http://141.218.60.56/~jnz1568/getInfo.php?workbook=18_08.xlsx&amp;sheet=U0&amp;row=5758&amp;col=6&amp;number=4.4&amp;sourceID=14","4.4")</f>
        <v>4.4</v>
      </c>
      <c r="G5758" s="4" t="str">
        <f>HYPERLINK("http://141.218.60.56/~jnz1568/getInfo.php?workbook=18_08.xlsx&amp;sheet=U0&amp;row=5758&amp;col=7&amp;number=0.000104&amp;sourceID=14","0.000104")</f>
        <v>0.000104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HYPERLINK("http://141.218.60.56/~jnz1568/getInfo.php?workbook=18_08.xlsx&amp;sheet=U0&amp;row=5759&amp;col=6&amp;number=4.5&amp;sourceID=14","4.5")</f>
        <v>4.5</v>
      </c>
      <c r="G5759" s="4" t="str">
        <f>HYPERLINK("http://141.218.60.56/~jnz1568/getInfo.php?workbook=18_08.xlsx&amp;sheet=U0&amp;row=5759&amp;col=7&amp;number=0.000103&amp;sourceID=14","0.000103")</f>
        <v>0.000103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HYPERLINK("http://141.218.60.56/~jnz1568/getInfo.php?workbook=18_08.xlsx&amp;sheet=U0&amp;row=5760&amp;col=6&amp;number=4.6&amp;sourceID=14","4.6")</f>
        <v>4.6</v>
      </c>
      <c r="G5760" s="4" t="str">
        <f>HYPERLINK("http://141.218.60.56/~jnz1568/getInfo.php?workbook=18_08.xlsx&amp;sheet=U0&amp;row=5760&amp;col=7&amp;number=0.000103&amp;sourceID=14","0.000103")</f>
        <v>0.000103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HYPERLINK("http://141.218.60.56/~jnz1568/getInfo.php?workbook=18_08.xlsx&amp;sheet=U0&amp;row=5761&amp;col=6&amp;number=4.7&amp;sourceID=14","4.7")</f>
        <v>4.7</v>
      </c>
      <c r="G5761" s="4" t="str">
        <f>HYPERLINK("http://141.218.60.56/~jnz1568/getInfo.php?workbook=18_08.xlsx&amp;sheet=U0&amp;row=5761&amp;col=7&amp;number=0.000103&amp;sourceID=14","0.000103")</f>
        <v>0.000103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HYPERLINK("http://141.218.60.56/~jnz1568/getInfo.php?workbook=18_08.xlsx&amp;sheet=U0&amp;row=5762&amp;col=6&amp;number=4.8&amp;sourceID=14","4.8")</f>
        <v>4.8</v>
      </c>
      <c r="G5762" s="4" t="str">
        <f>HYPERLINK("http://141.218.60.56/~jnz1568/getInfo.php?workbook=18_08.xlsx&amp;sheet=U0&amp;row=5762&amp;col=7&amp;number=0.000102&amp;sourceID=14","0.000102")</f>
        <v>0.000102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HYPERLINK("http://141.218.60.56/~jnz1568/getInfo.php?workbook=18_08.xlsx&amp;sheet=U0&amp;row=5763&amp;col=6&amp;number=4.9&amp;sourceID=14","4.9")</f>
        <v>4.9</v>
      </c>
      <c r="G5763" s="4" t="str">
        <f>HYPERLINK("http://141.218.60.56/~jnz1568/getInfo.php?workbook=18_08.xlsx&amp;sheet=U0&amp;row=5763&amp;col=7&amp;number=0.000102&amp;sourceID=14","0.000102")</f>
        <v>0.000102</v>
      </c>
    </row>
    <row r="5764" spans="1:7">
      <c r="A5764" s="3">
        <v>18</v>
      </c>
      <c r="B5764" s="3">
        <v>8</v>
      </c>
      <c r="C5764" s="3" t="s">
        <v>73</v>
      </c>
      <c r="D5764" s="3">
        <v>1</v>
      </c>
      <c r="E5764" s="3">
        <v>1</v>
      </c>
      <c r="F5764" s="4" t="str">
        <f>HYPERLINK("http://141.218.60.56/~jnz1568/getInfo.php?workbook=18_08.xlsx&amp;sheet=U0&amp;row=5764&amp;col=6&amp;number=3&amp;sourceID=14","3")</f>
        <v>3</v>
      </c>
      <c r="G5764" s="4" t="str">
        <f>HYPERLINK("http://141.218.60.56/~jnz1568/getInfo.php?workbook=18_08.xlsx&amp;sheet=U0&amp;row=5764&amp;col=7&amp;number=0.000136&amp;sourceID=14","0.000136")</f>
        <v>0.000136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HYPERLINK("http://141.218.60.56/~jnz1568/getInfo.php?workbook=18_08.xlsx&amp;sheet=U0&amp;row=5765&amp;col=6&amp;number=3.1&amp;sourceID=14","3.1")</f>
        <v>3.1</v>
      </c>
      <c r="G5765" s="4" t="str">
        <f>HYPERLINK("http://141.218.60.56/~jnz1568/getInfo.php?workbook=18_08.xlsx&amp;sheet=U0&amp;row=5765&amp;col=7&amp;number=0.000136&amp;sourceID=14","0.000136")</f>
        <v>0.000136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HYPERLINK("http://141.218.60.56/~jnz1568/getInfo.php?workbook=18_08.xlsx&amp;sheet=U0&amp;row=5766&amp;col=6&amp;number=3.2&amp;sourceID=14","3.2")</f>
        <v>3.2</v>
      </c>
      <c r="G5766" s="4" t="str">
        <f>HYPERLINK("http://141.218.60.56/~jnz1568/getInfo.php?workbook=18_08.xlsx&amp;sheet=U0&amp;row=5766&amp;col=7&amp;number=0.000136&amp;sourceID=14","0.000136")</f>
        <v>0.000136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HYPERLINK("http://141.218.60.56/~jnz1568/getInfo.php?workbook=18_08.xlsx&amp;sheet=U0&amp;row=5767&amp;col=6&amp;number=3.3&amp;sourceID=14","3.3")</f>
        <v>3.3</v>
      </c>
      <c r="G5767" s="4" t="str">
        <f>HYPERLINK("http://141.218.60.56/~jnz1568/getInfo.php?workbook=18_08.xlsx&amp;sheet=U0&amp;row=5767&amp;col=7&amp;number=0.000136&amp;sourceID=14","0.000136")</f>
        <v>0.000136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HYPERLINK("http://141.218.60.56/~jnz1568/getInfo.php?workbook=18_08.xlsx&amp;sheet=U0&amp;row=5768&amp;col=6&amp;number=3.4&amp;sourceID=14","3.4")</f>
        <v>3.4</v>
      </c>
      <c r="G5768" s="4" t="str">
        <f>HYPERLINK("http://141.218.60.56/~jnz1568/getInfo.php?workbook=18_08.xlsx&amp;sheet=U0&amp;row=5768&amp;col=7&amp;number=0.000136&amp;sourceID=14","0.000136")</f>
        <v>0.000136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HYPERLINK("http://141.218.60.56/~jnz1568/getInfo.php?workbook=18_08.xlsx&amp;sheet=U0&amp;row=5769&amp;col=6&amp;number=3.5&amp;sourceID=14","3.5")</f>
        <v>3.5</v>
      </c>
      <c r="G5769" s="4" t="str">
        <f>HYPERLINK("http://141.218.60.56/~jnz1568/getInfo.php?workbook=18_08.xlsx&amp;sheet=U0&amp;row=5769&amp;col=7&amp;number=0.000136&amp;sourceID=14","0.000136")</f>
        <v>0.000136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HYPERLINK("http://141.218.60.56/~jnz1568/getInfo.php?workbook=18_08.xlsx&amp;sheet=U0&amp;row=5770&amp;col=6&amp;number=3.6&amp;sourceID=14","3.6")</f>
        <v>3.6</v>
      </c>
      <c r="G5770" s="4" t="str">
        <f>HYPERLINK("http://141.218.60.56/~jnz1568/getInfo.php?workbook=18_08.xlsx&amp;sheet=U0&amp;row=5770&amp;col=7&amp;number=0.000136&amp;sourceID=14","0.000136")</f>
        <v>0.000136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HYPERLINK("http://141.218.60.56/~jnz1568/getInfo.php?workbook=18_08.xlsx&amp;sheet=U0&amp;row=5771&amp;col=6&amp;number=3.7&amp;sourceID=14","3.7")</f>
        <v>3.7</v>
      </c>
      <c r="G5771" s="4" t="str">
        <f>HYPERLINK("http://141.218.60.56/~jnz1568/getInfo.php?workbook=18_08.xlsx&amp;sheet=U0&amp;row=5771&amp;col=7&amp;number=0.000136&amp;sourceID=14","0.000136")</f>
        <v>0.000136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HYPERLINK("http://141.218.60.56/~jnz1568/getInfo.php?workbook=18_08.xlsx&amp;sheet=U0&amp;row=5772&amp;col=6&amp;number=3.8&amp;sourceID=14","3.8")</f>
        <v>3.8</v>
      </c>
      <c r="G5772" s="4" t="str">
        <f>HYPERLINK("http://141.218.60.56/~jnz1568/getInfo.php?workbook=18_08.xlsx&amp;sheet=U0&amp;row=5772&amp;col=7&amp;number=0.000136&amp;sourceID=14","0.000136")</f>
        <v>0.000136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HYPERLINK("http://141.218.60.56/~jnz1568/getInfo.php?workbook=18_08.xlsx&amp;sheet=U0&amp;row=5773&amp;col=6&amp;number=3.9&amp;sourceID=14","3.9")</f>
        <v>3.9</v>
      </c>
      <c r="G5773" s="4" t="str">
        <f>HYPERLINK("http://141.218.60.56/~jnz1568/getInfo.php?workbook=18_08.xlsx&amp;sheet=U0&amp;row=5773&amp;col=7&amp;number=0.000136&amp;sourceID=14","0.000136")</f>
        <v>0.000136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HYPERLINK("http://141.218.60.56/~jnz1568/getInfo.php?workbook=18_08.xlsx&amp;sheet=U0&amp;row=5774&amp;col=6&amp;number=4&amp;sourceID=14","4")</f>
        <v>4</v>
      </c>
      <c r="G5774" s="4" t="str">
        <f>HYPERLINK("http://141.218.60.56/~jnz1568/getInfo.php?workbook=18_08.xlsx&amp;sheet=U0&amp;row=5774&amp;col=7&amp;number=0.000136&amp;sourceID=14","0.000136")</f>
        <v>0.000136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HYPERLINK("http://141.218.60.56/~jnz1568/getInfo.php?workbook=18_08.xlsx&amp;sheet=U0&amp;row=5775&amp;col=6&amp;number=4.1&amp;sourceID=14","4.1")</f>
        <v>4.1</v>
      </c>
      <c r="G5775" s="4" t="str">
        <f>HYPERLINK("http://141.218.60.56/~jnz1568/getInfo.php?workbook=18_08.xlsx&amp;sheet=U0&amp;row=5775&amp;col=7&amp;number=0.000136&amp;sourceID=14","0.000136")</f>
        <v>0.000136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HYPERLINK("http://141.218.60.56/~jnz1568/getInfo.php?workbook=18_08.xlsx&amp;sheet=U0&amp;row=5776&amp;col=6&amp;number=4.2&amp;sourceID=14","4.2")</f>
        <v>4.2</v>
      </c>
      <c r="G5776" s="4" t="str">
        <f>HYPERLINK("http://141.218.60.56/~jnz1568/getInfo.php?workbook=18_08.xlsx&amp;sheet=U0&amp;row=5776&amp;col=7&amp;number=0.000136&amp;sourceID=14","0.000136")</f>
        <v>0.000136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HYPERLINK("http://141.218.60.56/~jnz1568/getInfo.php?workbook=18_08.xlsx&amp;sheet=U0&amp;row=5777&amp;col=6&amp;number=4.3&amp;sourceID=14","4.3")</f>
        <v>4.3</v>
      </c>
      <c r="G5777" s="4" t="str">
        <f>HYPERLINK("http://141.218.60.56/~jnz1568/getInfo.php?workbook=18_08.xlsx&amp;sheet=U0&amp;row=5777&amp;col=7&amp;number=0.000136&amp;sourceID=14","0.000136")</f>
        <v>0.000136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HYPERLINK("http://141.218.60.56/~jnz1568/getInfo.php?workbook=18_08.xlsx&amp;sheet=U0&amp;row=5778&amp;col=6&amp;number=4.4&amp;sourceID=14","4.4")</f>
        <v>4.4</v>
      </c>
      <c r="G5778" s="4" t="str">
        <f>HYPERLINK("http://141.218.60.56/~jnz1568/getInfo.php?workbook=18_08.xlsx&amp;sheet=U0&amp;row=5778&amp;col=7&amp;number=0.000135&amp;sourceID=14","0.000135")</f>
        <v>0.000135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HYPERLINK("http://141.218.60.56/~jnz1568/getInfo.php?workbook=18_08.xlsx&amp;sheet=U0&amp;row=5779&amp;col=6&amp;number=4.5&amp;sourceID=14","4.5")</f>
        <v>4.5</v>
      </c>
      <c r="G5779" s="4" t="str">
        <f>HYPERLINK("http://141.218.60.56/~jnz1568/getInfo.php?workbook=18_08.xlsx&amp;sheet=U0&amp;row=5779&amp;col=7&amp;number=0.000135&amp;sourceID=14","0.000135")</f>
        <v>0.000135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HYPERLINK("http://141.218.60.56/~jnz1568/getInfo.php?workbook=18_08.xlsx&amp;sheet=U0&amp;row=5780&amp;col=6&amp;number=4.6&amp;sourceID=14","4.6")</f>
        <v>4.6</v>
      </c>
      <c r="G5780" s="4" t="str">
        <f>HYPERLINK("http://141.218.60.56/~jnz1568/getInfo.php?workbook=18_08.xlsx&amp;sheet=U0&amp;row=5780&amp;col=7&amp;number=0.000135&amp;sourceID=14","0.000135")</f>
        <v>0.000135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HYPERLINK("http://141.218.60.56/~jnz1568/getInfo.php?workbook=18_08.xlsx&amp;sheet=U0&amp;row=5781&amp;col=6&amp;number=4.7&amp;sourceID=14","4.7")</f>
        <v>4.7</v>
      </c>
      <c r="G5781" s="4" t="str">
        <f>HYPERLINK("http://141.218.60.56/~jnz1568/getInfo.php?workbook=18_08.xlsx&amp;sheet=U0&amp;row=5781&amp;col=7&amp;number=0.000135&amp;sourceID=14","0.000135")</f>
        <v>0.000135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HYPERLINK("http://141.218.60.56/~jnz1568/getInfo.php?workbook=18_08.xlsx&amp;sheet=U0&amp;row=5782&amp;col=6&amp;number=4.8&amp;sourceID=14","4.8")</f>
        <v>4.8</v>
      </c>
      <c r="G5782" s="4" t="str">
        <f>HYPERLINK("http://141.218.60.56/~jnz1568/getInfo.php?workbook=18_08.xlsx&amp;sheet=U0&amp;row=5782&amp;col=7&amp;number=0.000134&amp;sourceID=14","0.000134")</f>
        <v>0.000134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HYPERLINK("http://141.218.60.56/~jnz1568/getInfo.php?workbook=18_08.xlsx&amp;sheet=U0&amp;row=5783&amp;col=6&amp;number=4.9&amp;sourceID=14","4.9")</f>
        <v>4.9</v>
      </c>
      <c r="G5783" s="4" t="str">
        <f>HYPERLINK("http://141.218.60.56/~jnz1568/getInfo.php?workbook=18_08.xlsx&amp;sheet=U0&amp;row=5783&amp;col=7&amp;number=0.000134&amp;sourceID=14","0.000134")</f>
        <v>0.000134</v>
      </c>
    </row>
    <row r="5784" spans="1:7">
      <c r="A5784" s="3">
        <v>18</v>
      </c>
      <c r="B5784" s="3">
        <v>8</v>
      </c>
      <c r="C5784" s="3" t="s">
        <v>73</v>
      </c>
      <c r="D5784" s="3">
        <v>2</v>
      </c>
      <c r="E5784" s="3">
        <v>1</v>
      </c>
      <c r="F5784" s="4" t="str">
        <f>HYPERLINK("http://141.218.60.56/~jnz1568/getInfo.php?workbook=18_08.xlsx&amp;sheet=U0&amp;row=5784&amp;col=6&amp;number=3&amp;sourceID=14","3")</f>
        <v>3</v>
      </c>
      <c r="G5784" s="4" t="str">
        <f>HYPERLINK("http://141.218.60.56/~jnz1568/getInfo.php?workbook=18_08.xlsx&amp;sheet=U0&amp;row=5784&amp;col=7&amp;number=0.00022&amp;sourceID=14","0.00022")</f>
        <v>0.00022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HYPERLINK("http://141.218.60.56/~jnz1568/getInfo.php?workbook=18_08.xlsx&amp;sheet=U0&amp;row=5785&amp;col=6&amp;number=3.1&amp;sourceID=14","3.1")</f>
        <v>3.1</v>
      </c>
      <c r="G5785" s="4" t="str">
        <f>HYPERLINK("http://141.218.60.56/~jnz1568/getInfo.php?workbook=18_08.xlsx&amp;sheet=U0&amp;row=5785&amp;col=7&amp;number=0.00022&amp;sourceID=14","0.00022")</f>
        <v>0.00022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HYPERLINK("http://141.218.60.56/~jnz1568/getInfo.php?workbook=18_08.xlsx&amp;sheet=U0&amp;row=5786&amp;col=6&amp;number=3.2&amp;sourceID=14","3.2")</f>
        <v>3.2</v>
      </c>
      <c r="G5786" s="4" t="str">
        <f>HYPERLINK("http://141.218.60.56/~jnz1568/getInfo.php?workbook=18_08.xlsx&amp;sheet=U0&amp;row=5786&amp;col=7&amp;number=0.00022&amp;sourceID=14","0.00022")</f>
        <v>0.00022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HYPERLINK("http://141.218.60.56/~jnz1568/getInfo.php?workbook=18_08.xlsx&amp;sheet=U0&amp;row=5787&amp;col=6&amp;number=3.3&amp;sourceID=14","3.3")</f>
        <v>3.3</v>
      </c>
      <c r="G5787" s="4" t="str">
        <f>HYPERLINK("http://141.218.60.56/~jnz1568/getInfo.php?workbook=18_08.xlsx&amp;sheet=U0&amp;row=5787&amp;col=7&amp;number=0.00022&amp;sourceID=14","0.00022")</f>
        <v>0.00022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HYPERLINK("http://141.218.60.56/~jnz1568/getInfo.php?workbook=18_08.xlsx&amp;sheet=U0&amp;row=5788&amp;col=6&amp;number=3.4&amp;sourceID=14","3.4")</f>
        <v>3.4</v>
      </c>
      <c r="G5788" s="4" t="str">
        <f>HYPERLINK("http://141.218.60.56/~jnz1568/getInfo.php?workbook=18_08.xlsx&amp;sheet=U0&amp;row=5788&amp;col=7&amp;number=0.00022&amp;sourceID=14","0.00022")</f>
        <v>0.00022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HYPERLINK("http://141.218.60.56/~jnz1568/getInfo.php?workbook=18_08.xlsx&amp;sheet=U0&amp;row=5789&amp;col=6&amp;number=3.5&amp;sourceID=14","3.5")</f>
        <v>3.5</v>
      </c>
      <c r="G5789" s="4" t="str">
        <f>HYPERLINK("http://141.218.60.56/~jnz1568/getInfo.php?workbook=18_08.xlsx&amp;sheet=U0&amp;row=5789&amp;col=7&amp;number=0.00022&amp;sourceID=14","0.00022")</f>
        <v>0.00022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HYPERLINK("http://141.218.60.56/~jnz1568/getInfo.php?workbook=18_08.xlsx&amp;sheet=U0&amp;row=5790&amp;col=6&amp;number=3.6&amp;sourceID=14","3.6")</f>
        <v>3.6</v>
      </c>
      <c r="G5790" s="4" t="str">
        <f>HYPERLINK("http://141.218.60.56/~jnz1568/getInfo.php?workbook=18_08.xlsx&amp;sheet=U0&amp;row=5790&amp;col=7&amp;number=0.00022&amp;sourceID=14","0.00022")</f>
        <v>0.00022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HYPERLINK("http://141.218.60.56/~jnz1568/getInfo.php?workbook=18_08.xlsx&amp;sheet=U0&amp;row=5791&amp;col=6&amp;number=3.7&amp;sourceID=14","3.7")</f>
        <v>3.7</v>
      </c>
      <c r="G5791" s="4" t="str">
        <f>HYPERLINK("http://141.218.60.56/~jnz1568/getInfo.php?workbook=18_08.xlsx&amp;sheet=U0&amp;row=5791&amp;col=7&amp;number=0.00022&amp;sourceID=14","0.00022")</f>
        <v>0.00022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HYPERLINK("http://141.218.60.56/~jnz1568/getInfo.php?workbook=18_08.xlsx&amp;sheet=U0&amp;row=5792&amp;col=6&amp;number=3.8&amp;sourceID=14","3.8")</f>
        <v>3.8</v>
      </c>
      <c r="G5792" s="4" t="str">
        <f>HYPERLINK("http://141.218.60.56/~jnz1568/getInfo.php?workbook=18_08.xlsx&amp;sheet=U0&amp;row=5792&amp;col=7&amp;number=0.000219&amp;sourceID=14","0.000219")</f>
        <v>0.000219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HYPERLINK("http://141.218.60.56/~jnz1568/getInfo.php?workbook=18_08.xlsx&amp;sheet=U0&amp;row=5793&amp;col=6&amp;number=3.9&amp;sourceID=14","3.9")</f>
        <v>3.9</v>
      </c>
      <c r="G5793" s="4" t="str">
        <f>HYPERLINK("http://141.218.60.56/~jnz1568/getInfo.php?workbook=18_08.xlsx&amp;sheet=U0&amp;row=5793&amp;col=7&amp;number=0.000219&amp;sourceID=14","0.000219")</f>
        <v>0.000219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HYPERLINK("http://141.218.60.56/~jnz1568/getInfo.php?workbook=18_08.xlsx&amp;sheet=U0&amp;row=5794&amp;col=6&amp;number=4&amp;sourceID=14","4")</f>
        <v>4</v>
      </c>
      <c r="G5794" s="4" t="str">
        <f>HYPERLINK("http://141.218.60.56/~jnz1568/getInfo.php?workbook=18_08.xlsx&amp;sheet=U0&amp;row=5794&amp;col=7&amp;number=0.000219&amp;sourceID=14","0.000219")</f>
        <v>0.000219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HYPERLINK("http://141.218.60.56/~jnz1568/getInfo.php?workbook=18_08.xlsx&amp;sheet=U0&amp;row=5795&amp;col=6&amp;number=4.1&amp;sourceID=14","4.1")</f>
        <v>4.1</v>
      </c>
      <c r="G5795" s="4" t="str">
        <f>HYPERLINK("http://141.218.60.56/~jnz1568/getInfo.php?workbook=18_08.xlsx&amp;sheet=U0&amp;row=5795&amp;col=7&amp;number=0.000219&amp;sourceID=14","0.000219")</f>
        <v>0.000219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HYPERLINK("http://141.218.60.56/~jnz1568/getInfo.php?workbook=18_08.xlsx&amp;sheet=U0&amp;row=5796&amp;col=6&amp;number=4.2&amp;sourceID=14","4.2")</f>
        <v>4.2</v>
      </c>
      <c r="G5796" s="4" t="str">
        <f>HYPERLINK("http://141.218.60.56/~jnz1568/getInfo.php?workbook=18_08.xlsx&amp;sheet=U0&amp;row=5796&amp;col=7&amp;number=0.000219&amp;sourceID=14","0.000219")</f>
        <v>0.000219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HYPERLINK("http://141.218.60.56/~jnz1568/getInfo.php?workbook=18_08.xlsx&amp;sheet=U0&amp;row=5797&amp;col=6&amp;number=4.3&amp;sourceID=14","4.3")</f>
        <v>4.3</v>
      </c>
      <c r="G5797" s="4" t="str">
        <f>HYPERLINK("http://141.218.60.56/~jnz1568/getInfo.php?workbook=18_08.xlsx&amp;sheet=U0&amp;row=5797&amp;col=7&amp;number=0.000218&amp;sourceID=14","0.000218")</f>
        <v>0.000218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HYPERLINK("http://141.218.60.56/~jnz1568/getInfo.php?workbook=18_08.xlsx&amp;sheet=U0&amp;row=5798&amp;col=6&amp;number=4.4&amp;sourceID=14","4.4")</f>
        <v>4.4</v>
      </c>
      <c r="G5798" s="4" t="str">
        <f>HYPERLINK("http://141.218.60.56/~jnz1568/getInfo.php?workbook=18_08.xlsx&amp;sheet=U0&amp;row=5798&amp;col=7&amp;number=0.000218&amp;sourceID=14","0.000218")</f>
        <v>0.000218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HYPERLINK("http://141.218.60.56/~jnz1568/getInfo.php?workbook=18_08.xlsx&amp;sheet=U0&amp;row=5799&amp;col=6&amp;number=4.5&amp;sourceID=14","4.5")</f>
        <v>4.5</v>
      </c>
      <c r="G5799" s="4" t="str">
        <f>HYPERLINK("http://141.218.60.56/~jnz1568/getInfo.php?workbook=18_08.xlsx&amp;sheet=U0&amp;row=5799&amp;col=7&amp;number=0.000218&amp;sourceID=14","0.000218")</f>
        <v>0.000218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HYPERLINK("http://141.218.60.56/~jnz1568/getInfo.php?workbook=18_08.xlsx&amp;sheet=U0&amp;row=5800&amp;col=6&amp;number=4.6&amp;sourceID=14","4.6")</f>
        <v>4.6</v>
      </c>
      <c r="G5800" s="4" t="str">
        <f>HYPERLINK("http://141.218.60.56/~jnz1568/getInfo.php?workbook=18_08.xlsx&amp;sheet=U0&amp;row=5800&amp;col=7&amp;number=0.000217&amp;sourceID=14","0.000217")</f>
        <v>0.000217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HYPERLINK("http://141.218.60.56/~jnz1568/getInfo.php?workbook=18_08.xlsx&amp;sheet=U0&amp;row=5801&amp;col=6&amp;number=4.7&amp;sourceID=14","4.7")</f>
        <v>4.7</v>
      </c>
      <c r="G5801" s="4" t="str">
        <f>HYPERLINK("http://141.218.60.56/~jnz1568/getInfo.php?workbook=18_08.xlsx&amp;sheet=U0&amp;row=5801&amp;col=7&amp;number=0.000216&amp;sourceID=14","0.000216")</f>
        <v>0.000216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HYPERLINK("http://141.218.60.56/~jnz1568/getInfo.php?workbook=18_08.xlsx&amp;sheet=U0&amp;row=5802&amp;col=6&amp;number=4.8&amp;sourceID=14","4.8")</f>
        <v>4.8</v>
      </c>
      <c r="G5802" s="4" t="str">
        <f>HYPERLINK("http://141.218.60.56/~jnz1568/getInfo.php?workbook=18_08.xlsx&amp;sheet=U0&amp;row=5802&amp;col=7&amp;number=0.000215&amp;sourceID=14","0.000215")</f>
        <v>0.000215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HYPERLINK("http://141.218.60.56/~jnz1568/getInfo.php?workbook=18_08.xlsx&amp;sheet=U0&amp;row=5803&amp;col=6&amp;number=4.9&amp;sourceID=14","4.9")</f>
        <v>4.9</v>
      </c>
      <c r="G5803" s="4" t="str">
        <f>HYPERLINK("http://141.218.60.56/~jnz1568/getInfo.php?workbook=18_08.xlsx&amp;sheet=U0&amp;row=5803&amp;col=7&amp;number=0.000214&amp;sourceID=14","0.000214")</f>
        <v>0.000214</v>
      </c>
    </row>
    <row r="5804" spans="1:7">
      <c r="A5804" s="3">
        <v>18</v>
      </c>
      <c r="B5804" s="3">
        <v>8</v>
      </c>
      <c r="C5804" s="3" t="s">
        <v>73</v>
      </c>
      <c r="D5804" s="3">
        <v>3</v>
      </c>
      <c r="E5804" s="3">
        <v>1</v>
      </c>
      <c r="F5804" s="4" t="str">
        <f>HYPERLINK("http://141.218.60.56/~jnz1568/getInfo.php?workbook=18_08.xlsx&amp;sheet=U0&amp;row=5804&amp;col=6&amp;number=3&amp;sourceID=14","3")</f>
        <v>3</v>
      </c>
      <c r="G5804" s="4" t="str">
        <f>HYPERLINK("http://141.218.60.56/~jnz1568/getInfo.php?workbook=18_08.xlsx&amp;sheet=U0&amp;row=5804&amp;col=7&amp;number=0.0482&amp;sourceID=14","0.0482")</f>
        <v>0.0482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HYPERLINK("http://141.218.60.56/~jnz1568/getInfo.php?workbook=18_08.xlsx&amp;sheet=U0&amp;row=5805&amp;col=6&amp;number=3.1&amp;sourceID=14","3.1")</f>
        <v>3.1</v>
      </c>
      <c r="G5805" s="4" t="str">
        <f>HYPERLINK("http://141.218.60.56/~jnz1568/getInfo.php?workbook=18_08.xlsx&amp;sheet=U0&amp;row=5805&amp;col=7&amp;number=0.0482&amp;sourceID=14","0.0482")</f>
        <v>0.0482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HYPERLINK("http://141.218.60.56/~jnz1568/getInfo.php?workbook=18_08.xlsx&amp;sheet=U0&amp;row=5806&amp;col=6&amp;number=3.2&amp;sourceID=14","3.2")</f>
        <v>3.2</v>
      </c>
      <c r="G5806" s="4" t="str">
        <f>HYPERLINK("http://141.218.60.56/~jnz1568/getInfo.php?workbook=18_08.xlsx&amp;sheet=U0&amp;row=5806&amp;col=7&amp;number=0.0482&amp;sourceID=14","0.0482")</f>
        <v>0.0482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HYPERLINK("http://141.218.60.56/~jnz1568/getInfo.php?workbook=18_08.xlsx&amp;sheet=U0&amp;row=5807&amp;col=6&amp;number=3.3&amp;sourceID=14","3.3")</f>
        <v>3.3</v>
      </c>
      <c r="G5807" s="4" t="str">
        <f>HYPERLINK("http://141.218.60.56/~jnz1568/getInfo.php?workbook=18_08.xlsx&amp;sheet=U0&amp;row=5807&amp;col=7&amp;number=0.0482&amp;sourceID=14","0.0482")</f>
        <v>0.0482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HYPERLINK("http://141.218.60.56/~jnz1568/getInfo.php?workbook=18_08.xlsx&amp;sheet=U0&amp;row=5808&amp;col=6&amp;number=3.4&amp;sourceID=14","3.4")</f>
        <v>3.4</v>
      </c>
      <c r="G5808" s="4" t="str">
        <f>HYPERLINK("http://141.218.60.56/~jnz1568/getInfo.php?workbook=18_08.xlsx&amp;sheet=U0&amp;row=5808&amp;col=7&amp;number=0.0482&amp;sourceID=14","0.0482")</f>
        <v>0.0482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HYPERLINK("http://141.218.60.56/~jnz1568/getInfo.php?workbook=18_08.xlsx&amp;sheet=U0&amp;row=5809&amp;col=6&amp;number=3.5&amp;sourceID=14","3.5")</f>
        <v>3.5</v>
      </c>
      <c r="G5809" s="4" t="str">
        <f>HYPERLINK("http://141.218.60.56/~jnz1568/getInfo.php?workbook=18_08.xlsx&amp;sheet=U0&amp;row=5809&amp;col=7&amp;number=0.0482&amp;sourceID=14","0.0482")</f>
        <v>0.0482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HYPERLINK("http://141.218.60.56/~jnz1568/getInfo.php?workbook=18_08.xlsx&amp;sheet=U0&amp;row=5810&amp;col=6&amp;number=3.6&amp;sourceID=14","3.6")</f>
        <v>3.6</v>
      </c>
      <c r="G5810" s="4" t="str">
        <f>HYPERLINK("http://141.218.60.56/~jnz1568/getInfo.php?workbook=18_08.xlsx&amp;sheet=U0&amp;row=5810&amp;col=7&amp;number=0.0482&amp;sourceID=14","0.0482")</f>
        <v>0.0482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HYPERLINK("http://141.218.60.56/~jnz1568/getInfo.php?workbook=18_08.xlsx&amp;sheet=U0&amp;row=5811&amp;col=6&amp;number=3.7&amp;sourceID=14","3.7")</f>
        <v>3.7</v>
      </c>
      <c r="G5811" s="4" t="str">
        <f>HYPERLINK("http://141.218.60.56/~jnz1568/getInfo.php?workbook=18_08.xlsx&amp;sheet=U0&amp;row=5811&amp;col=7&amp;number=0.0482&amp;sourceID=14","0.0482")</f>
        <v>0.0482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HYPERLINK("http://141.218.60.56/~jnz1568/getInfo.php?workbook=18_08.xlsx&amp;sheet=U0&amp;row=5812&amp;col=6&amp;number=3.8&amp;sourceID=14","3.8")</f>
        <v>3.8</v>
      </c>
      <c r="G5812" s="4" t="str">
        <f>HYPERLINK("http://141.218.60.56/~jnz1568/getInfo.php?workbook=18_08.xlsx&amp;sheet=U0&amp;row=5812&amp;col=7&amp;number=0.0482&amp;sourceID=14","0.0482")</f>
        <v>0.0482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HYPERLINK("http://141.218.60.56/~jnz1568/getInfo.php?workbook=18_08.xlsx&amp;sheet=U0&amp;row=5813&amp;col=6&amp;number=3.9&amp;sourceID=14","3.9")</f>
        <v>3.9</v>
      </c>
      <c r="G5813" s="4" t="str">
        <f>HYPERLINK("http://141.218.60.56/~jnz1568/getInfo.php?workbook=18_08.xlsx&amp;sheet=U0&amp;row=5813&amp;col=7&amp;number=0.0482&amp;sourceID=14","0.0482")</f>
        <v>0.0482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HYPERLINK("http://141.218.60.56/~jnz1568/getInfo.php?workbook=18_08.xlsx&amp;sheet=U0&amp;row=5814&amp;col=6&amp;number=4&amp;sourceID=14","4")</f>
        <v>4</v>
      </c>
      <c r="G5814" s="4" t="str">
        <f>HYPERLINK("http://141.218.60.56/~jnz1568/getInfo.php?workbook=18_08.xlsx&amp;sheet=U0&amp;row=5814&amp;col=7&amp;number=0.0482&amp;sourceID=14","0.0482")</f>
        <v>0.0482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HYPERLINK("http://141.218.60.56/~jnz1568/getInfo.php?workbook=18_08.xlsx&amp;sheet=U0&amp;row=5815&amp;col=6&amp;number=4.1&amp;sourceID=14","4.1")</f>
        <v>4.1</v>
      </c>
      <c r="G5815" s="4" t="str">
        <f>HYPERLINK("http://141.218.60.56/~jnz1568/getInfo.php?workbook=18_08.xlsx&amp;sheet=U0&amp;row=5815&amp;col=7&amp;number=0.0482&amp;sourceID=14","0.0482")</f>
        <v>0.0482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HYPERLINK("http://141.218.60.56/~jnz1568/getInfo.php?workbook=18_08.xlsx&amp;sheet=U0&amp;row=5816&amp;col=6&amp;number=4.2&amp;sourceID=14","4.2")</f>
        <v>4.2</v>
      </c>
      <c r="G5816" s="4" t="str">
        <f>HYPERLINK("http://141.218.60.56/~jnz1568/getInfo.php?workbook=18_08.xlsx&amp;sheet=U0&amp;row=5816&amp;col=7&amp;number=0.0482&amp;sourceID=14","0.0482")</f>
        <v>0.0482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HYPERLINK("http://141.218.60.56/~jnz1568/getInfo.php?workbook=18_08.xlsx&amp;sheet=U0&amp;row=5817&amp;col=6&amp;number=4.3&amp;sourceID=14","4.3")</f>
        <v>4.3</v>
      </c>
      <c r="G5817" s="4" t="str">
        <f>HYPERLINK("http://141.218.60.56/~jnz1568/getInfo.php?workbook=18_08.xlsx&amp;sheet=U0&amp;row=5817&amp;col=7&amp;number=0.0483&amp;sourceID=14","0.0483")</f>
        <v>0.0483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HYPERLINK("http://141.218.60.56/~jnz1568/getInfo.php?workbook=18_08.xlsx&amp;sheet=U0&amp;row=5818&amp;col=6&amp;number=4.4&amp;sourceID=14","4.4")</f>
        <v>4.4</v>
      </c>
      <c r="G5818" s="4" t="str">
        <f>HYPERLINK("http://141.218.60.56/~jnz1568/getInfo.php?workbook=18_08.xlsx&amp;sheet=U0&amp;row=5818&amp;col=7&amp;number=0.0483&amp;sourceID=14","0.0483")</f>
        <v>0.0483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HYPERLINK("http://141.218.60.56/~jnz1568/getInfo.php?workbook=18_08.xlsx&amp;sheet=U0&amp;row=5819&amp;col=6&amp;number=4.5&amp;sourceID=14","4.5")</f>
        <v>4.5</v>
      </c>
      <c r="G5819" s="4" t="str">
        <f>HYPERLINK("http://141.218.60.56/~jnz1568/getInfo.php?workbook=18_08.xlsx&amp;sheet=U0&amp;row=5819&amp;col=7&amp;number=0.0483&amp;sourceID=14","0.0483")</f>
        <v>0.0483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HYPERLINK("http://141.218.60.56/~jnz1568/getInfo.php?workbook=18_08.xlsx&amp;sheet=U0&amp;row=5820&amp;col=6&amp;number=4.6&amp;sourceID=14","4.6")</f>
        <v>4.6</v>
      </c>
      <c r="G5820" s="4" t="str">
        <f>HYPERLINK("http://141.218.60.56/~jnz1568/getInfo.php?workbook=18_08.xlsx&amp;sheet=U0&amp;row=5820&amp;col=7&amp;number=0.0483&amp;sourceID=14","0.0483")</f>
        <v>0.0483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HYPERLINK("http://141.218.60.56/~jnz1568/getInfo.php?workbook=18_08.xlsx&amp;sheet=U0&amp;row=5821&amp;col=6&amp;number=4.7&amp;sourceID=14","4.7")</f>
        <v>4.7</v>
      </c>
      <c r="G5821" s="4" t="str">
        <f>HYPERLINK("http://141.218.60.56/~jnz1568/getInfo.php?workbook=18_08.xlsx&amp;sheet=U0&amp;row=5821&amp;col=7&amp;number=0.0483&amp;sourceID=14","0.0483")</f>
        <v>0.0483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HYPERLINK("http://141.218.60.56/~jnz1568/getInfo.php?workbook=18_08.xlsx&amp;sheet=U0&amp;row=5822&amp;col=6&amp;number=4.8&amp;sourceID=14","4.8")</f>
        <v>4.8</v>
      </c>
      <c r="G5822" s="4" t="str">
        <f>HYPERLINK("http://141.218.60.56/~jnz1568/getInfo.php?workbook=18_08.xlsx&amp;sheet=U0&amp;row=5822&amp;col=7&amp;number=0.0483&amp;sourceID=14","0.0483")</f>
        <v>0.0483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HYPERLINK("http://141.218.60.56/~jnz1568/getInfo.php?workbook=18_08.xlsx&amp;sheet=U0&amp;row=5823&amp;col=6&amp;number=4.9&amp;sourceID=14","4.9")</f>
        <v>4.9</v>
      </c>
      <c r="G5823" s="4" t="str">
        <f>HYPERLINK("http://141.218.60.56/~jnz1568/getInfo.php?workbook=18_08.xlsx&amp;sheet=U0&amp;row=5823&amp;col=7&amp;number=0.0484&amp;sourceID=14","0.0484")</f>
        <v>0.0484</v>
      </c>
    </row>
    <row r="5824" spans="1:7">
      <c r="A5824" s="3">
        <v>18</v>
      </c>
      <c r="B5824" s="3">
        <v>8</v>
      </c>
      <c r="C5824" s="3" t="s">
        <v>73</v>
      </c>
      <c r="D5824" s="3">
        <v>4</v>
      </c>
      <c r="E5824" s="3">
        <v>1</v>
      </c>
      <c r="F5824" s="4" t="str">
        <f>HYPERLINK("http://141.218.60.56/~jnz1568/getInfo.php?workbook=18_08.xlsx&amp;sheet=U0&amp;row=5824&amp;col=6&amp;number=3&amp;sourceID=14","3")</f>
        <v>3</v>
      </c>
      <c r="G5824" s="4" t="str">
        <f>HYPERLINK("http://141.218.60.56/~jnz1568/getInfo.php?workbook=18_08.xlsx&amp;sheet=U0&amp;row=5824&amp;col=7&amp;number=0.005&amp;sourceID=14","0.005")</f>
        <v>0.005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HYPERLINK("http://141.218.60.56/~jnz1568/getInfo.php?workbook=18_08.xlsx&amp;sheet=U0&amp;row=5825&amp;col=6&amp;number=3.1&amp;sourceID=14","3.1")</f>
        <v>3.1</v>
      </c>
      <c r="G5825" s="4" t="str">
        <f>HYPERLINK("http://141.218.60.56/~jnz1568/getInfo.php?workbook=18_08.xlsx&amp;sheet=U0&amp;row=5825&amp;col=7&amp;number=0.005&amp;sourceID=14","0.005")</f>
        <v>0.005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HYPERLINK("http://141.218.60.56/~jnz1568/getInfo.php?workbook=18_08.xlsx&amp;sheet=U0&amp;row=5826&amp;col=6&amp;number=3.2&amp;sourceID=14","3.2")</f>
        <v>3.2</v>
      </c>
      <c r="G5826" s="4" t="str">
        <f>HYPERLINK("http://141.218.60.56/~jnz1568/getInfo.php?workbook=18_08.xlsx&amp;sheet=U0&amp;row=5826&amp;col=7&amp;number=0.005&amp;sourceID=14","0.005")</f>
        <v>0.005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HYPERLINK("http://141.218.60.56/~jnz1568/getInfo.php?workbook=18_08.xlsx&amp;sheet=U0&amp;row=5827&amp;col=6&amp;number=3.3&amp;sourceID=14","3.3")</f>
        <v>3.3</v>
      </c>
      <c r="G5827" s="4" t="str">
        <f>HYPERLINK("http://141.218.60.56/~jnz1568/getInfo.php?workbook=18_08.xlsx&amp;sheet=U0&amp;row=5827&amp;col=7&amp;number=0.005&amp;sourceID=14","0.005")</f>
        <v>0.005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HYPERLINK("http://141.218.60.56/~jnz1568/getInfo.php?workbook=18_08.xlsx&amp;sheet=U0&amp;row=5828&amp;col=6&amp;number=3.4&amp;sourceID=14","3.4")</f>
        <v>3.4</v>
      </c>
      <c r="G5828" s="4" t="str">
        <f>HYPERLINK("http://141.218.60.56/~jnz1568/getInfo.php?workbook=18_08.xlsx&amp;sheet=U0&amp;row=5828&amp;col=7&amp;number=0.005&amp;sourceID=14","0.005")</f>
        <v>0.005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HYPERLINK("http://141.218.60.56/~jnz1568/getInfo.php?workbook=18_08.xlsx&amp;sheet=U0&amp;row=5829&amp;col=6&amp;number=3.5&amp;sourceID=14","3.5")</f>
        <v>3.5</v>
      </c>
      <c r="G5829" s="4" t="str">
        <f>HYPERLINK("http://141.218.60.56/~jnz1568/getInfo.php?workbook=18_08.xlsx&amp;sheet=U0&amp;row=5829&amp;col=7&amp;number=0.00499&amp;sourceID=14","0.00499")</f>
        <v>0.00499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HYPERLINK("http://141.218.60.56/~jnz1568/getInfo.php?workbook=18_08.xlsx&amp;sheet=U0&amp;row=5830&amp;col=6&amp;number=3.6&amp;sourceID=14","3.6")</f>
        <v>3.6</v>
      </c>
      <c r="G5830" s="4" t="str">
        <f>HYPERLINK("http://141.218.60.56/~jnz1568/getInfo.php?workbook=18_08.xlsx&amp;sheet=U0&amp;row=5830&amp;col=7&amp;number=0.00499&amp;sourceID=14","0.00499")</f>
        <v>0.00499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HYPERLINK("http://141.218.60.56/~jnz1568/getInfo.php?workbook=18_08.xlsx&amp;sheet=U0&amp;row=5831&amp;col=6&amp;number=3.7&amp;sourceID=14","3.7")</f>
        <v>3.7</v>
      </c>
      <c r="G5831" s="4" t="str">
        <f>HYPERLINK("http://141.218.60.56/~jnz1568/getInfo.php?workbook=18_08.xlsx&amp;sheet=U0&amp;row=5831&amp;col=7&amp;number=0.00499&amp;sourceID=14","0.00499")</f>
        <v>0.00499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HYPERLINK("http://141.218.60.56/~jnz1568/getInfo.php?workbook=18_08.xlsx&amp;sheet=U0&amp;row=5832&amp;col=6&amp;number=3.8&amp;sourceID=14","3.8")</f>
        <v>3.8</v>
      </c>
      <c r="G5832" s="4" t="str">
        <f>HYPERLINK("http://141.218.60.56/~jnz1568/getInfo.php?workbook=18_08.xlsx&amp;sheet=U0&amp;row=5832&amp;col=7&amp;number=0.00499&amp;sourceID=14","0.00499")</f>
        <v>0.00499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HYPERLINK("http://141.218.60.56/~jnz1568/getInfo.php?workbook=18_08.xlsx&amp;sheet=U0&amp;row=5833&amp;col=6&amp;number=3.9&amp;sourceID=14","3.9")</f>
        <v>3.9</v>
      </c>
      <c r="G5833" s="4" t="str">
        <f>HYPERLINK("http://141.218.60.56/~jnz1568/getInfo.php?workbook=18_08.xlsx&amp;sheet=U0&amp;row=5833&amp;col=7&amp;number=0.00499&amp;sourceID=14","0.00499")</f>
        <v>0.00499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HYPERLINK("http://141.218.60.56/~jnz1568/getInfo.php?workbook=18_08.xlsx&amp;sheet=U0&amp;row=5834&amp;col=6&amp;number=4&amp;sourceID=14","4")</f>
        <v>4</v>
      </c>
      <c r="G5834" s="4" t="str">
        <f>HYPERLINK("http://141.218.60.56/~jnz1568/getInfo.php?workbook=18_08.xlsx&amp;sheet=U0&amp;row=5834&amp;col=7&amp;number=0.00499&amp;sourceID=14","0.00499")</f>
        <v>0.00499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HYPERLINK("http://141.218.60.56/~jnz1568/getInfo.php?workbook=18_08.xlsx&amp;sheet=U0&amp;row=5835&amp;col=6&amp;number=4.1&amp;sourceID=14","4.1")</f>
        <v>4.1</v>
      </c>
      <c r="G5835" s="4" t="str">
        <f>HYPERLINK("http://141.218.60.56/~jnz1568/getInfo.php?workbook=18_08.xlsx&amp;sheet=U0&amp;row=5835&amp;col=7&amp;number=0.00498&amp;sourceID=14","0.00498")</f>
        <v>0.00498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HYPERLINK("http://141.218.60.56/~jnz1568/getInfo.php?workbook=18_08.xlsx&amp;sheet=U0&amp;row=5836&amp;col=6&amp;number=4.2&amp;sourceID=14","4.2")</f>
        <v>4.2</v>
      </c>
      <c r="G5836" s="4" t="str">
        <f>HYPERLINK("http://141.218.60.56/~jnz1568/getInfo.php?workbook=18_08.xlsx&amp;sheet=U0&amp;row=5836&amp;col=7&amp;number=0.00498&amp;sourceID=14","0.00498")</f>
        <v>0.00498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HYPERLINK("http://141.218.60.56/~jnz1568/getInfo.php?workbook=18_08.xlsx&amp;sheet=U0&amp;row=5837&amp;col=6&amp;number=4.3&amp;sourceID=14","4.3")</f>
        <v>4.3</v>
      </c>
      <c r="G5837" s="4" t="str">
        <f>HYPERLINK("http://141.218.60.56/~jnz1568/getInfo.php?workbook=18_08.xlsx&amp;sheet=U0&amp;row=5837&amp;col=7&amp;number=0.00497&amp;sourceID=14","0.00497")</f>
        <v>0.00497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HYPERLINK("http://141.218.60.56/~jnz1568/getInfo.php?workbook=18_08.xlsx&amp;sheet=U0&amp;row=5838&amp;col=6&amp;number=4.4&amp;sourceID=14","4.4")</f>
        <v>4.4</v>
      </c>
      <c r="G5838" s="4" t="str">
        <f>HYPERLINK("http://141.218.60.56/~jnz1568/getInfo.php?workbook=18_08.xlsx&amp;sheet=U0&amp;row=5838&amp;col=7&amp;number=0.00497&amp;sourceID=14","0.00497")</f>
        <v>0.00497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HYPERLINK("http://141.218.60.56/~jnz1568/getInfo.php?workbook=18_08.xlsx&amp;sheet=U0&amp;row=5839&amp;col=6&amp;number=4.5&amp;sourceID=14","4.5")</f>
        <v>4.5</v>
      </c>
      <c r="G5839" s="4" t="str">
        <f>HYPERLINK("http://141.218.60.56/~jnz1568/getInfo.php?workbook=18_08.xlsx&amp;sheet=U0&amp;row=5839&amp;col=7&amp;number=0.00496&amp;sourceID=14","0.00496")</f>
        <v>0.00496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HYPERLINK("http://141.218.60.56/~jnz1568/getInfo.php?workbook=18_08.xlsx&amp;sheet=U0&amp;row=5840&amp;col=6&amp;number=4.6&amp;sourceID=14","4.6")</f>
        <v>4.6</v>
      </c>
      <c r="G5840" s="4" t="str">
        <f>HYPERLINK("http://141.218.60.56/~jnz1568/getInfo.php?workbook=18_08.xlsx&amp;sheet=U0&amp;row=5840&amp;col=7&amp;number=0.00495&amp;sourceID=14","0.00495")</f>
        <v>0.00495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HYPERLINK("http://141.218.60.56/~jnz1568/getInfo.php?workbook=18_08.xlsx&amp;sheet=U0&amp;row=5841&amp;col=6&amp;number=4.7&amp;sourceID=14","4.7")</f>
        <v>4.7</v>
      </c>
      <c r="G5841" s="4" t="str">
        <f>HYPERLINK("http://141.218.60.56/~jnz1568/getInfo.php?workbook=18_08.xlsx&amp;sheet=U0&amp;row=5841&amp;col=7&amp;number=0.00494&amp;sourceID=14","0.00494")</f>
        <v>0.00494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HYPERLINK("http://141.218.60.56/~jnz1568/getInfo.php?workbook=18_08.xlsx&amp;sheet=U0&amp;row=5842&amp;col=6&amp;number=4.8&amp;sourceID=14","4.8")</f>
        <v>4.8</v>
      </c>
      <c r="G5842" s="4" t="str">
        <f>HYPERLINK("http://141.218.60.56/~jnz1568/getInfo.php?workbook=18_08.xlsx&amp;sheet=U0&amp;row=5842&amp;col=7&amp;number=0.00493&amp;sourceID=14","0.00493")</f>
        <v>0.00493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HYPERLINK("http://141.218.60.56/~jnz1568/getInfo.php?workbook=18_08.xlsx&amp;sheet=U0&amp;row=5843&amp;col=6&amp;number=4.9&amp;sourceID=14","4.9")</f>
        <v>4.9</v>
      </c>
      <c r="G5843" s="4" t="str">
        <f>HYPERLINK("http://141.218.60.56/~jnz1568/getInfo.php?workbook=18_08.xlsx&amp;sheet=U0&amp;row=5843&amp;col=7&amp;number=0.00491&amp;sourceID=14","0.00491")</f>
        <v>0.00491</v>
      </c>
    </row>
    <row r="5844" spans="1:7">
      <c r="A5844" s="3">
        <v>18</v>
      </c>
      <c r="B5844" s="3">
        <v>8</v>
      </c>
      <c r="C5844" s="3" t="s">
        <v>73</v>
      </c>
      <c r="D5844" s="3">
        <v>5</v>
      </c>
      <c r="E5844" s="3">
        <v>1</v>
      </c>
      <c r="F5844" s="4" t="str">
        <f>HYPERLINK("http://141.218.60.56/~jnz1568/getInfo.php?workbook=18_08.xlsx&amp;sheet=U0&amp;row=5844&amp;col=6&amp;number=3&amp;sourceID=14","3")</f>
        <v>3</v>
      </c>
      <c r="G5844" s="4" t="str">
        <f>HYPERLINK("http://141.218.60.56/~jnz1568/getInfo.php?workbook=18_08.xlsx&amp;sheet=U0&amp;row=5844&amp;col=7&amp;number=0.00489&amp;sourceID=14","0.00489")</f>
        <v>0.00489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HYPERLINK("http://141.218.60.56/~jnz1568/getInfo.php?workbook=18_08.xlsx&amp;sheet=U0&amp;row=5845&amp;col=6&amp;number=3.1&amp;sourceID=14","3.1")</f>
        <v>3.1</v>
      </c>
      <c r="G5845" s="4" t="str">
        <f>HYPERLINK("http://141.218.60.56/~jnz1568/getInfo.php?workbook=18_08.xlsx&amp;sheet=U0&amp;row=5845&amp;col=7&amp;number=0.00489&amp;sourceID=14","0.00489")</f>
        <v>0.00489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HYPERLINK("http://141.218.60.56/~jnz1568/getInfo.php?workbook=18_08.xlsx&amp;sheet=U0&amp;row=5846&amp;col=6&amp;number=3.2&amp;sourceID=14","3.2")</f>
        <v>3.2</v>
      </c>
      <c r="G5846" s="4" t="str">
        <f>HYPERLINK("http://141.218.60.56/~jnz1568/getInfo.php?workbook=18_08.xlsx&amp;sheet=U0&amp;row=5846&amp;col=7&amp;number=0.00489&amp;sourceID=14","0.00489")</f>
        <v>0.00489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HYPERLINK("http://141.218.60.56/~jnz1568/getInfo.php?workbook=18_08.xlsx&amp;sheet=U0&amp;row=5847&amp;col=6&amp;number=3.3&amp;sourceID=14","3.3")</f>
        <v>3.3</v>
      </c>
      <c r="G5847" s="4" t="str">
        <f>HYPERLINK("http://141.218.60.56/~jnz1568/getInfo.php?workbook=18_08.xlsx&amp;sheet=U0&amp;row=5847&amp;col=7&amp;number=0.00489&amp;sourceID=14","0.00489")</f>
        <v>0.00489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HYPERLINK("http://141.218.60.56/~jnz1568/getInfo.php?workbook=18_08.xlsx&amp;sheet=U0&amp;row=5848&amp;col=6&amp;number=3.4&amp;sourceID=14","3.4")</f>
        <v>3.4</v>
      </c>
      <c r="G5848" s="4" t="str">
        <f>HYPERLINK("http://141.218.60.56/~jnz1568/getInfo.php?workbook=18_08.xlsx&amp;sheet=U0&amp;row=5848&amp;col=7&amp;number=0.00489&amp;sourceID=14","0.00489")</f>
        <v>0.00489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HYPERLINK("http://141.218.60.56/~jnz1568/getInfo.php?workbook=18_08.xlsx&amp;sheet=U0&amp;row=5849&amp;col=6&amp;number=3.5&amp;sourceID=14","3.5")</f>
        <v>3.5</v>
      </c>
      <c r="G5849" s="4" t="str">
        <f>HYPERLINK("http://141.218.60.56/~jnz1568/getInfo.php?workbook=18_08.xlsx&amp;sheet=U0&amp;row=5849&amp;col=7&amp;number=0.00489&amp;sourceID=14","0.00489")</f>
        <v>0.00489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HYPERLINK("http://141.218.60.56/~jnz1568/getInfo.php?workbook=18_08.xlsx&amp;sheet=U0&amp;row=5850&amp;col=6&amp;number=3.6&amp;sourceID=14","3.6")</f>
        <v>3.6</v>
      </c>
      <c r="G5850" s="4" t="str">
        <f>HYPERLINK("http://141.218.60.56/~jnz1568/getInfo.php?workbook=18_08.xlsx&amp;sheet=U0&amp;row=5850&amp;col=7&amp;number=0.00488&amp;sourceID=14","0.00488")</f>
        <v>0.00488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HYPERLINK("http://141.218.60.56/~jnz1568/getInfo.php?workbook=18_08.xlsx&amp;sheet=U0&amp;row=5851&amp;col=6&amp;number=3.7&amp;sourceID=14","3.7")</f>
        <v>3.7</v>
      </c>
      <c r="G5851" s="4" t="str">
        <f>HYPERLINK("http://141.218.60.56/~jnz1568/getInfo.php?workbook=18_08.xlsx&amp;sheet=U0&amp;row=5851&amp;col=7&amp;number=0.00488&amp;sourceID=14","0.00488")</f>
        <v>0.00488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HYPERLINK("http://141.218.60.56/~jnz1568/getInfo.php?workbook=18_08.xlsx&amp;sheet=U0&amp;row=5852&amp;col=6&amp;number=3.8&amp;sourceID=14","3.8")</f>
        <v>3.8</v>
      </c>
      <c r="G5852" s="4" t="str">
        <f>HYPERLINK("http://141.218.60.56/~jnz1568/getInfo.php?workbook=18_08.xlsx&amp;sheet=U0&amp;row=5852&amp;col=7&amp;number=0.00488&amp;sourceID=14","0.00488")</f>
        <v>0.00488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HYPERLINK("http://141.218.60.56/~jnz1568/getInfo.php?workbook=18_08.xlsx&amp;sheet=U0&amp;row=5853&amp;col=6&amp;number=3.9&amp;sourceID=14","3.9")</f>
        <v>3.9</v>
      </c>
      <c r="G5853" s="4" t="str">
        <f>HYPERLINK("http://141.218.60.56/~jnz1568/getInfo.php?workbook=18_08.xlsx&amp;sheet=U0&amp;row=5853&amp;col=7&amp;number=0.00488&amp;sourceID=14","0.00488")</f>
        <v>0.00488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HYPERLINK("http://141.218.60.56/~jnz1568/getInfo.php?workbook=18_08.xlsx&amp;sheet=U0&amp;row=5854&amp;col=6&amp;number=4&amp;sourceID=14","4")</f>
        <v>4</v>
      </c>
      <c r="G5854" s="4" t="str">
        <f>HYPERLINK("http://141.218.60.56/~jnz1568/getInfo.php?workbook=18_08.xlsx&amp;sheet=U0&amp;row=5854&amp;col=7&amp;number=0.00488&amp;sourceID=14","0.00488")</f>
        <v>0.00488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HYPERLINK("http://141.218.60.56/~jnz1568/getInfo.php?workbook=18_08.xlsx&amp;sheet=U0&amp;row=5855&amp;col=6&amp;number=4.1&amp;sourceID=14","4.1")</f>
        <v>4.1</v>
      </c>
      <c r="G5855" s="4" t="str">
        <f>HYPERLINK("http://141.218.60.56/~jnz1568/getInfo.php?workbook=18_08.xlsx&amp;sheet=U0&amp;row=5855&amp;col=7&amp;number=0.00488&amp;sourceID=14","0.00488")</f>
        <v>0.00488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HYPERLINK("http://141.218.60.56/~jnz1568/getInfo.php?workbook=18_08.xlsx&amp;sheet=U0&amp;row=5856&amp;col=6&amp;number=4.2&amp;sourceID=14","4.2")</f>
        <v>4.2</v>
      </c>
      <c r="G5856" s="4" t="str">
        <f>HYPERLINK("http://141.218.60.56/~jnz1568/getInfo.php?workbook=18_08.xlsx&amp;sheet=U0&amp;row=5856&amp;col=7&amp;number=0.00487&amp;sourceID=14","0.00487")</f>
        <v>0.00487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HYPERLINK("http://141.218.60.56/~jnz1568/getInfo.php?workbook=18_08.xlsx&amp;sheet=U0&amp;row=5857&amp;col=6&amp;number=4.3&amp;sourceID=14","4.3")</f>
        <v>4.3</v>
      </c>
      <c r="G5857" s="4" t="str">
        <f>HYPERLINK("http://141.218.60.56/~jnz1568/getInfo.php?workbook=18_08.xlsx&amp;sheet=U0&amp;row=5857&amp;col=7&amp;number=0.00487&amp;sourceID=14","0.00487")</f>
        <v>0.00487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HYPERLINK("http://141.218.60.56/~jnz1568/getInfo.php?workbook=18_08.xlsx&amp;sheet=U0&amp;row=5858&amp;col=6&amp;number=4.4&amp;sourceID=14","4.4")</f>
        <v>4.4</v>
      </c>
      <c r="G5858" s="4" t="str">
        <f>HYPERLINK("http://141.218.60.56/~jnz1568/getInfo.php?workbook=18_08.xlsx&amp;sheet=U0&amp;row=5858&amp;col=7&amp;number=0.00487&amp;sourceID=14","0.00487")</f>
        <v>0.00487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HYPERLINK("http://141.218.60.56/~jnz1568/getInfo.php?workbook=18_08.xlsx&amp;sheet=U0&amp;row=5859&amp;col=6&amp;number=4.5&amp;sourceID=14","4.5")</f>
        <v>4.5</v>
      </c>
      <c r="G5859" s="4" t="str">
        <f>HYPERLINK("http://141.218.60.56/~jnz1568/getInfo.php?workbook=18_08.xlsx&amp;sheet=U0&amp;row=5859&amp;col=7&amp;number=0.00486&amp;sourceID=14","0.00486")</f>
        <v>0.00486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HYPERLINK("http://141.218.60.56/~jnz1568/getInfo.php?workbook=18_08.xlsx&amp;sheet=U0&amp;row=5860&amp;col=6&amp;number=4.6&amp;sourceID=14","4.6")</f>
        <v>4.6</v>
      </c>
      <c r="G5860" s="4" t="str">
        <f>HYPERLINK("http://141.218.60.56/~jnz1568/getInfo.php?workbook=18_08.xlsx&amp;sheet=U0&amp;row=5860&amp;col=7&amp;number=0.00486&amp;sourceID=14","0.00486")</f>
        <v>0.00486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HYPERLINK("http://141.218.60.56/~jnz1568/getInfo.php?workbook=18_08.xlsx&amp;sheet=U0&amp;row=5861&amp;col=6&amp;number=4.7&amp;sourceID=14","4.7")</f>
        <v>4.7</v>
      </c>
      <c r="G5861" s="4" t="str">
        <f>HYPERLINK("http://141.218.60.56/~jnz1568/getInfo.php?workbook=18_08.xlsx&amp;sheet=U0&amp;row=5861&amp;col=7&amp;number=0.00485&amp;sourceID=14","0.00485")</f>
        <v>0.00485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HYPERLINK("http://141.218.60.56/~jnz1568/getInfo.php?workbook=18_08.xlsx&amp;sheet=U0&amp;row=5862&amp;col=6&amp;number=4.8&amp;sourceID=14","4.8")</f>
        <v>4.8</v>
      </c>
      <c r="G5862" s="4" t="str">
        <f>HYPERLINK("http://141.218.60.56/~jnz1568/getInfo.php?workbook=18_08.xlsx&amp;sheet=U0&amp;row=5862&amp;col=7&amp;number=0.00484&amp;sourceID=14","0.00484")</f>
        <v>0.00484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HYPERLINK("http://141.218.60.56/~jnz1568/getInfo.php?workbook=18_08.xlsx&amp;sheet=U0&amp;row=5863&amp;col=6&amp;number=4.9&amp;sourceID=14","4.9")</f>
        <v>4.9</v>
      </c>
      <c r="G5863" s="4" t="str">
        <f>HYPERLINK("http://141.218.60.56/~jnz1568/getInfo.php?workbook=18_08.xlsx&amp;sheet=U0&amp;row=5863&amp;col=7&amp;number=0.00482&amp;sourceID=14","0.00482")</f>
        <v>0.00482</v>
      </c>
    </row>
    <row r="5864" spans="1:7">
      <c r="A5864" s="3">
        <v>18</v>
      </c>
      <c r="B5864" s="3">
        <v>8</v>
      </c>
      <c r="C5864" s="3" t="s">
        <v>73</v>
      </c>
      <c r="D5864" s="3">
        <v>6</v>
      </c>
      <c r="E5864" s="3">
        <v>1</v>
      </c>
      <c r="F5864" s="4" t="str">
        <f>HYPERLINK("http://141.218.60.56/~jnz1568/getInfo.php?workbook=18_08.xlsx&amp;sheet=U0&amp;row=5864&amp;col=6&amp;number=3&amp;sourceID=14","3")</f>
        <v>3</v>
      </c>
      <c r="G5864" s="4" t="str">
        <f>HYPERLINK("http://141.218.60.56/~jnz1568/getInfo.php?workbook=18_08.xlsx&amp;sheet=U0&amp;row=5864&amp;col=7&amp;number=0.0276&amp;sourceID=14","0.0276")</f>
        <v>0.0276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HYPERLINK("http://141.218.60.56/~jnz1568/getInfo.php?workbook=18_08.xlsx&amp;sheet=U0&amp;row=5865&amp;col=6&amp;number=3.1&amp;sourceID=14","3.1")</f>
        <v>3.1</v>
      </c>
      <c r="G5865" s="4" t="str">
        <f>HYPERLINK("http://141.218.60.56/~jnz1568/getInfo.php?workbook=18_08.xlsx&amp;sheet=U0&amp;row=5865&amp;col=7&amp;number=0.0276&amp;sourceID=14","0.0276")</f>
        <v>0.0276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HYPERLINK("http://141.218.60.56/~jnz1568/getInfo.php?workbook=18_08.xlsx&amp;sheet=U0&amp;row=5866&amp;col=6&amp;number=3.2&amp;sourceID=14","3.2")</f>
        <v>3.2</v>
      </c>
      <c r="G5866" s="4" t="str">
        <f>HYPERLINK("http://141.218.60.56/~jnz1568/getInfo.php?workbook=18_08.xlsx&amp;sheet=U0&amp;row=5866&amp;col=7&amp;number=0.0276&amp;sourceID=14","0.0276")</f>
        <v>0.0276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HYPERLINK("http://141.218.60.56/~jnz1568/getInfo.php?workbook=18_08.xlsx&amp;sheet=U0&amp;row=5867&amp;col=6&amp;number=3.3&amp;sourceID=14","3.3")</f>
        <v>3.3</v>
      </c>
      <c r="G5867" s="4" t="str">
        <f>HYPERLINK("http://141.218.60.56/~jnz1568/getInfo.php?workbook=18_08.xlsx&amp;sheet=U0&amp;row=5867&amp;col=7&amp;number=0.0276&amp;sourceID=14","0.0276")</f>
        <v>0.0276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HYPERLINK("http://141.218.60.56/~jnz1568/getInfo.php?workbook=18_08.xlsx&amp;sheet=U0&amp;row=5868&amp;col=6&amp;number=3.4&amp;sourceID=14","3.4")</f>
        <v>3.4</v>
      </c>
      <c r="G5868" s="4" t="str">
        <f>HYPERLINK("http://141.218.60.56/~jnz1568/getInfo.php?workbook=18_08.xlsx&amp;sheet=U0&amp;row=5868&amp;col=7&amp;number=0.0276&amp;sourceID=14","0.0276")</f>
        <v>0.0276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HYPERLINK("http://141.218.60.56/~jnz1568/getInfo.php?workbook=18_08.xlsx&amp;sheet=U0&amp;row=5869&amp;col=6&amp;number=3.5&amp;sourceID=14","3.5")</f>
        <v>3.5</v>
      </c>
      <c r="G5869" s="4" t="str">
        <f>HYPERLINK("http://141.218.60.56/~jnz1568/getInfo.php?workbook=18_08.xlsx&amp;sheet=U0&amp;row=5869&amp;col=7&amp;number=0.0276&amp;sourceID=14","0.0276")</f>
        <v>0.0276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HYPERLINK("http://141.218.60.56/~jnz1568/getInfo.php?workbook=18_08.xlsx&amp;sheet=U0&amp;row=5870&amp;col=6&amp;number=3.6&amp;sourceID=14","3.6")</f>
        <v>3.6</v>
      </c>
      <c r="G5870" s="4" t="str">
        <f>HYPERLINK("http://141.218.60.56/~jnz1568/getInfo.php?workbook=18_08.xlsx&amp;sheet=U0&amp;row=5870&amp;col=7&amp;number=0.0276&amp;sourceID=14","0.0276")</f>
        <v>0.0276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HYPERLINK("http://141.218.60.56/~jnz1568/getInfo.php?workbook=18_08.xlsx&amp;sheet=U0&amp;row=5871&amp;col=6&amp;number=3.7&amp;sourceID=14","3.7")</f>
        <v>3.7</v>
      </c>
      <c r="G5871" s="4" t="str">
        <f>HYPERLINK("http://141.218.60.56/~jnz1568/getInfo.php?workbook=18_08.xlsx&amp;sheet=U0&amp;row=5871&amp;col=7&amp;number=0.0276&amp;sourceID=14","0.0276")</f>
        <v>0.0276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HYPERLINK("http://141.218.60.56/~jnz1568/getInfo.php?workbook=18_08.xlsx&amp;sheet=U0&amp;row=5872&amp;col=6&amp;number=3.8&amp;sourceID=14","3.8")</f>
        <v>3.8</v>
      </c>
      <c r="G5872" s="4" t="str">
        <f>HYPERLINK("http://141.218.60.56/~jnz1568/getInfo.php?workbook=18_08.xlsx&amp;sheet=U0&amp;row=5872&amp;col=7&amp;number=0.0276&amp;sourceID=14","0.0276")</f>
        <v>0.0276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HYPERLINK("http://141.218.60.56/~jnz1568/getInfo.php?workbook=18_08.xlsx&amp;sheet=U0&amp;row=5873&amp;col=6&amp;number=3.9&amp;sourceID=14","3.9")</f>
        <v>3.9</v>
      </c>
      <c r="G5873" s="4" t="str">
        <f>HYPERLINK("http://141.218.60.56/~jnz1568/getInfo.php?workbook=18_08.xlsx&amp;sheet=U0&amp;row=5873&amp;col=7&amp;number=0.0276&amp;sourceID=14","0.0276")</f>
        <v>0.0276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HYPERLINK("http://141.218.60.56/~jnz1568/getInfo.php?workbook=18_08.xlsx&amp;sheet=U0&amp;row=5874&amp;col=6&amp;number=4&amp;sourceID=14","4")</f>
        <v>4</v>
      </c>
      <c r="G5874" s="4" t="str">
        <f>HYPERLINK("http://141.218.60.56/~jnz1568/getInfo.php?workbook=18_08.xlsx&amp;sheet=U0&amp;row=5874&amp;col=7&amp;number=0.0276&amp;sourceID=14","0.0276")</f>
        <v>0.0276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HYPERLINK("http://141.218.60.56/~jnz1568/getInfo.php?workbook=18_08.xlsx&amp;sheet=U0&amp;row=5875&amp;col=6&amp;number=4.1&amp;sourceID=14","4.1")</f>
        <v>4.1</v>
      </c>
      <c r="G5875" s="4" t="str">
        <f>HYPERLINK("http://141.218.60.56/~jnz1568/getInfo.php?workbook=18_08.xlsx&amp;sheet=U0&amp;row=5875&amp;col=7&amp;number=0.0276&amp;sourceID=14","0.0276")</f>
        <v>0.0276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HYPERLINK("http://141.218.60.56/~jnz1568/getInfo.php?workbook=18_08.xlsx&amp;sheet=U0&amp;row=5876&amp;col=6&amp;number=4.2&amp;sourceID=14","4.2")</f>
        <v>4.2</v>
      </c>
      <c r="G5876" s="4" t="str">
        <f>HYPERLINK("http://141.218.60.56/~jnz1568/getInfo.php?workbook=18_08.xlsx&amp;sheet=U0&amp;row=5876&amp;col=7&amp;number=0.0276&amp;sourceID=14","0.0276")</f>
        <v>0.0276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HYPERLINK("http://141.218.60.56/~jnz1568/getInfo.php?workbook=18_08.xlsx&amp;sheet=U0&amp;row=5877&amp;col=6&amp;number=4.3&amp;sourceID=14","4.3")</f>
        <v>4.3</v>
      </c>
      <c r="G5877" s="4" t="str">
        <f>HYPERLINK("http://141.218.60.56/~jnz1568/getInfo.php?workbook=18_08.xlsx&amp;sheet=U0&amp;row=5877&amp;col=7&amp;number=0.0276&amp;sourceID=14","0.0276")</f>
        <v>0.0276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HYPERLINK("http://141.218.60.56/~jnz1568/getInfo.php?workbook=18_08.xlsx&amp;sheet=U0&amp;row=5878&amp;col=6&amp;number=4.4&amp;sourceID=14","4.4")</f>
        <v>4.4</v>
      </c>
      <c r="G5878" s="4" t="str">
        <f>HYPERLINK("http://141.218.60.56/~jnz1568/getInfo.php?workbook=18_08.xlsx&amp;sheet=U0&amp;row=5878&amp;col=7&amp;number=0.0276&amp;sourceID=14","0.0276")</f>
        <v>0.0276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HYPERLINK("http://141.218.60.56/~jnz1568/getInfo.php?workbook=18_08.xlsx&amp;sheet=U0&amp;row=5879&amp;col=6&amp;number=4.5&amp;sourceID=14","4.5")</f>
        <v>4.5</v>
      </c>
      <c r="G5879" s="4" t="str">
        <f>HYPERLINK("http://141.218.60.56/~jnz1568/getInfo.php?workbook=18_08.xlsx&amp;sheet=U0&amp;row=5879&amp;col=7&amp;number=0.0276&amp;sourceID=14","0.0276")</f>
        <v>0.0276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HYPERLINK("http://141.218.60.56/~jnz1568/getInfo.php?workbook=18_08.xlsx&amp;sheet=U0&amp;row=5880&amp;col=6&amp;number=4.6&amp;sourceID=14","4.6")</f>
        <v>4.6</v>
      </c>
      <c r="G5880" s="4" t="str">
        <f>HYPERLINK("http://141.218.60.56/~jnz1568/getInfo.php?workbook=18_08.xlsx&amp;sheet=U0&amp;row=5880&amp;col=7&amp;number=0.0276&amp;sourceID=14","0.0276")</f>
        <v>0.0276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HYPERLINK("http://141.218.60.56/~jnz1568/getInfo.php?workbook=18_08.xlsx&amp;sheet=U0&amp;row=5881&amp;col=6&amp;number=4.7&amp;sourceID=14","4.7")</f>
        <v>4.7</v>
      </c>
      <c r="G5881" s="4" t="str">
        <f>HYPERLINK("http://141.218.60.56/~jnz1568/getInfo.php?workbook=18_08.xlsx&amp;sheet=U0&amp;row=5881&amp;col=7&amp;number=0.0276&amp;sourceID=14","0.0276")</f>
        <v>0.0276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HYPERLINK("http://141.218.60.56/~jnz1568/getInfo.php?workbook=18_08.xlsx&amp;sheet=U0&amp;row=5882&amp;col=6&amp;number=4.8&amp;sourceID=14","4.8")</f>
        <v>4.8</v>
      </c>
      <c r="G5882" s="4" t="str">
        <f>HYPERLINK("http://141.218.60.56/~jnz1568/getInfo.php?workbook=18_08.xlsx&amp;sheet=U0&amp;row=5882&amp;col=7&amp;number=0.0276&amp;sourceID=14","0.0276")</f>
        <v>0.0276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HYPERLINK("http://141.218.60.56/~jnz1568/getInfo.php?workbook=18_08.xlsx&amp;sheet=U0&amp;row=5883&amp;col=6&amp;number=4.9&amp;sourceID=14","4.9")</f>
        <v>4.9</v>
      </c>
      <c r="G5883" s="4" t="str">
        <f>HYPERLINK("http://141.218.60.56/~jnz1568/getInfo.php?workbook=18_08.xlsx&amp;sheet=U0&amp;row=5883&amp;col=7&amp;number=0.0276&amp;sourceID=14","0.0276")</f>
        <v>0.0276</v>
      </c>
    </row>
    <row r="5884" spans="1:7">
      <c r="A5884" s="3">
        <v>18</v>
      </c>
      <c r="B5884" s="3">
        <v>8</v>
      </c>
      <c r="C5884" s="3" t="s">
        <v>73</v>
      </c>
      <c r="D5884" s="3">
        <v>7</v>
      </c>
      <c r="E5884" s="3">
        <v>1</v>
      </c>
      <c r="F5884" s="4" t="str">
        <f>HYPERLINK("http://141.218.60.56/~jnz1568/getInfo.php?workbook=18_08.xlsx&amp;sheet=U0&amp;row=5884&amp;col=6&amp;number=3&amp;sourceID=14","3")</f>
        <v>3</v>
      </c>
      <c r="G5884" s="4" t="str">
        <f>HYPERLINK("http://141.218.60.56/~jnz1568/getInfo.php?workbook=18_08.xlsx&amp;sheet=U0&amp;row=5884&amp;col=7&amp;number=0.011&amp;sourceID=14","0.011")</f>
        <v>0.011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HYPERLINK("http://141.218.60.56/~jnz1568/getInfo.php?workbook=18_08.xlsx&amp;sheet=U0&amp;row=5885&amp;col=6&amp;number=3.1&amp;sourceID=14","3.1")</f>
        <v>3.1</v>
      </c>
      <c r="G5885" s="4" t="str">
        <f>HYPERLINK("http://141.218.60.56/~jnz1568/getInfo.php?workbook=18_08.xlsx&amp;sheet=U0&amp;row=5885&amp;col=7&amp;number=0.011&amp;sourceID=14","0.011")</f>
        <v>0.011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HYPERLINK("http://141.218.60.56/~jnz1568/getInfo.php?workbook=18_08.xlsx&amp;sheet=U0&amp;row=5886&amp;col=6&amp;number=3.2&amp;sourceID=14","3.2")</f>
        <v>3.2</v>
      </c>
      <c r="G5886" s="4" t="str">
        <f>HYPERLINK("http://141.218.60.56/~jnz1568/getInfo.php?workbook=18_08.xlsx&amp;sheet=U0&amp;row=5886&amp;col=7&amp;number=0.011&amp;sourceID=14","0.011")</f>
        <v>0.011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HYPERLINK("http://141.218.60.56/~jnz1568/getInfo.php?workbook=18_08.xlsx&amp;sheet=U0&amp;row=5887&amp;col=6&amp;number=3.3&amp;sourceID=14","3.3")</f>
        <v>3.3</v>
      </c>
      <c r="G5887" s="4" t="str">
        <f>HYPERLINK("http://141.218.60.56/~jnz1568/getInfo.php?workbook=18_08.xlsx&amp;sheet=U0&amp;row=5887&amp;col=7&amp;number=0.011&amp;sourceID=14","0.011")</f>
        <v>0.011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HYPERLINK("http://141.218.60.56/~jnz1568/getInfo.php?workbook=18_08.xlsx&amp;sheet=U0&amp;row=5888&amp;col=6&amp;number=3.4&amp;sourceID=14","3.4")</f>
        <v>3.4</v>
      </c>
      <c r="G5888" s="4" t="str">
        <f>HYPERLINK("http://141.218.60.56/~jnz1568/getInfo.php?workbook=18_08.xlsx&amp;sheet=U0&amp;row=5888&amp;col=7&amp;number=0.011&amp;sourceID=14","0.011")</f>
        <v>0.011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HYPERLINK("http://141.218.60.56/~jnz1568/getInfo.php?workbook=18_08.xlsx&amp;sheet=U0&amp;row=5889&amp;col=6&amp;number=3.5&amp;sourceID=14","3.5")</f>
        <v>3.5</v>
      </c>
      <c r="G5889" s="4" t="str">
        <f>HYPERLINK("http://141.218.60.56/~jnz1568/getInfo.php?workbook=18_08.xlsx&amp;sheet=U0&amp;row=5889&amp;col=7&amp;number=0.011&amp;sourceID=14","0.011")</f>
        <v>0.011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HYPERLINK("http://141.218.60.56/~jnz1568/getInfo.php?workbook=18_08.xlsx&amp;sheet=U0&amp;row=5890&amp;col=6&amp;number=3.6&amp;sourceID=14","3.6")</f>
        <v>3.6</v>
      </c>
      <c r="G5890" s="4" t="str">
        <f>HYPERLINK("http://141.218.60.56/~jnz1568/getInfo.php?workbook=18_08.xlsx&amp;sheet=U0&amp;row=5890&amp;col=7&amp;number=0.011&amp;sourceID=14","0.011")</f>
        <v>0.011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HYPERLINK("http://141.218.60.56/~jnz1568/getInfo.php?workbook=18_08.xlsx&amp;sheet=U0&amp;row=5891&amp;col=6&amp;number=3.7&amp;sourceID=14","3.7")</f>
        <v>3.7</v>
      </c>
      <c r="G5891" s="4" t="str">
        <f>HYPERLINK("http://141.218.60.56/~jnz1568/getInfo.php?workbook=18_08.xlsx&amp;sheet=U0&amp;row=5891&amp;col=7&amp;number=0.011&amp;sourceID=14","0.011")</f>
        <v>0.011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HYPERLINK("http://141.218.60.56/~jnz1568/getInfo.php?workbook=18_08.xlsx&amp;sheet=U0&amp;row=5892&amp;col=6&amp;number=3.8&amp;sourceID=14","3.8")</f>
        <v>3.8</v>
      </c>
      <c r="G5892" s="4" t="str">
        <f>HYPERLINK("http://141.218.60.56/~jnz1568/getInfo.php?workbook=18_08.xlsx&amp;sheet=U0&amp;row=5892&amp;col=7&amp;number=0.011&amp;sourceID=14","0.011")</f>
        <v>0.011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HYPERLINK("http://141.218.60.56/~jnz1568/getInfo.php?workbook=18_08.xlsx&amp;sheet=U0&amp;row=5893&amp;col=6&amp;number=3.9&amp;sourceID=14","3.9")</f>
        <v>3.9</v>
      </c>
      <c r="G5893" s="4" t="str">
        <f>HYPERLINK("http://141.218.60.56/~jnz1568/getInfo.php?workbook=18_08.xlsx&amp;sheet=U0&amp;row=5893&amp;col=7&amp;number=0.011&amp;sourceID=14","0.011")</f>
        <v>0.011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HYPERLINK("http://141.218.60.56/~jnz1568/getInfo.php?workbook=18_08.xlsx&amp;sheet=U0&amp;row=5894&amp;col=6&amp;number=4&amp;sourceID=14","4")</f>
        <v>4</v>
      </c>
      <c r="G5894" s="4" t="str">
        <f>HYPERLINK("http://141.218.60.56/~jnz1568/getInfo.php?workbook=18_08.xlsx&amp;sheet=U0&amp;row=5894&amp;col=7&amp;number=0.011&amp;sourceID=14","0.011")</f>
        <v>0.011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HYPERLINK("http://141.218.60.56/~jnz1568/getInfo.php?workbook=18_08.xlsx&amp;sheet=U0&amp;row=5895&amp;col=6&amp;number=4.1&amp;sourceID=14","4.1")</f>
        <v>4.1</v>
      </c>
      <c r="G5895" s="4" t="str">
        <f>HYPERLINK("http://141.218.60.56/~jnz1568/getInfo.php?workbook=18_08.xlsx&amp;sheet=U0&amp;row=5895&amp;col=7&amp;number=0.011&amp;sourceID=14","0.011")</f>
        <v>0.011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HYPERLINK("http://141.218.60.56/~jnz1568/getInfo.php?workbook=18_08.xlsx&amp;sheet=U0&amp;row=5896&amp;col=6&amp;number=4.2&amp;sourceID=14","4.2")</f>
        <v>4.2</v>
      </c>
      <c r="G5896" s="4" t="str">
        <f>HYPERLINK("http://141.218.60.56/~jnz1568/getInfo.php?workbook=18_08.xlsx&amp;sheet=U0&amp;row=5896&amp;col=7&amp;number=0.011&amp;sourceID=14","0.011")</f>
        <v>0.011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HYPERLINK("http://141.218.60.56/~jnz1568/getInfo.php?workbook=18_08.xlsx&amp;sheet=U0&amp;row=5897&amp;col=6&amp;number=4.3&amp;sourceID=14","4.3")</f>
        <v>4.3</v>
      </c>
      <c r="G5897" s="4" t="str">
        <f>HYPERLINK("http://141.218.60.56/~jnz1568/getInfo.php?workbook=18_08.xlsx&amp;sheet=U0&amp;row=5897&amp;col=7&amp;number=0.011&amp;sourceID=14","0.011")</f>
        <v>0.011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HYPERLINK("http://141.218.60.56/~jnz1568/getInfo.php?workbook=18_08.xlsx&amp;sheet=U0&amp;row=5898&amp;col=6&amp;number=4.4&amp;sourceID=14","4.4")</f>
        <v>4.4</v>
      </c>
      <c r="G5898" s="4" t="str">
        <f>HYPERLINK("http://141.218.60.56/~jnz1568/getInfo.php?workbook=18_08.xlsx&amp;sheet=U0&amp;row=5898&amp;col=7&amp;number=0.011&amp;sourceID=14","0.011")</f>
        <v>0.011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HYPERLINK("http://141.218.60.56/~jnz1568/getInfo.php?workbook=18_08.xlsx&amp;sheet=U0&amp;row=5899&amp;col=6&amp;number=4.5&amp;sourceID=14","4.5")</f>
        <v>4.5</v>
      </c>
      <c r="G5899" s="4" t="str">
        <f>HYPERLINK("http://141.218.60.56/~jnz1568/getInfo.php?workbook=18_08.xlsx&amp;sheet=U0&amp;row=5899&amp;col=7&amp;number=0.011&amp;sourceID=14","0.011")</f>
        <v>0.011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HYPERLINK("http://141.218.60.56/~jnz1568/getInfo.php?workbook=18_08.xlsx&amp;sheet=U0&amp;row=5900&amp;col=6&amp;number=4.6&amp;sourceID=14","4.6")</f>
        <v>4.6</v>
      </c>
      <c r="G5900" s="4" t="str">
        <f>HYPERLINK("http://141.218.60.56/~jnz1568/getInfo.php?workbook=18_08.xlsx&amp;sheet=U0&amp;row=5900&amp;col=7&amp;number=0.011&amp;sourceID=14","0.011")</f>
        <v>0.011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HYPERLINK("http://141.218.60.56/~jnz1568/getInfo.php?workbook=18_08.xlsx&amp;sheet=U0&amp;row=5901&amp;col=6&amp;number=4.7&amp;sourceID=14","4.7")</f>
        <v>4.7</v>
      </c>
      <c r="G5901" s="4" t="str">
        <f>HYPERLINK("http://141.218.60.56/~jnz1568/getInfo.php?workbook=18_08.xlsx&amp;sheet=U0&amp;row=5901&amp;col=7&amp;number=0.0109&amp;sourceID=14","0.0109")</f>
        <v>0.0109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HYPERLINK("http://141.218.60.56/~jnz1568/getInfo.php?workbook=18_08.xlsx&amp;sheet=U0&amp;row=5902&amp;col=6&amp;number=4.8&amp;sourceID=14","4.8")</f>
        <v>4.8</v>
      </c>
      <c r="G5902" s="4" t="str">
        <f>HYPERLINK("http://141.218.60.56/~jnz1568/getInfo.php?workbook=18_08.xlsx&amp;sheet=U0&amp;row=5902&amp;col=7&amp;number=0.0109&amp;sourceID=14","0.0109")</f>
        <v>0.0109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HYPERLINK("http://141.218.60.56/~jnz1568/getInfo.php?workbook=18_08.xlsx&amp;sheet=U0&amp;row=5903&amp;col=6&amp;number=4.9&amp;sourceID=14","4.9")</f>
        <v>4.9</v>
      </c>
      <c r="G5903" s="4" t="str">
        <f>HYPERLINK("http://141.218.60.56/~jnz1568/getInfo.php?workbook=18_08.xlsx&amp;sheet=U0&amp;row=5903&amp;col=7&amp;number=0.0109&amp;sourceID=14","0.0109")</f>
        <v>0.0109</v>
      </c>
    </row>
    <row r="5904" spans="1:7">
      <c r="A5904" s="3">
        <v>18</v>
      </c>
      <c r="B5904" s="3">
        <v>8</v>
      </c>
      <c r="C5904" s="3" t="s">
        <v>73</v>
      </c>
      <c r="D5904" s="3">
        <v>8</v>
      </c>
      <c r="E5904" s="3">
        <v>1</v>
      </c>
      <c r="F5904" s="4" t="str">
        <f>HYPERLINK("http://141.218.60.56/~jnz1568/getInfo.php?workbook=18_08.xlsx&amp;sheet=U0&amp;row=5904&amp;col=6&amp;number=3&amp;sourceID=14","3")</f>
        <v>3</v>
      </c>
      <c r="G5904" s="4" t="str">
        <f>HYPERLINK("http://141.218.60.56/~jnz1568/getInfo.php?workbook=18_08.xlsx&amp;sheet=U0&amp;row=5904&amp;col=7&amp;number=0.00432&amp;sourceID=14","0.00432")</f>
        <v>0.00432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HYPERLINK("http://141.218.60.56/~jnz1568/getInfo.php?workbook=18_08.xlsx&amp;sheet=U0&amp;row=5905&amp;col=6&amp;number=3.1&amp;sourceID=14","3.1")</f>
        <v>3.1</v>
      </c>
      <c r="G5905" s="4" t="str">
        <f>HYPERLINK("http://141.218.60.56/~jnz1568/getInfo.php?workbook=18_08.xlsx&amp;sheet=U0&amp;row=5905&amp;col=7&amp;number=0.00432&amp;sourceID=14","0.00432")</f>
        <v>0.00432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HYPERLINK("http://141.218.60.56/~jnz1568/getInfo.php?workbook=18_08.xlsx&amp;sheet=U0&amp;row=5906&amp;col=6&amp;number=3.2&amp;sourceID=14","3.2")</f>
        <v>3.2</v>
      </c>
      <c r="G5906" s="4" t="str">
        <f>HYPERLINK("http://141.218.60.56/~jnz1568/getInfo.php?workbook=18_08.xlsx&amp;sheet=U0&amp;row=5906&amp;col=7&amp;number=0.00432&amp;sourceID=14","0.00432")</f>
        <v>0.00432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HYPERLINK("http://141.218.60.56/~jnz1568/getInfo.php?workbook=18_08.xlsx&amp;sheet=U0&amp;row=5907&amp;col=6&amp;number=3.3&amp;sourceID=14","3.3")</f>
        <v>3.3</v>
      </c>
      <c r="G5907" s="4" t="str">
        <f>HYPERLINK("http://141.218.60.56/~jnz1568/getInfo.php?workbook=18_08.xlsx&amp;sheet=U0&amp;row=5907&amp;col=7&amp;number=0.00432&amp;sourceID=14","0.00432")</f>
        <v>0.00432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HYPERLINK("http://141.218.60.56/~jnz1568/getInfo.php?workbook=18_08.xlsx&amp;sheet=U0&amp;row=5908&amp;col=6&amp;number=3.4&amp;sourceID=14","3.4")</f>
        <v>3.4</v>
      </c>
      <c r="G5908" s="4" t="str">
        <f>HYPERLINK("http://141.218.60.56/~jnz1568/getInfo.php?workbook=18_08.xlsx&amp;sheet=U0&amp;row=5908&amp;col=7&amp;number=0.00432&amp;sourceID=14","0.00432")</f>
        <v>0.00432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HYPERLINK("http://141.218.60.56/~jnz1568/getInfo.php?workbook=18_08.xlsx&amp;sheet=U0&amp;row=5909&amp;col=6&amp;number=3.5&amp;sourceID=14","3.5")</f>
        <v>3.5</v>
      </c>
      <c r="G5909" s="4" t="str">
        <f>HYPERLINK("http://141.218.60.56/~jnz1568/getInfo.php?workbook=18_08.xlsx&amp;sheet=U0&amp;row=5909&amp;col=7&amp;number=0.00432&amp;sourceID=14","0.00432")</f>
        <v>0.00432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HYPERLINK("http://141.218.60.56/~jnz1568/getInfo.php?workbook=18_08.xlsx&amp;sheet=U0&amp;row=5910&amp;col=6&amp;number=3.6&amp;sourceID=14","3.6")</f>
        <v>3.6</v>
      </c>
      <c r="G5910" s="4" t="str">
        <f>HYPERLINK("http://141.218.60.56/~jnz1568/getInfo.php?workbook=18_08.xlsx&amp;sheet=U0&amp;row=5910&amp;col=7&amp;number=0.00432&amp;sourceID=14","0.00432")</f>
        <v>0.00432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HYPERLINK("http://141.218.60.56/~jnz1568/getInfo.php?workbook=18_08.xlsx&amp;sheet=U0&amp;row=5911&amp;col=6&amp;number=3.7&amp;sourceID=14","3.7")</f>
        <v>3.7</v>
      </c>
      <c r="G5911" s="4" t="str">
        <f>HYPERLINK("http://141.218.60.56/~jnz1568/getInfo.php?workbook=18_08.xlsx&amp;sheet=U0&amp;row=5911&amp;col=7&amp;number=0.00432&amp;sourceID=14","0.00432")</f>
        <v>0.00432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HYPERLINK("http://141.218.60.56/~jnz1568/getInfo.php?workbook=18_08.xlsx&amp;sheet=U0&amp;row=5912&amp;col=6&amp;number=3.8&amp;sourceID=14","3.8")</f>
        <v>3.8</v>
      </c>
      <c r="G5912" s="4" t="str">
        <f>HYPERLINK("http://141.218.60.56/~jnz1568/getInfo.php?workbook=18_08.xlsx&amp;sheet=U0&amp;row=5912&amp;col=7&amp;number=0.00432&amp;sourceID=14","0.00432")</f>
        <v>0.00432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HYPERLINK("http://141.218.60.56/~jnz1568/getInfo.php?workbook=18_08.xlsx&amp;sheet=U0&amp;row=5913&amp;col=6&amp;number=3.9&amp;sourceID=14","3.9")</f>
        <v>3.9</v>
      </c>
      <c r="G5913" s="4" t="str">
        <f>HYPERLINK("http://141.218.60.56/~jnz1568/getInfo.php?workbook=18_08.xlsx&amp;sheet=U0&amp;row=5913&amp;col=7&amp;number=0.00432&amp;sourceID=14","0.00432")</f>
        <v>0.00432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HYPERLINK("http://141.218.60.56/~jnz1568/getInfo.php?workbook=18_08.xlsx&amp;sheet=U0&amp;row=5914&amp;col=6&amp;number=4&amp;sourceID=14","4")</f>
        <v>4</v>
      </c>
      <c r="G5914" s="4" t="str">
        <f>HYPERLINK("http://141.218.60.56/~jnz1568/getInfo.php?workbook=18_08.xlsx&amp;sheet=U0&amp;row=5914&amp;col=7&amp;number=0.00432&amp;sourceID=14","0.00432")</f>
        <v>0.00432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HYPERLINK("http://141.218.60.56/~jnz1568/getInfo.php?workbook=18_08.xlsx&amp;sheet=U0&amp;row=5915&amp;col=6&amp;number=4.1&amp;sourceID=14","4.1")</f>
        <v>4.1</v>
      </c>
      <c r="G5915" s="4" t="str">
        <f>HYPERLINK("http://141.218.60.56/~jnz1568/getInfo.php?workbook=18_08.xlsx&amp;sheet=U0&amp;row=5915&amp;col=7&amp;number=0.00432&amp;sourceID=14","0.00432")</f>
        <v>0.00432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HYPERLINK("http://141.218.60.56/~jnz1568/getInfo.php?workbook=18_08.xlsx&amp;sheet=U0&amp;row=5916&amp;col=6&amp;number=4.2&amp;sourceID=14","4.2")</f>
        <v>4.2</v>
      </c>
      <c r="G5916" s="4" t="str">
        <f>HYPERLINK("http://141.218.60.56/~jnz1568/getInfo.php?workbook=18_08.xlsx&amp;sheet=U0&amp;row=5916&amp;col=7&amp;number=0.00432&amp;sourceID=14","0.00432")</f>
        <v>0.00432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HYPERLINK("http://141.218.60.56/~jnz1568/getInfo.php?workbook=18_08.xlsx&amp;sheet=U0&amp;row=5917&amp;col=6&amp;number=4.3&amp;sourceID=14","4.3")</f>
        <v>4.3</v>
      </c>
      <c r="G5917" s="4" t="str">
        <f>HYPERLINK("http://141.218.60.56/~jnz1568/getInfo.php?workbook=18_08.xlsx&amp;sheet=U0&amp;row=5917&amp;col=7&amp;number=0.00432&amp;sourceID=14","0.00432")</f>
        <v>0.00432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HYPERLINK("http://141.218.60.56/~jnz1568/getInfo.php?workbook=18_08.xlsx&amp;sheet=U0&amp;row=5918&amp;col=6&amp;number=4.4&amp;sourceID=14","4.4")</f>
        <v>4.4</v>
      </c>
      <c r="G5918" s="4" t="str">
        <f>HYPERLINK("http://141.218.60.56/~jnz1568/getInfo.php?workbook=18_08.xlsx&amp;sheet=U0&amp;row=5918&amp;col=7&amp;number=0.00432&amp;sourceID=14","0.00432")</f>
        <v>0.00432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HYPERLINK("http://141.218.60.56/~jnz1568/getInfo.php?workbook=18_08.xlsx&amp;sheet=U0&amp;row=5919&amp;col=6&amp;number=4.5&amp;sourceID=14","4.5")</f>
        <v>4.5</v>
      </c>
      <c r="G5919" s="4" t="str">
        <f>HYPERLINK("http://141.218.60.56/~jnz1568/getInfo.php?workbook=18_08.xlsx&amp;sheet=U0&amp;row=5919&amp;col=7&amp;number=0.00432&amp;sourceID=14","0.00432")</f>
        <v>0.00432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HYPERLINK("http://141.218.60.56/~jnz1568/getInfo.php?workbook=18_08.xlsx&amp;sheet=U0&amp;row=5920&amp;col=6&amp;number=4.6&amp;sourceID=14","4.6")</f>
        <v>4.6</v>
      </c>
      <c r="G5920" s="4" t="str">
        <f>HYPERLINK("http://141.218.60.56/~jnz1568/getInfo.php?workbook=18_08.xlsx&amp;sheet=U0&amp;row=5920&amp;col=7&amp;number=0.00432&amp;sourceID=14","0.00432")</f>
        <v>0.00432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HYPERLINK("http://141.218.60.56/~jnz1568/getInfo.php?workbook=18_08.xlsx&amp;sheet=U0&amp;row=5921&amp;col=6&amp;number=4.7&amp;sourceID=14","4.7")</f>
        <v>4.7</v>
      </c>
      <c r="G5921" s="4" t="str">
        <f>HYPERLINK("http://141.218.60.56/~jnz1568/getInfo.php?workbook=18_08.xlsx&amp;sheet=U0&amp;row=5921&amp;col=7&amp;number=0.00431&amp;sourceID=14","0.00431")</f>
        <v>0.00431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HYPERLINK("http://141.218.60.56/~jnz1568/getInfo.php?workbook=18_08.xlsx&amp;sheet=U0&amp;row=5922&amp;col=6&amp;number=4.8&amp;sourceID=14","4.8")</f>
        <v>4.8</v>
      </c>
      <c r="G5922" s="4" t="str">
        <f>HYPERLINK("http://141.218.60.56/~jnz1568/getInfo.php?workbook=18_08.xlsx&amp;sheet=U0&amp;row=5922&amp;col=7&amp;number=0.00431&amp;sourceID=14","0.00431")</f>
        <v>0.00431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HYPERLINK("http://141.218.60.56/~jnz1568/getInfo.php?workbook=18_08.xlsx&amp;sheet=U0&amp;row=5923&amp;col=6&amp;number=4.9&amp;sourceID=14","4.9")</f>
        <v>4.9</v>
      </c>
      <c r="G5923" s="4" t="str">
        <f>HYPERLINK("http://141.218.60.56/~jnz1568/getInfo.php?workbook=18_08.xlsx&amp;sheet=U0&amp;row=5923&amp;col=7&amp;number=0.00431&amp;sourceID=14","0.00431")</f>
        <v>0.00431</v>
      </c>
    </row>
    <row r="5924" spans="1:7">
      <c r="A5924" s="3">
        <v>18</v>
      </c>
      <c r="B5924" s="3">
        <v>8</v>
      </c>
      <c r="C5924" s="3" t="s">
        <v>73</v>
      </c>
      <c r="D5924" s="3">
        <v>9</v>
      </c>
      <c r="E5924" s="3">
        <v>1</v>
      </c>
      <c r="F5924" s="4" t="str">
        <f>HYPERLINK("http://141.218.60.56/~jnz1568/getInfo.php?workbook=18_08.xlsx&amp;sheet=U0&amp;row=5924&amp;col=6&amp;number=3&amp;sourceID=14","3")</f>
        <v>3</v>
      </c>
      <c r="G5924" s="4" t="str">
        <f>HYPERLINK("http://141.218.60.56/~jnz1568/getInfo.php?workbook=18_08.xlsx&amp;sheet=U0&amp;row=5924&amp;col=7&amp;number=0.00652&amp;sourceID=14","0.00652")</f>
        <v>0.00652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HYPERLINK("http://141.218.60.56/~jnz1568/getInfo.php?workbook=18_08.xlsx&amp;sheet=U0&amp;row=5925&amp;col=6&amp;number=3.1&amp;sourceID=14","3.1")</f>
        <v>3.1</v>
      </c>
      <c r="G5925" s="4" t="str">
        <f>HYPERLINK("http://141.218.60.56/~jnz1568/getInfo.php?workbook=18_08.xlsx&amp;sheet=U0&amp;row=5925&amp;col=7&amp;number=0.00652&amp;sourceID=14","0.00652")</f>
        <v>0.00652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HYPERLINK("http://141.218.60.56/~jnz1568/getInfo.php?workbook=18_08.xlsx&amp;sheet=U0&amp;row=5926&amp;col=6&amp;number=3.2&amp;sourceID=14","3.2")</f>
        <v>3.2</v>
      </c>
      <c r="G5926" s="4" t="str">
        <f>HYPERLINK("http://141.218.60.56/~jnz1568/getInfo.php?workbook=18_08.xlsx&amp;sheet=U0&amp;row=5926&amp;col=7&amp;number=0.00652&amp;sourceID=14","0.00652")</f>
        <v>0.00652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HYPERLINK("http://141.218.60.56/~jnz1568/getInfo.php?workbook=18_08.xlsx&amp;sheet=U0&amp;row=5927&amp;col=6&amp;number=3.3&amp;sourceID=14","3.3")</f>
        <v>3.3</v>
      </c>
      <c r="G5927" s="4" t="str">
        <f>HYPERLINK("http://141.218.60.56/~jnz1568/getInfo.php?workbook=18_08.xlsx&amp;sheet=U0&amp;row=5927&amp;col=7&amp;number=0.00652&amp;sourceID=14","0.00652")</f>
        <v>0.00652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HYPERLINK("http://141.218.60.56/~jnz1568/getInfo.php?workbook=18_08.xlsx&amp;sheet=U0&amp;row=5928&amp;col=6&amp;number=3.4&amp;sourceID=14","3.4")</f>
        <v>3.4</v>
      </c>
      <c r="G5928" s="4" t="str">
        <f>HYPERLINK("http://141.218.60.56/~jnz1568/getInfo.php?workbook=18_08.xlsx&amp;sheet=U0&amp;row=5928&amp;col=7&amp;number=0.00652&amp;sourceID=14","0.00652")</f>
        <v>0.00652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HYPERLINK("http://141.218.60.56/~jnz1568/getInfo.php?workbook=18_08.xlsx&amp;sheet=U0&amp;row=5929&amp;col=6&amp;number=3.5&amp;sourceID=14","3.5")</f>
        <v>3.5</v>
      </c>
      <c r="G5929" s="4" t="str">
        <f>HYPERLINK("http://141.218.60.56/~jnz1568/getInfo.php?workbook=18_08.xlsx&amp;sheet=U0&amp;row=5929&amp;col=7&amp;number=0.00652&amp;sourceID=14","0.00652")</f>
        <v>0.00652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HYPERLINK("http://141.218.60.56/~jnz1568/getInfo.php?workbook=18_08.xlsx&amp;sheet=U0&amp;row=5930&amp;col=6&amp;number=3.6&amp;sourceID=14","3.6")</f>
        <v>3.6</v>
      </c>
      <c r="G5930" s="4" t="str">
        <f>HYPERLINK("http://141.218.60.56/~jnz1568/getInfo.php?workbook=18_08.xlsx&amp;sheet=U0&amp;row=5930&amp;col=7&amp;number=0.00652&amp;sourceID=14","0.00652")</f>
        <v>0.00652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HYPERLINK("http://141.218.60.56/~jnz1568/getInfo.php?workbook=18_08.xlsx&amp;sheet=U0&amp;row=5931&amp;col=6&amp;number=3.7&amp;sourceID=14","3.7")</f>
        <v>3.7</v>
      </c>
      <c r="G5931" s="4" t="str">
        <f>HYPERLINK("http://141.218.60.56/~jnz1568/getInfo.php?workbook=18_08.xlsx&amp;sheet=U0&amp;row=5931&amp;col=7&amp;number=0.00652&amp;sourceID=14","0.00652")</f>
        <v>0.00652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HYPERLINK("http://141.218.60.56/~jnz1568/getInfo.php?workbook=18_08.xlsx&amp;sheet=U0&amp;row=5932&amp;col=6&amp;number=3.8&amp;sourceID=14","3.8")</f>
        <v>3.8</v>
      </c>
      <c r="G5932" s="4" t="str">
        <f>HYPERLINK("http://141.218.60.56/~jnz1568/getInfo.php?workbook=18_08.xlsx&amp;sheet=U0&amp;row=5932&amp;col=7&amp;number=0.00652&amp;sourceID=14","0.00652")</f>
        <v>0.00652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HYPERLINK("http://141.218.60.56/~jnz1568/getInfo.php?workbook=18_08.xlsx&amp;sheet=U0&amp;row=5933&amp;col=6&amp;number=3.9&amp;sourceID=14","3.9")</f>
        <v>3.9</v>
      </c>
      <c r="G5933" s="4" t="str">
        <f>HYPERLINK("http://141.218.60.56/~jnz1568/getInfo.php?workbook=18_08.xlsx&amp;sheet=U0&amp;row=5933&amp;col=7&amp;number=0.00652&amp;sourceID=14","0.00652")</f>
        <v>0.00652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HYPERLINK("http://141.218.60.56/~jnz1568/getInfo.php?workbook=18_08.xlsx&amp;sheet=U0&amp;row=5934&amp;col=6&amp;number=4&amp;sourceID=14","4")</f>
        <v>4</v>
      </c>
      <c r="G5934" s="4" t="str">
        <f>HYPERLINK("http://141.218.60.56/~jnz1568/getInfo.php?workbook=18_08.xlsx&amp;sheet=U0&amp;row=5934&amp;col=7&amp;number=0.00651&amp;sourceID=14","0.00651")</f>
        <v>0.00651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HYPERLINK("http://141.218.60.56/~jnz1568/getInfo.php?workbook=18_08.xlsx&amp;sheet=U0&amp;row=5935&amp;col=6&amp;number=4.1&amp;sourceID=14","4.1")</f>
        <v>4.1</v>
      </c>
      <c r="G5935" s="4" t="str">
        <f>HYPERLINK("http://141.218.60.56/~jnz1568/getInfo.php?workbook=18_08.xlsx&amp;sheet=U0&amp;row=5935&amp;col=7&amp;number=0.00651&amp;sourceID=14","0.00651")</f>
        <v>0.00651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HYPERLINK("http://141.218.60.56/~jnz1568/getInfo.php?workbook=18_08.xlsx&amp;sheet=U0&amp;row=5936&amp;col=6&amp;number=4.2&amp;sourceID=14","4.2")</f>
        <v>4.2</v>
      </c>
      <c r="G5936" s="4" t="str">
        <f>HYPERLINK("http://141.218.60.56/~jnz1568/getInfo.php?workbook=18_08.xlsx&amp;sheet=U0&amp;row=5936&amp;col=7&amp;number=0.00651&amp;sourceID=14","0.00651")</f>
        <v>0.00651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HYPERLINK("http://141.218.60.56/~jnz1568/getInfo.php?workbook=18_08.xlsx&amp;sheet=U0&amp;row=5937&amp;col=6&amp;number=4.3&amp;sourceID=14","4.3")</f>
        <v>4.3</v>
      </c>
      <c r="G5937" s="4" t="str">
        <f>HYPERLINK("http://141.218.60.56/~jnz1568/getInfo.php?workbook=18_08.xlsx&amp;sheet=U0&amp;row=5937&amp;col=7&amp;number=0.0065&amp;sourceID=14","0.0065")</f>
        <v>0.0065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HYPERLINK("http://141.218.60.56/~jnz1568/getInfo.php?workbook=18_08.xlsx&amp;sheet=U0&amp;row=5938&amp;col=6&amp;number=4.4&amp;sourceID=14","4.4")</f>
        <v>4.4</v>
      </c>
      <c r="G5938" s="4" t="str">
        <f>HYPERLINK("http://141.218.60.56/~jnz1568/getInfo.php?workbook=18_08.xlsx&amp;sheet=U0&amp;row=5938&amp;col=7&amp;number=0.0065&amp;sourceID=14","0.0065")</f>
        <v>0.0065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HYPERLINK("http://141.218.60.56/~jnz1568/getInfo.php?workbook=18_08.xlsx&amp;sheet=U0&amp;row=5939&amp;col=6&amp;number=4.5&amp;sourceID=14","4.5")</f>
        <v>4.5</v>
      </c>
      <c r="G5939" s="4" t="str">
        <f>HYPERLINK("http://141.218.60.56/~jnz1568/getInfo.php?workbook=18_08.xlsx&amp;sheet=U0&amp;row=5939&amp;col=7&amp;number=0.00649&amp;sourceID=14","0.00649")</f>
        <v>0.00649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HYPERLINK("http://141.218.60.56/~jnz1568/getInfo.php?workbook=18_08.xlsx&amp;sheet=U0&amp;row=5940&amp;col=6&amp;number=4.6&amp;sourceID=14","4.6")</f>
        <v>4.6</v>
      </c>
      <c r="G5940" s="4" t="str">
        <f>HYPERLINK("http://141.218.60.56/~jnz1568/getInfo.php?workbook=18_08.xlsx&amp;sheet=U0&amp;row=5940&amp;col=7&amp;number=0.00648&amp;sourceID=14","0.00648")</f>
        <v>0.00648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HYPERLINK("http://141.218.60.56/~jnz1568/getInfo.php?workbook=18_08.xlsx&amp;sheet=U0&amp;row=5941&amp;col=6&amp;number=4.7&amp;sourceID=14","4.7")</f>
        <v>4.7</v>
      </c>
      <c r="G5941" s="4" t="str">
        <f>HYPERLINK("http://141.218.60.56/~jnz1568/getInfo.php?workbook=18_08.xlsx&amp;sheet=U0&amp;row=5941&amp;col=7&amp;number=0.00648&amp;sourceID=14","0.00648")</f>
        <v>0.00648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HYPERLINK("http://141.218.60.56/~jnz1568/getInfo.php?workbook=18_08.xlsx&amp;sheet=U0&amp;row=5942&amp;col=6&amp;number=4.8&amp;sourceID=14","4.8")</f>
        <v>4.8</v>
      </c>
      <c r="G5942" s="4" t="str">
        <f>HYPERLINK("http://141.218.60.56/~jnz1568/getInfo.php?workbook=18_08.xlsx&amp;sheet=U0&amp;row=5942&amp;col=7&amp;number=0.00646&amp;sourceID=14","0.00646")</f>
        <v>0.00646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HYPERLINK("http://141.218.60.56/~jnz1568/getInfo.php?workbook=18_08.xlsx&amp;sheet=U0&amp;row=5943&amp;col=6&amp;number=4.9&amp;sourceID=14","4.9")</f>
        <v>4.9</v>
      </c>
      <c r="G5943" s="4" t="str">
        <f>HYPERLINK("http://141.218.60.56/~jnz1568/getInfo.php?workbook=18_08.xlsx&amp;sheet=U0&amp;row=5943&amp;col=7&amp;number=0.00645&amp;sourceID=14","0.00645")</f>
        <v>0.00645</v>
      </c>
    </row>
    <row r="5944" spans="1:7">
      <c r="A5944" s="3">
        <v>18</v>
      </c>
      <c r="B5944" s="3">
        <v>8</v>
      </c>
      <c r="C5944" s="3" t="s">
        <v>74</v>
      </c>
      <c r="D5944" s="3">
        <v>0</v>
      </c>
      <c r="E5944" s="3">
        <v>1</v>
      </c>
      <c r="F5944" s="4" t="str">
        <f>HYPERLINK("http://141.218.60.56/~jnz1568/getInfo.php?workbook=18_08.xlsx&amp;sheet=U0&amp;row=5944&amp;col=6&amp;number=3&amp;sourceID=14","3")</f>
        <v>3</v>
      </c>
      <c r="G5944" s="4" t="str">
        <f>HYPERLINK("http://141.218.60.56/~jnz1568/getInfo.php?workbook=18_08.xlsx&amp;sheet=U0&amp;row=5944&amp;col=7&amp;number=0.00445&amp;sourceID=14","0.00445")</f>
        <v>0.00445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HYPERLINK("http://141.218.60.56/~jnz1568/getInfo.php?workbook=18_08.xlsx&amp;sheet=U0&amp;row=5945&amp;col=6&amp;number=3.1&amp;sourceID=14","3.1")</f>
        <v>3.1</v>
      </c>
      <c r="G5945" s="4" t="str">
        <f>HYPERLINK("http://141.218.60.56/~jnz1568/getInfo.php?workbook=18_08.xlsx&amp;sheet=U0&amp;row=5945&amp;col=7&amp;number=0.00445&amp;sourceID=14","0.00445")</f>
        <v>0.00445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HYPERLINK("http://141.218.60.56/~jnz1568/getInfo.php?workbook=18_08.xlsx&amp;sheet=U0&amp;row=5946&amp;col=6&amp;number=3.2&amp;sourceID=14","3.2")</f>
        <v>3.2</v>
      </c>
      <c r="G5946" s="4" t="str">
        <f>HYPERLINK("http://141.218.60.56/~jnz1568/getInfo.php?workbook=18_08.xlsx&amp;sheet=U0&amp;row=5946&amp;col=7&amp;number=0.00445&amp;sourceID=14","0.00445")</f>
        <v>0.00445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HYPERLINK("http://141.218.60.56/~jnz1568/getInfo.php?workbook=18_08.xlsx&amp;sheet=U0&amp;row=5947&amp;col=6&amp;number=3.3&amp;sourceID=14","3.3")</f>
        <v>3.3</v>
      </c>
      <c r="G5947" s="4" t="str">
        <f>HYPERLINK("http://141.218.60.56/~jnz1568/getInfo.php?workbook=18_08.xlsx&amp;sheet=U0&amp;row=5947&amp;col=7&amp;number=0.00445&amp;sourceID=14","0.00445")</f>
        <v>0.00445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HYPERLINK("http://141.218.60.56/~jnz1568/getInfo.php?workbook=18_08.xlsx&amp;sheet=U0&amp;row=5948&amp;col=6&amp;number=3.4&amp;sourceID=14","3.4")</f>
        <v>3.4</v>
      </c>
      <c r="G5948" s="4" t="str">
        <f>HYPERLINK("http://141.218.60.56/~jnz1568/getInfo.php?workbook=18_08.xlsx&amp;sheet=U0&amp;row=5948&amp;col=7&amp;number=0.00445&amp;sourceID=14","0.00445")</f>
        <v>0.00445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HYPERLINK("http://141.218.60.56/~jnz1568/getInfo.php?workbook=18_08.xlsx&amp;sheet=U0&amp;row=5949&amp;col=6&amp;number=3.5&amp;sourceID=14","3.5")</f>
        <v>3.5</v>
      </c>
      <c r="G5949" s="4" t="str">
        <f>HYPERLINK("http://141.218.60.56/~jnz1568/getInfo.php?workbook=18_08.xlsx&amp;sheet=U0&amp;row=5949&amp;col=7&amp;number=0.00445&amp;sourceID=14","0.00445")</f>
        <v>0.00445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HYPERLINK("http://141.218.60.56/~jnz1568/getInfo.php?workbook=18_08.xlsx&amp;sheet=U0&amp;row=5950&amp;col=6&amp;number=3.6&amp;sourceID=14","3.6")</f>
        <v>3.6</v>
      </c>
      <c r="G5950" s="4" t="str">
        <f>HYPERLINK("http://141.218.60.56/~jnz1568/getInfo.php?workbook=18_08.xlsx&amp;sheet=U0&amp;row=5950&amp;col=7&amp;number=0.00445&amp;sourceID=14","0.00445")</f>
        <v>0.00445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HYPERLINK("http://141.218.60.56/~jnz1568/getInfo.php?workbook=18_08.xlsx&amp;sheet=U0&amp;row=5951&amp;col=6&amp;number=3.7&amp;sourceID=14","3.7")</f>
        <v>3.7</v>
      </c>
      <c r="G5951" s="4" t="str">
        <f>HYPERLINK("http://141.218.60.56/~jnz1568/getInfo.php?workbook=18_08.xlsx&amp;sheet=U0&amp;row=5951&amp;col=7&amp;number=0.00445&amp;sourceID=14","0.00445")</f>
        <v>0.00445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HYPERLINK("http://141.218.60.56/~jnz1568/getInfo.php?workbook=18_08.xlsx&amp;sheet=U0&amp;row=5952&amp;col=6&amp;number=3.8&amp;sourceID=14","3.8")</f>
        <v>3.8</v>
      </c>
      <c r="G5952" s="4" t="str">
        <f>HYPERLINK("http://141.218.60.56/~jnz1568/getInfo.php?workbook=18_08.xlsx&amp;sheet=U0&amp;row=5952&amp;col=7&amp;number=0.00445&amp;sourceID=14","0.00445")</f>
        <v>0.00445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HYPERLINK("http://141.218.60.56/~jnz1568/getInfo.php?workbook=18_08.xlsx&amp;sheet=U0&amp;row=5953&amp;col=6&amp;number=3.9&amp;sourceID=14","3.9")</f>
        <v>3.9</v>
      </c>
      <c r="G5953" s="4" t="str">
        <f>HYPERLINK("http://141.218.60.56/~jnz1568/getInfo.php?workbook=18_08.xlsx&amp;sheet=U0&amp;row=5953&amp;col=7&amp;number=0.00444&amp;sourceID=14","0.00444")</f>
        <v>0.00444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HYPERLINK("http://141.218.60.56/~jnz1568/getInfo.php?workbook=18_08.xlsx&amp;sheet=U0&amp;row=5954&amp;col=6&amp;number=4&amp;sourceID=14","4")</f>
        <v>4</v>
      </c>
      <c r="G5954" s="4" t="str">
        <f>HYPERLINK("http://141.218.60.56/~jnz1568/getInfo.php?workbook=18_08.xlsx&amp;sheet=U0&amp;row=5954&amp;col=7&amp;number=0.00444&amp;sourceID=14","0.00444")</f>
        <v>0.00444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HYPERLINK("http://141.218.60.56/~jnz1568/getInfo.php?workbook=18_08.xlsx&amp;sheet=U0&amp;row=5955&amp;col=6&amp;number=4.1&amp;sourceID=14","4.1")</f>
        <v>4.1</v>
      </c>
      <c r="G5955" s="4" t="str">
        <f>HYPERLINK("http://141.218.60.56/~jnz1568/getInfo.php?workbook=18_08.xlsx&amp;sheet=U0&amp;row=5955&amp;col=7&amp;number=0.00444&amp;sourceID=14","0.00444")</f>
        <v>0.00444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HYPERLINK("http://141.218.60.56/~jnz1568/getInfo.php?workbook=18_08.xlsx&amp;sheet=U0&amp;row=5956&amp;col=6&amp;number=4.2&amp;sourceID=14","4.2")</f>
        <v>4.2</v>
      </c>
      <c r="G5956" s="4" t="str">
        <f>HYPERLINK("http://141.218.60.56/~jnz1568/getInfo.php?workbook=18_08.xlsx&amp;sheet=U0&amp;row=5956&amp;col=7&amp;number=0.00444&amp;sourceID=14","0.00444")</f>
        <v>0.00444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HYPERLINK("http://141.218.60.56/~jnz1568/getInfo.php?workbook=18_08.xlsx&amp;sheet=U0&amp;row=5957&amp;col=6&amp;number=4.3&amp;sourceID=14","4.3")</f>
        <v>4.3</v>
      </c>
      <c r="G5957" s="4" t="str">
        <f>HYPERLINK("http://141.218.60.56/~jnz1568/getInfo.php?workbook=18_08.xlsx&amp;sheet=U0&amp;row=5957&amp;col=7&amp;number=0.00443&amp;sourceID=14","0.00443")</f>
        <v>0.00443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HYPERLINK("http://141.218.60.56/~jnz1568/getInfo.php?workbook=18_08.xlsx&amp;sheet=U0&amp;row=5958&amp;col=6&amp;number=4.4&amp;sourceID=14","4.4")</f>
        <v>4.4</v>
      </c>
      <c r="G5958" s="4" t="str">
        <f>HYPERLINK("http://141.218.60.56/~jnz1568/getInfo.php?workbook=18_08.xlsx&amp;sheet=U0&amp;row=5958&amp;col=7&amp;number=0.00443&amp;sourceID=14","0.00443")</f>
        <v>0.00443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HYPERLINK("http://141.218.60.56/~jnz1568/getInfo.php?workbook=18_08.xlsx&amp;sheet=U0&amp;row=5959&amp;col=6&amp;number=4.5&amp;sourceID=14","4.5")</f>
        <v>4.5</v>
      </c>
      <c r="G5959" s="4" t="str">
        <f>HYPERLINK("http://141.218.60.56/~jnz1568/getInfo.php?workbook=18_08.xlsx&amp;sheet=U0&amp;row=5959&amp;col=7&amp;number=0.00442&amp;sourceID=14","0.00442")</f>
        <v>0.00442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HYPERLINK("http://141.218.60.56/~jnz1568/getInfo.php?workbook=18_08.xlsx&amp;sheet=U0&amp;row=5960&amp;col=6&amp;number=4.6&amp;sourceID=14","4.6")</f>
        <v>4.6</v>
      </c>
      <c r="G5960" s="4" t="str">
        <f>HYPERLINK("http://141.218.60.56/~jnz1568/getInfo.php?workbook=18_08.xlsx&amp;sheet=U0&amp;row=5960&amp;col=7&amp;number=0.00441&amp;sourceID=14","0.00441")</f>
        <v>0.00441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HYPERLINK("http://141.218.60.56/~jnz1568/getInfo.php?workbook=18_08.xlsx&amp;sheet=U0&amp;row=5961&amp;col=6&amp;number=4.7&amp;sourceID=14","4.7")</f>
        <v>4.7</v>
      </c>
      <c r="G5961" s="4" t="str">
        <f>HYPERLINK("http://141.218.60.56/~jnz1568/getInfo.php?workbook=18_08.xlsx&amp;sheet=U0&amp;row=5961&amp;col=7&amp;number=0.0044&amp;sourceID=14","0.0044")</f>
        <v>0.0044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HYPERLINK("http://141.218.60.56/~jnz1568/getInfo.php?workbook=18_08.xlsx&amp;sheet=U0&amp;row=5962&amp;col=6&amp;number=4.8&amp;sourceID=14","4.8")</f>
        <v>4.8</v>
      </c>
      <c r="G5962" s="4" t="str">
        <f>HYPERLINK("http://141.218.60.56/~jnz1568/getInfo.php?workbook=18_08.xlsx&amp;sheet=U0&amp;row=5962&amp;col=7&amp;number=0.00439&amp;sourceID=14","0.00439")</f>
        <v>0.00439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HYPERLINK("http://141.218.60.56/~jnz1568/getInfo.php?workbook=18_08.xlsx&amp;sheet=U0&amp;row=5963&amp;col=6&amp;number=4.9&amp;sourceID=14","4.9")</f>
        <v>4.9</v>
      </c>
      <c r="G5963" s="4" t="str">
        <f>HYPERLINK("http://141.218.60.56/~jnz1568/getInfo.php?workbook=18_08.xlsx&amp;sheet=U0&amp;row=5963&amp;col=7&amp;number=0.00438&amp;sourceID=14","0.00438")</f>
        <v>0.00438</v>
      </c>
    </row>
    <row r="5964" spans="1:7">
      <c r="A5964" s="3">
        <v>18</v>
      </c>
      <c r="B5964" s="3">
        <v>8</v>
      </c>
      <c r="C5964" s="3" t="s">
        <v>74</v>
      </c>
      <c r="D5964" s="3">
        <v>1</v>
      </c>
      <c r="E5964" s="3">
        <v>1</v>
      </c>
      <c r="F5964" s="4" t="str">
        <f>HYPERLINK("http://141.218.60.56/~jnz1568/getInfo.php?workbook=18_08.xlsx&amp;sheet=U0&amp;row=5964&amp;col=6&amp;number=3&amp;sourceID=14","3")</f>
        <v>3</v>
      </c>
      <c r="G5964" s="4" t="str">
        <f>HYPERLINK("http://141.218.60.56/~jnz1568/getInfo.php?workbook=18_08.xlsx&amp;sheet=U0&amp;row=5964&amp;col=7&amp;number=0.00245&amp;sourceID=14","0.00245")</f>
        <v>0.00245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HYPERLINK("http://141.218.60.56/~jnz1568/getInfo.php?workbook=18_08.xlsx&amp;sheet=U0&amp;row=5965&amp;col=6&amp;number=3.1&amp;sourceID=14","3.1")</f>
        <v>3.1</v>
      </c>
      <c r="G5965" s="4" t="str">
        <f>HYPERLINK("http://141.218.60.56/~jnz1568/getInfo.php?workbook=18_08.xlsx&amp;sheet=U0&amp;row=5965&amp;col=7&amp;number=0.00245&amp;sourceID=14","0.00245")</f>
        <v>0.00245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HYPERLINK("http://141.218.60.56/~jnz1568/getInfo.php?workbook=18_08.xlsx&amp;sheet=U0&amp;row=5966&amp;col=6&amp;number=3.2&amp;sourceID=14","3.2")</f>
        <v>3.2</v>
      </c>
      <c r="G5966" s="4" t="str">
        <f>HYPERLINK("http://141.218.60.56/~jnz1568/getInfo.php?workbook=18_08.xlsx&amp;sheet=U0&amp;row=5966&amp;col=7&amp;number=0.00245&amp;sourceID=14","0.00245")</f>
        <v>0.00245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HYPERLINK("http://141.218.60.56/~jnz1568/getInfo.php?workbook=18_08.xlsx&amp;sheet=U0&amp;row=5967&amp;col=6&amp;number=3.3&amp;sourceID=14","3.3")</f>
        <v>3.3</v>
      </c>
      <c r="G5967" s="4" t="str">
        <f>HYPERLINK("http://141.218.60.56/~jnz1568/getInfo.php?workbook=18_08.xlsx&amp;sheet=U0&amp;row=5967&amp;col=7&amp;number=0.00245&amp;sourceID=14","0.00245")</f>
        <v>0.00245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HYPERLINK("http://141.218.60.56/~jnz1568/getInfo.php?workbook=18_08.xlsx&amp;sheet=U0&amp;row=5968&amp;col=6&amp;number=3.4&amp;sourceID=14","3.4")</f>
        <v>3.4</v>
      </c>
      <c r="G5968" s="4" t="str">
        <f>HYPERLINK("http://141.218.60.56/~jnz1568/getInfo.php?workbook=18_08.xlsx&amp;sheet=U0&amp;row=5968&amp;col=7&amp;number=0.00245&amp;sourceID=14","0.00245")</f>
        <v>0.00245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HYPERLINK("http://141.218.60.56/~jnz1568/getInfo.php?workbook=18_08.xlsx&amp;sheet=U0&amp;row=5969&amp;col=6&amp;number=3.5&amp;sourceID=14","3.5")</f>
        <v>3.5</v>
      </c>
      <c r="G5969" s="4" t="str">
        <f>HYPERLINK("http://141.218.60.56/~jnz1568/getInfo.php?workbook=18_08.xlsx&amp;sheet=U0&amp;row=5969&amp;col=7&amp;number=0.00245&amp;sourceID=14","0.00245")</f>
        <v>0.00245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HYPERLINK("http://141.218.60.56/~jnz1568/getInfo.php?workbook=18_08.xlsx&amp;sheet=U0&amp;row=5970&amp;col=6&amp;number=3.6&amp;sourceID=14","3.6")</f>
        <v>3.6</v>
      </c>
      <c r="G5970" s="4" t="str">
        <f>HYPERLINK("http://141.218.60.56/~jnz1568/getInfo.php?workbook=18_08.xlsx&amp;sheet=U0&amp;row=5970&amp;col=7&amp;number=0.00245&amp;sourceID=14","0.00245")</f>
        <v>0.00245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HYPERLINK("http://141.218.60.56/~jnz1568/getInfo.php?workbook=18_08.xlsx&amp;sheet=U0&amp;row=5971&amp;col=6&amp;number=3.7&amp;sourceID=14","3.7")</f>
        <v>3.7</v>
      </c>
      <c r="G5971" s="4" t="str">
        <f>HYPERLINK("http://141.218.60.56/~jnz1568/getInfo.php?workbook=18_08.xlsx&amp;sheet=U0&amp;row=5971&amp;col=7&amp;number=0.00245&amp;sourceID=14","0.00245")</f>
        <v>0.00245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HYPERLINK("http://141.218.60.56/~jnz1568/getInfo.php?workbook=18_08.xlsx&amp;sheet=U0&amp;row=5972&amp;col=6&amp;number=3.8&amp;sourceID=14","3.8")</f>
        <v>3.8</v>
      </c>
      <c r="G5972" s="4" t="str">
        <f>HYPERLINK("http://141.218.60.56/~jnz1568/getInfo.php?workbook=18_08.xlsx&amp;sheet=U0&amp;row=5972&amp;col=7&amp;number=0.00245&amp;sourceID=14","0.00245")</f>
        <v>0.00245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HYPERLINK("http://141.218.60.56/~jnz1568/getInfo.php?workbook=18_08.xlsx&amp;sheet=U0&amp;row=5973&amp;col=6&amp;number=3.9&amp;sourceID=14","3.9")</f>
        <v>3.9</v>
      </c>
      <c r="G5973" s="4" t="str">
        <f>HYPERLINK("http://141.218.60.56/~jnz1568/getInfo.php?workbook=18_08.xlsx&amp;sheet=U0&amp;row=5973&amp;col=7&amp;number=0.00245&amp;sourceID=14","0.00245")</f>
        <v>0.00245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HYPERLINK("http://141.218.60.56/~jnz1568/getInfo.php?workbook=18_08.xlsx&amp;sheet=U0&amp;row=5974&amp;col=6&amp;number=4&amp;sourceID=14","4")</f>
        <v>4</v>
      </c>
      <c r="G5974" s="4" t="str">
        <f>HYPERLINK("http://141.218.60.56/~jnz1568/getInfo.php?workbook=18_08.xlsx&amp;sheet=U0&amp;row=5974&amp;col=7&amp;number=0.00245&amp;sourceID=14","0.00245")</f>
        <v>0.00245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HYPERLINK("http://141.218.60.56/~jnz1568/getInfo.php?workbook=18_08.xlsx&amp;sheet=U0&amp;row=5975&amp;col=6&amp;number=4.1&amp;sourceID=14","4.1")</f>
        <v>4.1</v>
      </c>
      <c r="G5975" s="4" t="str">
        <f>HYPERLINK("http://141.218.60.56/~jnz1568/getInfo.php?workbook=18_08.xlsx&amp;sheet=U0&amp;row=5975&amp;col=7&amp;number=0.00245&amp;sourceID=14","0.00245")</f>
        <v>0.00245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HYPERLINK("http://141.218.60.56/~jnz1568/getInfo.php?workbook=18_08.xlsx&amp;sheet=U0&amp;row=5976&amp;col=6&amp;number=4.2&amp;sourceID=14","4.2")</f>
        <v>4.2</v>
      </c>
      <c r="G5976" s="4" t="str">
        <f>HYPERLINK("http://141.218.60.56/~jnz1568/getInfo.php?workbook=18_08.xlsx&amp;sheet=U0&amp;row=5976&amp;col=7&amp;number=0.00245&amp;sourceID=14","0.00245")</f>
        <v>0.00245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HYPERLINK("http://141.218.60.56/~jnz1568/getInfo.php?workbook=18_08.xlsx&amp;sheet=U0&amp;row=5977&amp;col=6&amp;number=4.3&amp;sourceID=14","4.3")</f>
        <v>4.3</v>
      </c>
      <c r="G5977" s="4" t="str">
        <f>HYPERLINK("http://141.218.60.56/~jnz1568/getInfo.php?workbook=18_08.xlsx&amp;sheet=U0&amp;row=5977&amp;col=7&amp;number=0.00245&amp;sourceID=14","0.00245")</f>
        <v>0.00245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HYPERLINK("http://141.218.60.56/~jnz1568/getInfo.php?workbook=18_08.xlsx&amp;sheet=U0&amp;row=5978&amp;col=6&amp;number=4.4&amp;sourceID=14","4.4")</f>
        <v>4.4</v>
      </c>
      <c r="G5978" s="4" t="str">
        <f>HYPERLINK("http://141.218.60.56/~jnz1568/getInfo.php?workbook=18_08.xlsx&amp;sheet=U0&amp;row=5978&amp;col=7&amp;number=0.00244&amp;sourceID=14","0.00244")</f>
        <v>0.00244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HYPERLINK("http://141.218.60.56/~jnz1568/getInfo.php?workbook=18_08.xlsx&amp;sheet=U0&amp;row=5979&amp;col=6&amp;number=4.5&amp;sourceID=14","4.5")</f>
        <v>4.5</v>
      </c>
      <c r="G5979" s="4" t="str">
        <f>HYPERLINK("http://141.218.60.56/~jnz1568/getInfo.php?workbook=18_08.xlsx&amp;sheet=U0&amp;row=5979&amp;col=7&amp;number=0.00244&amp;sourceID=14","0.00244")</f>
        <v>0.00244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HYPERLINK("http://141.218.60.56/~jnz1568/getInfo.php?workbook=18_08.xlsx&amp;sheet=U0&amp;row=5980&amp;col=6&amp;number=4.6&amp;sourceID=14","4.6")</f>
        <v>4.6</v>
      </c>
      <c r="G5980" s="4" t="str">
        <f>HYPERLINK("http://141.218.60.56/~jnz1568/getInfo.php?workbook=18_08.xlsx&amp;sheet=U0&amp;row=5980&amp;col=7&amp;number=0.00244&amp;sourceID=14","0.00244")</f>
        <v>0.00244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HYPERLINK("http://141.218.60.56/~jnz1568/getInfo.php?workbook=18_08.xlsx&amp;sheet=U0&amp;row=5981&amp;col=6&amp;number=4.7&amp;sourceID=14","4.7")</f>
        <v>4.7</v>
      </c>
      <c r="G5981" s="4" t="str">
        <f>HYPERLINK("http://141.218.60.56/~jnz1568/getInfo.php?workbook=18_08.xlsx&amp;sheet=U0&amp;row=5981&amp;col=7&amp;number=0.00243&amp;sourceID=14","0.00243")</f>
        <v>0.00243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HYPERLINK("http://141.218.60.56/~jnz1568/getInfo.php?workbook=18_08.xlsx&amp;sheet=U0&amp;row=5982&amp;col=6&amp;number=4.8&amp;sourceID=14","4.8")</f>
        <v>4.8</v>
      </c>
      <c r="G5982" s="4" t="str">
        <f>HYPERLINK("http://141.218.60.56/~jnz1568/getInfo.php?workbook=18_08.xlsx&amp;sheet=U0&amp;row=5982&amp;col=7&amp;number=0.00243&amp;sourceID=14","0.00243")</f>
        <v>0.00243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HYPERLINK("http://141.218.60.56/~jnz1568/getInfo.php?workbook=18_08.xlsx&amp;sheet=U0&amp;row=5983&amp;col=6&amp;number=4.9&amp;sourceID=14","4.9")</f>
        <v>4.9</v>
      </c>
      <c r="G5983" s="4" t="str">
        <f>HYPERLINK("http://141.218.60.56/~jnz1568/getInfo.php?workbook=18_08.xlsx&amp;sheet=U0&amp;row=5983&amp;col=7&amp;number=0.00242&amp;sourceID=14","0.00242")</f>
        <v>0.00242</v>
      </c>
    </row>
    <row r="5984" spans="1:7">
      <c r="A5984" s="3">
        <v>18</v>
      </c>
      <c r="B5984" s="3">
        <v>8</v>
      </c>
      <c r="C5984" s="3" t="s">
        <v>74</v>
      </c>
      <c r="D5984" s="3">
        <v>2</v>
      </c>
      <c r="E5984" s="3">
        <v>1</v>
      </c>
      <c r="F5984" s="4" t="str">
        <f>HYPERLINK("http://141.218.60.56/~jnz1568/getInfo.php?workbook=18_08.xlsx&amp;sheet=U0&amp;row=5984&amp;col=6&amp;number=3&amp;sourceID=14","3")</f>
        <v>3</v>
      </c>
      <c r="G5984" s="4" t="str">
        <f>HYPERLINK("http://141.218.60.56/~jnz1568/getInfo.php?workbook=18_08.xlsx&amp;sheet=U0&amp;row=5984&amp;col=7&amp;number=0.00138&amp;sourceID=14","0.00138")</f>
        <v>0.00138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HYPERLINK("http://141.218.60.56/~jnz1568/getInfo.php?workbook=18_08.xlsx&amp;sheet=U0&amp;row=5985&amp;col=6&amp;number=3.1&amp;sourceID=14","3.1")</f>
        <v>3.1</v>
      </c>
      <c r="G5985" s="4" t="str">
        <f>HYPERLINK("http://141.218.60.56/~jnz1568/getInfo.php?workbook=18_08.xlsx&amp;sheet=U0&amp;row=5985&amp;col=7&amp;number=0.00138&amp;sourceID=14","0.00138")</f>
        <v>0.00138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HYPERLINK("http://141.218.60.56/~jnz1568/getInfo.php?workbook=18_08.xlsx&amp;sheet=U0&amp;row=5986&amp;col=6&amp;number=3.2&amp;sourceID=14","3.2")</f>
        <v>3.2</v>
      </c>
      <c r="G5986" s="4" t="str">
        <f>HYPERLINK("http://141.218.60.56/~jnz1568/getInfo.php?workbook=18_08.xlsx&amp;sheet=U0&amp;row=5986&amp;col=7&amp;number=0.00138&amp;sourceID=14","0.00138")</f>
        <v>0.00138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HYPERLINK("http://141.218.60.56/~jnz1568/getInfo.php?workbook=18_08.xlsx&amp;sheet=U0&amp;row=5987&amp;col=6&amp;number=3.3&amp;sourceID=14","3.3")</f>
        <v>3.3</v>
      </c>
      <c r="G5987" s="4" t="str">
        <f>HYPERLINK("http://141.218.60.56/~jnz1568/getInfo.php?workbook=18_08.xlsx&amp;sheet=U0&amp;row=5987&amp;col=7&amp;number=0.00138&amp;sourceID=14","0.00138")</f>
        <v>0.00138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HYPERLINK("http://141.218.60.56/~jnz1568/getInfo.php?workbook=18_08.xlsx&amp;sheet=U0&amp;row=5988&amp;col=6&amp;number=3.4&amp;sourceID=14","3.4")</f>
        <v>3.4</v>
      </c>
      <c r="G5988" s="4" t="str">
        <f>HYPERLINK("http://141.218.60.56/~jnz1568/getInfo.php?workbook=18_08.xlsx&amp;sheet=U0&amp;row=5988&amp;col=7&amp;number=0.00138&amp;sourceID=14","0.00138")</f>
        <v>0.00138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HYPERLINK("http://141.218.60.56/~jnz1568/getInfo.php?workbook=18_08.xlsx&amp;sheet=U0&amp;row=5989&amp;col=6&amp;number=3.5&amp;sourceID=14","3.5")</f>
        <v>3.5</v>
      </c>
      <c r="G5989" s="4" t="str">
        <f>HYPERLINK("http://141.218.60.56/~jnz1568/getInfo.php?workbook=18_08.xlsx&amp;sheet=U0&amp;row=5989&amp;col=7&amp;number=0.00138&amp;sourceID=14","0.00138")</f>
        <v>0.00138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HYPERLINK("http://141.218.60.56/~jnz1568/getInfo.php?workbook=18_08.xlsx&amp;sheet=U0&amp;row=5990&amp;col=6&amp;number=3.6&amp;sourceID=14","3.6")</f>
        <v>3.6</v>
      </c>
      <c r="G5990" s="4" t="str">
        <f>HYPERLINK("http://141.218.60.56/~jnz1568/getInfo.php?workbook=18_08.xlsx&amp;sheet=U0&amp;row=5990&amp;col=7&amp;number=0.00138&amp;sourceID=14","0.00138")</f>
        <v>0.00138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HYPERLINK("http://141.218.60.56/~jnz1568/getInfo.php?workbook=18_08.xlsx&amp;sheet=U0&amp;row=5991&amp;col=6&amp;number=3.7&amp;sourceID=14","3.7")</f>
        <v>3.7</v>
      </c>
      <c r="G5991" s="4" t="str">
        <f>HYPERLINK("http://141.218.60.56/~jnz1568/getInfo.php?workbook=18_08.xlsx&amp;sheet=U0&amp;row=5991&amp;col=7&amp;number=0.00138&amp;sourceID=14","0.00138")</f>
        <v>0.00138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HYPERLINK("http://141.218.60.56/~jnz1568/getInfo.php?workbook=18_08.xlsx&amp;sheet=U0&amp;row=5992&amp;col=6&amp;number=3.8&amp;sourceID=14","3.8")</f>
        <v>3.8</v>
      </c>
      <c r="G5992" s="4" t="str">
        <f>HYPERLINK("http://141.218.60.56/~jnz1568/getInfo.php?workbook=18_08.xlsx&amp;sheet=U0&amp;row=5992&amp;col=7&amp;number=0.00138&amp;sourceID=14","0.00138")</f>
        <v>0.00138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HYPERLINK("http://141.218.60.56/~jnz1568/getInfo.php?workbook=18_08.xlsx&amp;sheet=U0&amp;row=5993&amp;col=6&amp;number=3.9&amp;sourceID=14","3.9")</f>
        <v>3.9</v>
      </c>
      <c r="G5993" s="4" t="str">
        <f>HYPERLINK("http://141.218.60.56/~jnz1568/getInfo.php?workbook=18_08.xlsx&amp;sheet=U0&amp;row=5993&amp;col=7&amp;number=0.00138&amp;sourceID=14","0.00138")</f>
        <v>0.00138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HYPERLINK("http://141.218.60.56/~jnz1568/getInfo.php?workbook=18_08.xlsx&amp;sheet=U0&amp;row=5994&amp;col=6&amp;number=4&amp;sourceID=14","4")</f>
        <v>4</v>
      </c>
      <c r="G5994" s="4" t="str">
        <f>HYPERLINK("http://141.218.60.56/~jnz1568/getInfo.php?workbook=18_08.xlsx&amp;sheet=U0&amp;row=5994&amp;col=7&amp;number=0.00138&amp;sourceID=14","0.00138")</f>
        <v>0.00138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HYPERLINK("http://141.218.60.56/~jnz1568/getInfo.php?workbook=18_08.xlsx&amp;sheet=U0&amp;row=5995&amp;col=6&amp;number=4.1&amp;sourceID=14","4.1")</f>
        <v>4.1</v>
      </c>
      <c r="G5995" s="4" t="str">
        <f>HYPERLINK("http://141.218.60.56/~jnz1568/getInfo.php?workbook=18_08.xlsx&amp;sheet=U0&amp;row=5995&amp;col=7&amp;number=0.00138&amp;sourceID=14","0.00138")</f>
        <v>0.00138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HYPERLINK("http://141.218.60.56/~jnz1568/getInfo.php?workbook=18_08.xlsx&amp;sheet=U0&amp;row=5996&amp;col=6&amp;number=4.2&amp;sourceID=14","4.2")</f>
        <v>4.2</v>
      </c>
      <c r="G5996" s="4" t="str">
        <f>HYPERLINK("http://141.218.60.56/~jnz1568/getInfo.php?workbook=18_08.xlsx&amp;sheet=U0&amp;row=5996&amp;col=7&amp;number=0.00138&amp;sourceID=14","0.00138")</f>
        <v>0.00138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HYPERLINK("http://141.218.60.56/~jnz1568/getInfo.php?workbook=18_08.xlsx&amp;sheet=U0&amp;row=5997&amp;col=6&amp;number=4.3&amp;sourceID=14","4.3")</f>
        <v>4.3</v>
      </c>
      <c r="G5997" s="4" t="str">
        <f>HYPERLINK("http://141.218.60.56/~jnz1568/getInfo.php?workbook=18_08.xlsx&amp;sheet=U0&amp;row=5997&amp;col=7&amp;number=0.00138&amp;sourceID=14","0.00138")</f>
        <v>0.00138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HYPERLINK("http://141.218.60.56/~jnz1568/getInfo.php?workbook=18_08.xlsx&amp;sheet=U0&amp;row=5998&amp;col=6&amp;number=4.4&amp;sourceID=14","4.4")</f>
        <v>4.4</v>
      </c>
      <c r="G5998" s="4" t="str">
        <f>HYPERLINK("http://141.218.60.56/~jnz1568/getInfo.php?workbook=18_08.xlsx&amp;sheet=U0&amp;row=5998&amp;col=7&amp;number=0.00138&amp;sourceID=14","0.00138")</f>
        <v>0.00138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HYPERLINK("http://141.218.60.56/~jnz1568/getInfo.php?workbook=18_08.xlsx&amp;sheet=U0&amp;row=5999&amp;col=6&amp;number=4.5&amp;sourceID=14","4.5")</f>
        <v>4.5</v>
      </c>
      <c r="G5999" s="4" t="str">
        <f>HYPERLINK("http://141.218.60.56/~jnz1568/getInfo.php?workbook=18_08.xlsx&amp;sheet=U0&amp;row=5999&amp;col=7&amp;number=0.00137&amp;sourceID=14","0.00137")</f>
        <v>0.00137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HYPERLINK("http://141.218.60.56/~jnz1568/getInfo.php?workbook=18_08.xlsx&amp;sheet=U0&amp;row=6000&amp;col=6&amp;number=4.6&amp;sourceID=14","4.6")</f>
        <v>4.6</v>
      </c>
      <c r="G6000" s="4" t="str">
        <f>HYPERLINK("http://141.218.60.56/~jnz1568/getInfo.php?workbook=18_08.xlsx&amp;sheet=U0&amp;row=6000&amp;col=7&amp;number=0.00137&amp;sourceID=14","0.00137")</f>
        <v>0.00137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HYPERLINK("http://141.218.60.56/~jnz1568/getInfo.php?workbook=18_08.xlsx&amp;sheet=U0&amp;row=6001&amp;col=6&amp;number=4.7&amp;sourceID=14","4.7")</f>
        <v>4.7</v>
      </c>
      <c r="G6001" s="4" t="str">
        <f>HYPERLINK("http://141.218.60.56/~jnz1568/getInfo.php?workbook=18_08.xlsx&amp;sheet=U0&amp;row=6001&amp;col=7&amp;number=0.00137&amp;sourceID=14","0.00137")</f>
        <v>0.00137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HYPERLINK("http://141.218.60.56/~jnz1568/getInfo.php?workbook=18_08.xlsx&amp;sheet=U0&amp;row=6002&amp;col=6&amp;number=4.8&amp;sourceID=14","4.8")</f>
        <v>4.8</v>
      </c>
      <c r="G6002" s="4" t="str">
        <f>HYPERLINK("http://141.218.60.56/~jnz1568/getInfo.php?workbook=18_08.xlsx&amp;sheet=U0&amp;row=6002&amp;col=7&amp;number=0.00137&amp;sourceID=14","0.00137")</f>
        <v>0.00137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HYPERLINK("http://141.218.60.56/~jnz1568/getInfo.php?workbook=18_08.xlsx&amp;sheet=U0&amp;row=6003&amp;col=6&amp;number=4.9&amp;sourceID=14","4.9")</f>
        <v>4.9</v>
      </c>
      <c r="G6003" s="4" t="str">
        <f>HYPERLINK("http://141.218.60.56/~jnz1568/getInfo.php?workbook=18_08.xlsx&amp;sheet=U0&amp;row=6003&amp;col=7&amp;number=0.00136&amp;sourceID=14","0.00136")</f>
        <v>0.00136</v>
      </c>
    </row>
    <row r="6004" spans="1:7">
      <c r="A6004" s="3">
        <v>18</v>
      </c>
      <c r="B6004" s="3">
        <v>8</v>
      </c>
      <c r="C6004" s="3" t="s">
        <v>74</v>
      </c>
      <c r="D6004" s="3">
        <v>3</v>
      </c>
      <c r="E6004" s="3">
        <v>1</v>
      </c>
      <c r="F6004" s="4" t="str">
        <f>HYPERLINK("http://141.218.60.56/~jnz1568/getInfo.php?workbook=18_08.xlsx&amp;sheet=U0&amp;row=6004&amp;col=6&amp;number=3&amp;sourceID=14","3")</f>
        <v>3</v>
      </c>
      <c r="G6004" s="4" t="str">
        <f>HYPERLINK("http://141.218.60.56/~jnz1568/getInfo.php?workbook=18_08.xlsx&amp;sheet=U0&amp;row=6004&amp;col=7&amp;number=0.00152&amp;sourceID=14","0.00152")</f>
        <v>0.00152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HYPERLINK("http://141.218.60.56/~jnz1568/getInfo.php?workbook=18_08.xlsx&amp;sheet=U0&amp;row=6005&amp;col=6&amp;number=3.1&amp;sourceID=14","3.1")</f>
        <v>3.1</v>
      </c>
      <c r="G6005" s="4" t="str">
        <f>HYPERLINK("http://141.218.60.56/~jnz1568/getInfo.php?workbook=18_08.xlsx&amp;sheet=U0&amp;row=6005&amp;col=7&amp;number=0.00152&amp;sourceID=14","0.00152")</f>
        <v>0.00152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HYPERLINK("http://141.218.60.56/~jnz1568/getInfo.php?workbook=18_08.xlsx&amp;sheet=U0&amp;row=6006&amp;col=6&amp;number=3.2&amp;sourceID=14","3.2")</f>
        <v>3.2</v>
      </c>
      <c r="G6006" s="4" t="str">
        <f>HYPERLINK("http://141.218.60.56/~jnz1568/getInfo.php?workbook=18_08.xlsx&amp;sheet=U0&amp;row=6006&amp;col=7&amp;number=0.00152&amp;sourceID=14","0.00152")</f>
        <v>0.00152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HYPERLINK("http://141.218.60.56/~jnz1568/getInfo.php?workbook=18_08.xlsx&amp;sheet=U0&amp;row=6007&amp;col=6&amp;number=3.3&amp;sourceID=14","3.3")</f>
        <v>3.3</v>
      </c>
      <c r="G6007" s="4" t="str">
        <f>HYPERLINK("http://141.218.60.56/~jnz1568/getInfo.php?workbook=18_08.xlsx&amp;sheet=U0&amp;row=6007&amp;col=7&amp;number=0.00152&amp;sourceID=14","0.00152")</f>
        <v>0.00152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HYPERLINK("http://141.218.60.56/~jnz1568/getInfo.php?workbook=18_08.xlsx&amp;sheet=U0&amp;row=6008&amp;col=6&amp;number=3.4&amp;sourceID=14","3.4")</f>
        <v>3.4</v>
      </c>
      <c r="G6008" s="4" t="str">
        <f>HYPERLINK("http://141.218.60.56/~jnz1568/getInfo.php?workbook=18_08.xlsx&amp;sheet=U0&amp;row=6008&amp;col=7&amp;number=0.00152&amp;sourceID=14","0.00152")</f>
        <v>0.00152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HYPERLINK("http://141.218.60.56/~jnz1568/getInfo.php?workbook=18_08.xlsx&amp;sheet=U0&amp;row=6009&amp;col=6&amp;number=3.5&amp;sourceID=14","3.5")</f>
        <v>3.5</v>
      </c>
      <c r="G6009" s="4" t="str">
        <f>HYPERLINK("http://141.218.60.56/~jnz1568/getInfo.php?workbook=18_08.xlsx&amp;sheet=U0&amp;row=6009&amp;col=7&amp;number=0.00152&amp;sourceID=14","0.00152")</f>
        <v>0.00152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HYPERLINK("http://141.218.60.56/~jnz1568/getInfo.php?workbook=18_08.xlsx&amp;sheet=U0&amp;row=6010&amp;col=6&amp;number=3.6&amp;sourceID=14","3.6")</f>
        <v>3.6</v>
      </c>
      <c r="G6010" s="4" t="str">
        <f>HYPERLINK("http://141.218.60.56/~jnz1568/getInfo.php?workbook=18_08.xlsx&amp;sheet=U0&amp;row=6010&amp;col=7&amp;number=0.00152&amp;sourceID=14","0.00152")</f>
        <v>0.00152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HYPERLINK("http://141.218.60.56/~jnz1568/getInfo.php?workbook=18_08.xlsx&amp;sheet=U0&amp;row=6011&amp;col=6&amp;number=3.7&amp;sourceID=14","3.7")</f>
        <v>3.7</v>
      </c>
      <c r="G6011" s="4" t="str">
        <f>HYPERLINK("http://141.218.60.56/~jnz1568/getInfo.php?workbook=18_08.xlsx&amp;sheet=U0&amp;row=6011&amp;col=7&amp;number=0.00152&amp;sourceID=14","0.00152")</f>
        <v>0.00152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HYPERLINK("http://141.218.60.56/~jnz1568/getInfo.php?workbook=18_08.xlsx&amp;sheet=U0&amp;row=6012&amp;col=6&amp;number=3.8&amp;sourceID=14","3.8")</f>
        <v>3.8</v>
      </c>
      <c r="G6012" s="4" t="str">
        <f>HYPERLINK("http://141.218.60.56/~jnz1568/getInfo.php?workbook=18_08.xlsx&amp;sheet=U0&amp;row=6012&amp;col=7&amp;number=0.00152&amp;sourceID=14","0.00152")</f>
        <v>0.00152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HYPERLINK("http://141.218.60.56/~jnz1568/getInfo.php?workbook=18_08.xlsx&amp;sheet=U0&amp;row=6013&amp;col=6&amp;number=3.9&amp;sourceID=14","3.9")</f>
        <v>3.9</v>
      </c>
      <c r="G6013" s="4" t="str">
        <f>HYPERLINK("http://141.218.60.56/~jnz1568/getInfo.php?workbook=18_08.xlsx&amp;sheet=U0&amp;row=6013&amp;col=7&amp;number=0.00151&amp;sourceID=14","0.00151")</f>
        <v>0.00151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HYPERLINK("http://141.218.60.56/~jnz1568/getInfo.php?workbook=18_08.xlsx&amp;sheet=U0&amp;row=6014&amp;col=6&amp;number=4&amp;sourceID=14","4")</f>
        <v>4</v>
      </c>
      <c r="G6014" s="4" t="str">
        <f>HYPERLINK("http://141.218.60.56/~jnz1568/getInfo.php?workbook=18_08.xlsx&amp;sheet=U0&amp;row=6014&amp;col=7&amp;number=0.00151&amp;sourceID=14","0.00151")</f>
        <v>0.00151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HYPERLINK("http://141.218.60.56/~jnz1568/getInfo.php?workbook=18_08.xlsx&amp;sheet=U0&amp;row=6015&amp;col=6&amp;number=4.1&amp;sourceID=14","4.1")</f>
        <v>4.1</v>
      </c>
      <c r="G6015" s="4" t="str">
        <f>HYPERLINK("http://141.218.60.56/~jnz1568/getInfo.php?workbook=18_08.xlsx&amp;sheet=U0&amp;row=6015&amp;col=7&amp;number=0.00151&amp;sourceID=14","0.00151")</f>
        <v>0.00151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HYPERLINK("http://141.218.60.56/~jnz1568/getInfo.php?workbook=18_08.xlsx&amp;sheet=U0&amp;row=6016&amp;col=6&amp;number=4.2&amp;sourceID=14","4.2")</f>
        <v>4.2</v>
      </c>
      <c r="G6016" s="4" t="str">
        <f>HYPERLINK("http://141.218.60.56/~jnz1568/getInfo.php?workbook=18_08.xlsx&amp;sheet=U0&amp;row=6016&amp;col=7&amp;number=0.00151&amp;sourceID=14","0.00151")</f>
        <v>0.00151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HYPERLINK("http://141.218.60.56/~jnz1568/getInfo.php?workbook=18_08.xlsx&amp;sheet=U0&amp;row=6017&amp;col=6&amp;number=4.3&amp;sourceID=14","4.3")</f>
        <v>4.3</v>
      </c>
      <c r="G6017" s="4" t="str">
        <f>HYPERLINK("http://141.218.60.56/~jnz1568/getInfo.php?workbook=18_08.xlsx&amp;sheet=U0&amp;row=6017&amp;col=7&amp;number=0.00151&amp;sourceID=14","0.00151")</f>
        <v>0.00151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HYPERLINK("http://141.218.60.56/~jnz1568/getInfo.php?workbook=18_08.xlsx&amp;sheet=U0&amp;row=6018&amp;col=6&amp;number=4.4&amp;sourceID=14","4.4")</f>
        <v>4.4</v>
      </c>
      <c r="G6018" s="4" t="str">
        <f>HYPERLINK("http://141.218.60.56/~jnz1568/getInfo.php?workbook=18_08.xlsx&amp;sheet=U0&amp;row=6018&amp;col=7&amp;number=0.00151&amp;sourceID=14","0.00151")</f>
        <v>0.00151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HYPERLINK("http://141.218.60.56/~jnz1568/getInfo.php?workbook=18_08.xlsx&amp;sheet=U0&amp;row=6019&amp;col=6&amp;number=4.5&amp;sourceID=14","4.5")</f>
        <v>4.5</v>
      </c>
      <c r="G6019" s="4" t="str">
        <f>HYPERLINK("http://141.218.60.56/~jnz1568/getInfo.php?workbook=18_08.xlsx&amp;sheet=U0&amp;row=6019&amp;col=7&amp;number=0.00151&amp;sourceID=14","0.00151")</f>
        <v>0.00151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HYPERLINK("http://141.218.60.56/~jnz1568/getInfo.php?workbook=18_08.xlsx&amp;sheet=U0&amp;row=6020&amp;col=6&amp;number=4.6&amp;sourceID=14","4.6")</f>
        <v>4.6</v>
      </c>
      <c r="G6020" s="4" t="str">
        <f>HYPERLINK("http://141.218.60.56/~jnz1568/getInfo.php?workbook=18_08.xlsx&amp;sheet=U0&amp;row=6020&amp;col=7&amp;number=0.00151&amp;sourceID=14","0.00151")</f>
        <v>0.00151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HYPERLINK("http://141.218.60.56/~jnz1568/getInfo.php?workbook=18_08.xlsx&amp;sheet=U0&amp;row=6021&amp;col=6&amp;number=4.7&amp;sourceID=14","4.7")</f>
        <v>4.7</v>
      </c>
      <c r="G6021" s="4" t="str">
        <f>HYPERLINK("http://141.218.60.56/~jnz1568/getInfo.php?workbook=18_08.xlsx&amp;sheet=U0&amp;row=6021&amp;col=7&amp;number=0.0015&amp;sourceID=14","0.0015")</f>
        <v>0.0015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HYPERLINK("http://141.218.60.56/~jnz1568/getInfo.php?workbook=18_08.xlsx&amp;sheet=U0&amp;row=6022&amp;col=6&amp;number=4.8&amp;sourceID=14","4.8")</f>
        <v>4.8</v>
      </c>
      <c r="G6022" s="4" t="str">
        <f>HYPERLINK("http://141.218.60.56/~jnz1568/getInfo.php?workbook=18_08.xlsx&amp;sheet=U0&amp;row=6022&amp;col=7&amp;number=0.0015&amp;sourceID=14","0.0015")</f>
        <v>0.0015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HYPERLINK("http://141.218.60.56/~jnz1568/getInfo.php?workbook=18_08.xlsx&amp;sheet=U0&amp;row=6023&amp;col=6&amp;number=4.9&amp;sourceID=14","4.9")</f>
        <v>4.9</v>
      </c>
      <c r="G6023" s="4" t="str">
        <f>HYPERLINK("http://141.218.60.56/~jnz1568/getInfo.php?workbook=18_08.xlsx&amp;sheet=U0&amp;row=6023&amp;col=7&amp;number=0.00149&amp;sourceID=14","0.00149")</f>
        <v>0.00149</v>
      </c>
    </row>
    <row r="6024" spans="1:7">
      <c r="A6024" s="3">
        <v>18</v>
      </c>
      <c r="B6024" s="3">
        <v>8</v>
      </c>
      <c r="C6024" s="3" t="s">
        <v>74</v>
      </c>
      <c r="D6024" s="3">
        <v>4</v>
      </c>
      <c r="E6024" s="3">
        <v>1</v>
      </c>
      <c r="F6024" s="4" t="str">
        <f>HYPERLINK("http://141.218.60.56/~jnz1568/getInfo.php?workbook=18_08.xlsx&amp;sheet=U0&amp;row=6024&amp;col=6&amp;number=3&amp;sourceID=14","3")</f>
        <v>3</v>
      </c>
      <c r="G6024" s="4" t="str">
        <f>HYPERLINK("http://141.218.60.56/~jnz1568/getInfo.php?workbook=18_08.xlsx&amp;sheet=U0&amp;row=6024&amp;col=7&amp;number=0.00381&amp;sourceID=14","0.00381")</f>
        <v>0.00381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HYPERLINK("http://141.218.60.56/~jnz1568/getInfo.php?workbook=18_08.xlsx&amp;sheet=U0&amp;row=6025&amp;col=6&amp;number=3.1&amp;sourceID=14","3.1")</f>
        <v>3.1</v>
      </c>
      <c r="G6025" s="4" t="str">
        <f>HYPERLINK("http://141.218.60.56/~jnz1568/getInfo.php?workbook=18_08.xlsx&amp;sheet=U0&amp;row=6025&amp;col=7&amp;number=0.00381&amp;sourceID=14","0.00381")</f>
        <v>0.00381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HYPERLINK("http://141.218.60.56/~jnz1568/getInfo.php?workbook=18_08.xlsx&amp;sheet=U0&amp;row=6026&amp;col=6&amp;number=3.2&amp;sourceID=14","3.2")</f>
        <v>3.2</v>
      </c>
      <c r="G6026" s="4" t="str">
        <f>HYPERLINK("http://141.218.60.56/~jnz1568/getInfo.php?workbook=18_08.xlsx&amp;sheet=U0&amp;row=6026&amp;col=7&amp;number=0.00381&amp;sourceID=14","0.00381")</f>
        <v>0.00381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HYPERLINK("http://141.218.60.56/~jnz1568/getInfo.php?workbook=18_08.xlsx&amp;sheet=U0&amp;row=6027&amp;col=6&amp;number=3.3&amp;sourceID=14","3.3")</f>
        <v>3.3</v>
      </c>
      <c r="G6027" s="4" t="str">
        <f>HYPERLINK("http://141.218.60.56/~jnz1568/getInfo.php?workbook=18_08.xlsx&amp;sheet=U0&amp;row=6027&amp;col=7&amp;number=0.00381&amp;sourceID=14","0.00381")</f>
        <v>0.00381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HYPERLINK("http://141.218.60.56/~jnz1568/getInfo.php?workbook=18_08.xlsx&amp;sheet=U0&amp;row=6028&amp;col=6&amp;number=3.4&amp;sourceID=14","3.4")</f>
        <v>3.4</v>
      </c>
      <c r="G6028" s="4" t="str">
        <f>HYPERLINK("http://141.218.60.56/~jnz1568/getInfo.php?workbook=18_08.xlsx&amp;sheet=U0&amp;row=6028&amp;col=7&amp;number=0.00381&amp;sourceID=14","0.00381")</f>
        <v>0.00381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HYPERLINK("http://141.218.60.56/~jnz1568/getInfo.php?workbook=18_08.xlsx&amp;sheet=U0&amp;row=6029&amp;col=6&amp;number=3.5&amp;sourceID=14","3.5")</f>
        <v>3.5</v>
      </c>
      <c r="G6029" s="4" t="str">
        <f>HYPERLINK("http://141.218.60.56/~jnz1568/getInfo.php?workbook=18_08.xlsx&amp;sheet=U0&amp;row=6029&amp;col=7&amp;number=0.00381&amp;sourceID=14","0.00381")</f>
        <v>0.00381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HYPERLINK("http://141.218.60.56/~jnz1568/getInfo.php?workbook=18_08.xlsx&amp;sheet=U0&amp;row=6030&amp;col=6&amp;number=3.6&amp;sourceID=14","3.6")</f>
        <v>3.6</v>
      </c>
      <c r="G6030" s="4" t="str">
        <f>HYPERLINK("http://141.218.60.56/~jnz1568/getInfo.php?workbook=18_08.xlsx&amp;sheet=U0&amp;row=6030&amp;col=7&amp;number=0.00381&amp;sourceID=14","0.00381")</f>
        <v>0.00381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HYPERLINK("http://141.218.60.56/~jnz1568/getInfo.php?workbook=18_08.xlsx&amp;sheet=U0&amp;row=6031&amp;col=6&amp;number=3.7&amp;sourceID=14","3.7")</f>
        <v>3.7</v>
      </c>
      <c r="G6031" s="4" t="str">
        <f>HYPERLINK("http://141.218.60.56/~jnz1568/getInfo.php?workbook=18_08.xlsx&amp;sheet=U0&amp;row=6031&amp;col=7&amp;number=0.00381&amp;sourceID=14","0.00381")</f>
        <v>0.00381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HYPERLINK("http://141.218.60.56/~jnz1568/getInfo.php?workbook=18_08.xlsx&amp;sheet=U0&amp;row=6032&amp;col=6&amp;number=3.8&amp;sourceID=14","3.8")</f>
        <v>3.8</v>
      </c>
      <c r="G6032" s="4" t="str">
        <f>HYPERLINK("http://141.218.60.56/~jnz1568/getInfo.php?workbook=18_08.xlsx&amp;sheet=U0&amp;row=6032&amp;col=7&amp;number=0.00381&amp;sourceID=14","0.00381")</f>
        <v>0.00381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HYPERLINK("http://141.218.60.56/~jnz1568/getInfo.php?workbook=18_08.xlsx&amp;sheet=U0&amp;row=6033&amp;col=6&amp;number=3.9&amp;sourceID=14","3.9")</f>
        <v>3.9</v>
      </c>
      <c r="G6033" s="4" t="str">
        <f>HYPERLINK("http://141.218.60.56/~jnz1568/getInfo.php?workbook=18_08.xlsx&amp;sheet=U0&amp;row=6033&amp;col=7&amp;number=0.0038&amp;sourceID=14","0.0038")</f>
        <v>0.0038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HYPERLINK("http://141.218.60.56/~jnz1568/getInfo.php?workbook=18_08.xlsx&amp;sheet=U0&amp;row=6034&amp;col=6&amp;number=4&amp;sourceID=14","4")</f>
        <v>4</v>
      </c>
      <c r="G6034" s="4" t="str">
        <f>HYPERLINK("http://141.218.60.56/~jnz1568/getInfo.php?workbook=18_08.xlsx&amp;sheet=U0&amp;row=6034&amp;col=7&amp;number=0.0038&amp;sourceID=14","0.0038")</f>
        <v>0.0038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HYPERLINK("http://141.218.60.56/~jnz1568/getInfo.php?workbook=18_08.xlsx&amp;sheet=U0&amp;row=6035&amp;col=6&amp;number=4.1&amp;sourceID=14","4.1")</f>
        <v>4.1</v>
      </c>
      <c r="G6035" s="4" t="str">
        <f>HYPERLINK("http://141.218.60.56/~jnz1568/getInfo.php?workbook=18_08.xlsx&amp;sheet=U0&amp;row=6035&amp;col=7&amp;number=0.0038&amp;sourceID=14","0.0038")</f>
        <v>0.0038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HYPERLINK("http://141.218.60.56/~jnz1568/getInfo.php?workbook=18_08.xlsx&amp;sheet=U0&amp;row=6036&amp;col=6&amp;number=4.2&amp;sourceID=14","4.2")</f>
        <v>4.2</v>
      </c>
      <c r="G6036" s="4" t="str">
        <f>HYPERLINK("http://141.218.60.56/~jnz1568/getInfo.php?workbook=18_08.xlsx&amp;sheet=U0&amp;row=6036&amp;col=7&amp;number=0.0038&amp;sourceID=14","0.0038")</f>
        <v>0.0038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HYPERLINK("http://141.218.60.56/~jnz1568/getInfo.php?workbook=18_08.xlsx&amp;sheet=U0&amp;row=6037&amp;col=6&amp;number=4.3&amp;sourceID=14","4.3")</f>
        <v>4.3</v>
      </c>
      <c r="G6037" s="4" t="str">
        <f>HYPERLINK("http://141.218.60.56/~jnz1568/getInfo.php?workbook=18_08.xlsx&amp;sheet=U0&amp;row=6037&amp;col=7&amp;number=0.0038&amp;sourceID=14","0.0038")</f>
        <v>0.0038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HYPERLINK("http://141.218.60.56/~jnz1568/getInfo.php?workbook=18_08.xlsx&amp;sheet=U0&amp;row=6038&amp;col=6&amp;number=4.4&amp;sourceID=14","4.4")</f>
        <v>4.4</v>
      </c>
      <c r="G6038" s="4" t="str">
        <f>HYPERLINK("http://141.218.60.56/~jnz1568/getInfo.php?workbook=18_08.xlsx&amp;sheet=U0&amp;row=6038&amp;col=7&amp;number=0.0038&amp;sourceID=14","0.0038")</f>
        <v>0.0038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HYPERLINK("http://141.218.60.56/~jnz1568/getInfo.php?workbook=18_08.xlsx&amp;sheet=U0&amp;row=6039&amp;col=6&amp;number=4.5&amp;sourceID=14","4.5")</f>
        <v>4.5</v>
      </c>
      <c r="G6039" s="4" t="str">
        <f>HYPERLINK("http://141.218.60.56/~jnz1568/getInfo.php?workbook=18_08.xlsx&amp;sheet=U0&amp;row=6039&amp;col=7&amp;number=0.00379&amp;sourceID=14","0.00379")</f>
        <v>0.00379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HYPERLINK("http://141.218.60.56/~jnz1568/getInfo.php?workbook=18_08.xlsx&amp;sheet=U0&amp;row=6040&amp;col=6&amp;number=4.6&amp;sourceID=14","4.6")</f>
        <v>4.6</v>
      </c>
      <c r="G6040" s="4" t="str">
        <f>HYPERLINK("http://141.218.60.56/~jnz1568/getInfo.php?workbook=18_08.xlsx&amp;sheet=U0&amp;row=6040&amp;col=7&amp;number=0.00379&amp;sourceID=14","0.00379")</f>
        <v>0.00379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HYPERLINK("http://141.218.60.56/~jnz1568/getInfo.php?workbook=18_08.xlsx&amp;sheet=U0&amp;row=6041&amp;col=6&amp;number=4.7&amp;sourceID=14","4.7")</f>
        <v>4.7</v>
      </c>
      <c r="G6041" s="4" t="str">
        <f>HYPERLINK("http://141.218.60.56/~jnz1568/getInfo.php?workbook=18_08.xlsx&amp;sheet=U0&amp;row=6041&amp;col=7&amp;number=0.00378&amp;sourceID=14","0.00378")</f>
        <v>0.00378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HYPERLINK("http://141.218.60.56/~jnz1568/getInfo.php?workbook=18_08.xlsx&amp;sheet=U0&amp;row=6042&amp;col=6&amp;number=4.8&amp;sourceID=14","4.8")</f>
        <v>4.8</v>
      </c>
      <c r="G6042" s="4" t="str">
        <f>HYPERLINK("http://141.218.60.56/~jnz1568/getInfo.php?workbook=18_08.xlsx&amp;sheet=U0&amp;row=6042&amp;col=7&amp;number=0.00378&amp;sourceID=14","0.00378")</f>
        <v>0.00378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HYPERLINK("http://141.218.60.56/~jnz1568/getInfo.php?workbook=18_08.xlsx&amp;sheet=U0&amp;row=6043&amp;col=6&amp;number=4.9&amp;sourceID=14","4.9")</f>
        <v>4.9</v>
      </c>
      <c r="G6043" s="4" t="str">
        <f>HYPERLINK("http://141.218.60.56/~jnz1568/getInfo.php?workbook=18_08.xlsx&amp;sheet=U0&amp;row=6043&amp;col=7&amp;number=0.00377&amp;sourceID=14","0.00377")</f>
        <v>0.00377</v>
      </c>
    </row>
    <row r="6044" spans="1:7">
      <c r="A6044" s="3">
        <v>18</v>
      </c>
      <c r="B6044" s="3">
        <v>8</v>
      </c>
      <c r="C6044" s="3" t="s">
        <v>74</v>
      </c>
      <c r="D6044" s="3">
        <v>5</v>
      </c>
      <c r="E6044" s="3">
        <v>1</v>
      </c>
      <c r="F6044" s="4" t="str">
        <f>HYPERLINK("http://141.218.60.56/~jnz1568/getInfo.php?workbook=18_08.xlsx&amp;sheet=U0&amp;row=6044&amp;col=6&amp;number=3&amp;sourceID=14","3")</f>
        <v>3</v>
      </c>
      <c r="G6044" s="4" t="str">
        <f>HYPERLINK("http://141.218.60.56/~jnz1568/getInfo.php?workbook=18_08.xlsx&amp;sheet=U0&amp;row=6044&amp;col=7&amp;number=0.336&amp;sourceID=14","0.336")</f>
        <v>0.336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HYPERLINK("http://141.218.60.56/~jnz1568/getInfo.php?workbook=18_08.xlsx&amp;sheet=U0&amp;row=6045&amp;col=6&amp;number=3.1&amp;sourceID=14","3.1")</f>
        <v>3.1</v>
      </c>
      <c r="G6045" s="4" t="str">
        <f>HYPERLINK("http://141.218.60.56/~jnz1568/getInfo.php?workbook=18_08.xlsx&amp;sheet=U0&amp;row=6045&amp;col=7&amp;number=0.336&amp;sourceID=14","0.336")</f>
        <v>0.336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HYPERLINK("http://141.218.60.56/~jnz1568/getInfo.php?workbook=18_08.xlsx&amp;sheet=U0&amp;row=6046&amp;col=6&amp;number=3.2&amp;sourceID=14","3.2")</f>
        <v>3.2</v>
      </c>
      <c r="G6046" s="4" t="str">
        <f>HYPERLINK("http://141.218.60.56/~jnz1568/getInfo.php?workbook=18_08.xlsx&amp;sheet=U0&amp;row=6046&amp;col=7&amp;number=0.336&amp;sourceID=14","0.336")</f>
        <v>0.336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HYPERLINK("http://141.218.60.56/~jnz1568/getInfo.php?workbook=18_08.xlsx&amp;sheet=U0&amp;row=6047&amp;col=6&amp;number=3.3&amp;sourceID=14","3.3")</f>
        <v>3.3</v>
      </c>
      <c r="G6047" s="4" t="str">
        <f>HYPERLINK("http://141.218.60.56/~jnz1568/getInfo.php?workbook=18_08.xlsx&amp;sheet=U0&amp;row=6047&amp;col=7&amp;number=0.336&amp;sourceID=14","0.336")</f>
        <v>0.336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HYPERLINK("http://141.218.60.56/~jnz1568/getInfo.php?workbook=18_08.xlsx&amp;sheet=U0&amp;row=6048&amp;col=6&amp;number=3.4&amp;sourceID=14","3.4")</f>
        <v>3.4</v>
      </c>
      <c r="G6048" s="4" t="str">
        <f>HYPERLINK("http://141.218.60.56/~jnz1568/getInfo.php?workbook=18_08.xlsx&amp;sheet=U0&amp;row=6048&amp;col=7&amp;number=0.336&amp;sourceID=14","0.336")</f>
        <v>0.336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HYPERLINK("http://141.218.60.56/~jnz1568/getInfo.php?workbook=18_08.xlsx&amp;sheet=U0&amp;row=6049&amp;col=6&amp;number=3.5&amp;sourceID=14","3.5")</f>
        <v>3.5</v>
      </c>
      <c r="G6049" s="4" t="str">
        <f>HYPERLINK("http://141.218.60.56/~jnz1568/getInfo.php?workbook=18_08.xlsx&amp;sheet=U0&amp;row=6049&amp;col=7&amp;number=0.336&amp;sourceID=14","0.336")</f>
        <v>0.336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HYPERLINK("http://141.218.60.56/~jnz1568/getInfo.php?workbook=18_08.xlsx&amp;sheet=U0&amp;row=6050&amp;col=6&amp;number=3.6&amp;sourceID=14","3.6")</f>
        <v>3.6</v>
      </c>
      <c r="G6050" s="4" t="str">
        <f>HYPERLINK("http://141.218.60.56/~jnz1568/getInfo.php?workbook=18_08.xlsx&amp;sheet=U0&amp;row=6050&amp;col=7&amp;number=0.336&amp;sourceID=14","0.336")</f>
        <v>0.336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HYPERLINK("http://141.218.60.56/~jnz1568/getInfo.php?workbook=18_08.xlsx&amp;sheet=U0&amp;row=6051&amp;col=6&amp;number=3.7&amp;sourceID=14","3.7")</f>
        <v>3.7</v>
      </c>
      <c r="G6051" s="4" t="str">
        <f>HYPERLINK("http://141.218.60.56/~jnz1568/getInfo.php?workbook=18_08.xlsx&amp;sheet=U0&amp;row=6051&amp;col=7&amp;number=0.336&amp;sourceID=14","0.336")</f>
        <v>0.336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HYPERLINK("http://141.218.60.56/~jnz1568/getInfo.php?workbook=18_08.xlsx&amp;sheet=U0&amp;row=6052&amp;col=6&amp;number=3.8&amp;sourceID=14","3.8")</f>
        <v>3.8</v>
      </c>
      <c r="G6052" s="4" t="str">
        <f>HYPERLINK("http://141.218.60.56/~jnz1568/getInfo.php?workbook=18_08.xlsx&amp;sheet=U0&amp;row=6052&amp;col=7&amp;number=0.336&amp;sourceID=14","0.336")</f>
        <v>0.336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HYPERLINK("http://141.218.60.56/~jnz1568/getInfo.php?workbook=18_08.xlsx&amp;sheet=U0&amp;row=6053&amp;col=6&amp;number=3.9&amp;sourceID=14","3.9")</f>
        <v>3.9</v>
      </c>
      <c r="G6053" s="4" t="str">
        <f>HYPERLINK("http://141.218.60.56/~jnz1568/getInfo.php?workbook=18_08.xlsx&amp;sheet=U0&amp;row=6053&amp;col=7&amp;number=0.336&amp;sourceID=14","0.336")</f>
        <v>0.336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HYPERLINK("http://141.218.60.56/~jnz1568/getInfo.php?workbook=18_08.xlsx&amp;sheet=U0&amp;row=6054&amp;col=6&amp;number=4&amp;sourceID=14","4")</f>
        <v>4</v>
      </c>
      <c r="G6054" s="4" t="str">
        <f>HYPERLINK("http://141.218.60.56/~jnz1568/getInfo.php?workbook=18_08.xlsx&amp;sheet=U0&amp;row=6054&amp;col=7&amp;number=0.336&amp;sourceID=14","0.336")</f>
        <v>0.336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HYPERLINK("http://141.218.60.56/~jnz1568/getInfo.php?workbook=18_08.xlsx&amp;sheet=U0&amp;row=6055&amp;col=6&amp;number=4.1&amp;sourceID=14","4.1")</f>
        <v>4.1</v>
      </c>
      <c r="G6055" s="4" t="str">
        <f>HYPERLINK("http://141.218.60.56/~jnz1568/getInfo.php?workbook=18_08.xlsx&amp;sheet=U0&amp;row=6055&amp;col=7&amp;number=0.336&amp;sourceID=14","0.336")</f>
        <v>0.336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HYPERLINK("http://141.218.60.56/~jnz1568/getInfo.php?workbook=18_08.xlsx&amp;sheet=U0&amp;row=6056&amp;col=6&amp;number=4.2&amp;sourceID=14","4.2")</f>
        <v>4.2</v>
      </c>
      <c r="G6056" s="4" t="str">
        <f>HYPERLINK("http://141.218.60.56/~jnz1568/getInfo.php?workbook=18_08.xlsx&amp;sheet=U0&amp;row=6056&amp;col=7&amp;number=0.336&amp;sourceID=14","0.336")</f>
        <v>0.336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HYPERLINK("http://141.218.60.56/~jnz1568/getInfo.php?workbook=18_08.xlsx&amp;sheet=U0&amp;row=6057&amp;col=6&amp;number=4.3&amp;sourceID=14","4.3")</f>
        <v>4.3</v>
      </c>
      <c r="G6057" s="4" t="str">
        <f>HYPERLINK("http://141.218.60.56/~jnz1568/getInfo.php?workbook=18_08.xlsx&amp;sheet=U0&amp;row=6057&amp;col=7&amp;number=0.336&amp;sourceID=14","0.336")</f>
        <v>0.336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HYPERLINK("http://141.218.60.56/~jnz1568/getInfo.php?workbook=18_08.xlsx&amp;sheet=U0&amp;row=6058&amp;col=6&amp;number=4.4&amp;sourceID=14","4.4")</f>
        <v>4.4</v>
      </c>
      <c r="G6058" s="4" t="str">
        <f>HYPERLINK("http://141.218.60.56/~jnz1568/getInfo.php?workbook=18_08.xlsx&amp;sheet=U0&amp;row=6058&amp;col=7&amp;number=0.336&amp;sourceID=14","0.336")</f>
        <v>0.336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HYPERLINK("http://141.218.60.56/~jnz1568/getInfo.php?workbook=18_08.xlsx&amp;sheet=U0&amp;row=6059&amp;col=6&amp;number=4.5&amp;sourceID=14","4.5")</f>
        <v>4.5</v>
      </c>
      <c r="G6059" s="4" t="str">
        <f>HYPERLINK("http://141.218.60.56/~jnz1568/getInfo.php?workbook=18_08.xlsx&amp;sheet=U0&amp;row=6059&amp;col=7&amp;number=0.336&amp;sourceID=14","0.336")</f>
        <v>0.336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HYPERLINK("http://141.218.60.56/~jnz1568/getInfo.php?workbook=18_08.xlsx&amp;sheet=U0&amp;row=6060&amp;col=6&amp;number=4.6&amp;sourceID=14","4.6")</f>
        <v>4.6</v>
      </c>
      <c r="G6060" s="4" t="str">
        <f>HYPERLINK("http://141.218.60.56/~jnz1568/getInfo.php?workbook=18_08.xlsx&amp;sheet=U0&amp;row=6060&amp;col=7&amp;number=0.336&amp;sourceID=14","0.336")</f>
        <v>0.336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HYPERLINK("http://141.218.60.56/~jnz1568/getInfo.php?workbook=18_08.xlsx&amp;sheet=U0&amp;row=6061&amp;col=6&amp;number=4.7&amp;sourceID=14","4.7")</f>
        <v>4.7</v>
      </c>
      <c r="G6061" s="4" t="str">
        <f>HYPERLINK("http://141.218.60.56/~jnz1568/getInfo.php?workbook=18_08.xlsx&amp;sheet=U0&amp;row=6061&amp;col=7&amp;number=0.337&amp;sourceID=14","0.337")</f>
        <v>0.337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HYPERLINK("http://141.218.60.56/~jnz1568/getInfo.php?workbook=18_08.xlsx&amp;sheet=U0&amp;row=6062&amp;col=6&amp;number=4.8&amp;sourceID=14","4.8")</f>
        <v>4.8</v>
      </c>
      <c r="G6062" s="4" t="str">
        <f>HYPERLINK("http://141.218.60.56/~jnz1568/getInfo.php?workbook=18_08.xlsx&amp;sheet=U0&amp;row=6062&amp;col=7&amp;number=0.337&amp;sourceID=14","0.337")</f>
        <v>0.337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HYPERLINK("http://141.218.60.56/~jnz1568/getInfo.php?workbook=18_08.xlsx&amp;sheet=U0&amp;row=6063&amp;col=6&amp;number=4.9&amp;sourceID=14","4.9")</f>
        <v>4.9</v>
      </c>
      <c r="G6063" s="4" t="str">
        <f>HYPERLINK("http://141.218.60.56/~jnz1568/getInfo.php?workbook=18_08.xlsx&amp;sheet=U0&amp;row=6063&amp;col=7&amp;number=0.337&amp;sourceID=14","0.337")</f>
        <v>0.337</v>
      </c>
    </row>
    <row r="6064" spans="1:7">
      <c r="A6064" s="3">
        <v>18</v>
      </c>
      <c r="B6064" s="3">
        <v>8</v>
      </c>
      <c r="C6064" s="3" t="s">
        <v>74</v>
      </c>
      <c r="D6064" s="3">
        <v>6</v>
      </c>
      <c r="E6064" s="3">
        <v>1</v>
      </c>
      <c r="F6064" s="4" t="str">
        <f>HYPERLINK("http://141.218.60.56/~jnz1568/getInfo.php?workbook=18_08.xlsx&amp;sheet=U0&amp;row=6064&amp;col=6&amp;number=3&amp;sourceID=14","3")</f>
        <v>3</v>
      </c>
      <c r="G6064" s="4" t="str">
        <f>HYPERLINK("http://141.218.60.56/~jnz1568/getInfo.php?workbook=18_08.xlsx&amp;sheet=U0&amp;row=6064&amp;col=7&amp;number=0.0248&amp;sourceID=14","0.0248")</f>
        <v>0.0248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HYPERLINK("http://141.218.60.56/~jnz1568/getInfo.php?workbook=18_08.xlsx&amp;sheet=U0&amp;row=6065&amp;col=6&amp;number=3.1&amp;sourceID=14","3.1")</f>
        <v>3.1</v>
      </c>
      <c r="G6065" s="4" t="str">
        <f>HYPERLINK("http://141.218.60.56/~jnz1568/getInfo.php?workbook=18_08.xlsx&amp;sheet=U0&amp;row=6065&amp;col=7&amp;number=0.0248&amp;sourceID=14","0.0248")</f>
        <v>0.0248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HYPERLINK("http://141.218.60.56/~jnz1568/getInfo.php?workbook=18_08.xlsx&amp;sheet=U0&amp;row=6066&amp;col=6&amp;number=3.2&amp;sourceID=14","3.2")</f>
        <v>3.2</v>
      </c>
      <c r="G6066" s="4" t="str">
        <f>HYPERLINK("http://141.218.60.56/~jnz1568/getInfo.php?workbook=18_08.xlsx&amp;sheet=U0&amp;row=6066&amp;col=7&amp;number=0.0248&amp;sourceID=14","0.0248")</f>
        <v>0.0248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HYPERLINK("http://141.218.60.56/~jnz1568/getInfo.php?workbook=18_08.xlsx&amp;sheet=U0&amp;row=6067&amp;col=6&amp;number=3.3&amp;sourceID=14","3.3")</f>
        <v>3.3</v>
      </c>
      <c r="G6067" s="4" t="str">
        <f>HYPERLINK("http://141.218.60.56/~jnz1568/getInfo.php?workbook=18_08.xlsx&amp;sheet=U0&amp;row=6067&amp;col=7&amp;number=0.0248&amp;sourceID=14","0.0248")</f>
        <v>0.0248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HYPERLINK("http://141.218.60.56/~jnz1568/getInfo.php?workbook=18_08.xlsx&amp;sheet=U0&amp;row=6068&amp;col=6&amp;number=3.4&amp;sourceID=14","3.4")</f>
        <v>3.4</v>
      </c>
      <c r="G6068" s="4" t="str">
        <f>HYPERLINK("http://141.218.60.56/~jnz1568/getInfo.php?workbook=18_08.xlsx&amp;sheet=U0&amp;row=6068&amp;col=7&amp;number=0.0248&amp;sourceID=14","0.0248")</f>
        <v>0.0248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HYPERLINK("http://141.218.60.56/~jnz1568/getInfo.php?workbook=18_08.xlsx&amp;sheet=U0&amp;row=6069&amp;col=6&amp;number=3.5&amp;sourceID=14","3.5")</f>
        <v>3.5</v>
      </c>
      <c r="G6069" s="4" t="str">
        <f>HYPERLINK("http://141.218.60.56/~jnz1568/getInfo.php?workbook=18_08.xlsx&amp;sheet=U0&amp;row=6069&amp;col=7&amp;number=0.0248&amp;sourceID=14","0.0248")</f>
        <v>0.0248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HYPERLINK("http://141.218.60.56/~jnz1568/getInfo.php?workbook=18_08.xlsx&amp;sheet=U0&amp;row=6070&amp;col=6&amp;number=3.6&amp;sourceID=14","3.6")</f>
        <v>3.6</v>
      </c>
      <c r="G6070" s="4" t="str">
        <f>HYPERLINK("http://141.218.60.56/~jnz1568/getInfo.php?workbook=18_08.xlsx&amp;sheet=U0&amp;row=6070&amp;col=7&amp;number=0.0248&amp;sourceID=14","0.0248")</f>
        <v>0.0248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HYPERLINK("http://141.218.60.56/~jnz1568/getInfo.php?workbook=18_08.xlsx&amp;sheet=U0&amp;row=6071&amp;col=6&amp;number=3.7&amp;sourceID=14","3.7")</f>
        <v>3.7</v>
      </c>
      <c r="G6071" s="4" t="str">
        <f>HYPERLINK("http://141.218.60.56/~jnz1568/getInfo.php?workbook=18_08.xlsx&amp;sheet=U0&amp;row=6071&amp;col=7&amp;number=0.0248&amp;sourceID=14","0.0248")</f>
        <v>0.0248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HYPERLINK("http://141.218.60.56/~jnz1568/getInfo.php?workbook=18_08.xlsx&amp;sheet=U0&amp;row=6072&amp;col=6&amp;number=3.8&amp;sourceID=14","3.8")</f>
        <v>3.8</v>
      </c>
      <c r="G6072" s="4" t="str">
        <f>HYPERLINK("http://141.218.60.56/~jnz1568/getInfo.php?workbook=18_08.xlsx&amp;sheet=U0&amp;row=6072&amp;col=7&amp;number=0.0248&amp;sourceID=14","0.0248")</f>
        <v>0.0248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HYPERLINK("http://141.218.60.56/~jnz1568/getInfo.php?workbook=18_08.xlsx&amp;sheet=U0&amp;row=6073&amp;col=6&amp;number=3.9&amp;sourceID=14","3.9")</f>
        <v>3.9</v>
      </c>
      <c r="G6073" s="4" t="str">
        <f>HYPERLINK("http://141.218.60.56/~jnz1568/getInfo.php?workbook=18_08.xlsx&amp;sheet=U0&amp;row=6073&amp;col=7&amp;number=0.0248&amp;sourceID=14","0.0248")</f>
        <v>0.0248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HYPERLINK("http://141.218.60.56/~jnz1568/getInfo.php?workbook=18_08.xlsx&amp;sheet=U0&amp;row=6074&amp;col=6&amp;number=4&amp;sourceID=14","4")</f>
        <v>4</v>
      </c>
      <c r="G6074" s="4" t="str">
        <f>HYPERLINK("http://141.218.60.56/~jnz1568/getInfo.php?workbook=18_08.xlsx&amp;sheet=U0&amp;row=6074&amp;col=7&amp;number=0.0248&amp;sourceID=14","0.0248")</f>
        <v>0.0248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HYPERLINK("http://141.218.60.56/~jnz1568/getInfo.php?workbook=18_08.xlsx&amp;sheet=U0&amp;row=6075&amp;col=6&amp;number=4.1&amp;sourceID=14","4.1")</f>
        <v>4.1</v>
      </c>
      <c r="G6075" s="4" t="str">
        <f>HYPERLINK("http://141.218.60.56/~jnz1568/getInfo.php?workbook=18_08.xlsx&amp;sheet=U0&amp;row=6075&amp;col=7&amp;number=0.0247&amp;sourceID=14","0.0247")</f>
        <v>0.0247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HYPERLINK("http://141.218.60.56/~jnz1568/getInfo.php?workbook=18_08.xlsx&amp;sheet=U0&amp;row=6076&amp;col=6&amp;number=4.2&amp;sourceID=14","4.2")</f>
        <v>4.2</v>
      </c>
      <c r="G6076" s="4" t="str">
        <f>HYPERLINK("http://141.218.60.56/~jnz1568/getInfo.php?workbook=18_08.xlsx&amp;sheet=U0&amp;row=6076&amp;col=7&amp;number=0.0247&amp;sourceID=14","0.0247")</f>
        <v>0.0247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HYPERLINK("http://141.218.60.56/~jnz1568/getInfo.php?workbook=18_08.xlsx&amp;sheet=U0&amp;row=6077&amp;col=6&amp;number=4.3&amp;sourceID=14","4.3")</f>
        <v>4.3</v>
      </c>
      <c r="G6077" s="4" t="str">
        <f>HYPERLINK("http://141.218.60.56/~jnz1568/getInfo.php?workbook=18_08.xlsx&amp;sheet=U0&amp;row=6077&amp;col=7&amp;number=0.0247&amp;sourceID=14","0.0247")</f>
        <v>0.0247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HYPERLINK("http://141.218.60.56/~jnz1568/getInfo.php?workbook=18_08.xlsx&amp;sheet=U0&amp;row=6078&amp;col=6&amp;number=4.4&amp;sourceID=14","4.4")</f>
        <v>4.4</v>
      </c>
      <c r="G6078" s="4" t="str">
        <f>HYPERLINK("http://141.218.60.56/~jnz1568/getInfo.php?workbook=18_08.xlsx&amp;sheet=U0&amp;row=6078&amp;col=7&amp;number=0.0247&amp;sourceID=14","0.0247")</f>
        <v>0.0247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HYPERLINK("http://141.218.60.56/~jnz1568/getInfo.php?workbook=18_08.xlsx&amp;sheet=U0&amp;row=6079&amp;col=6&amp;number=4.5&amp;sourceID=14","4.5")</f>
        <v>4.5</v>
      </c>
      <c r="G6079" s="4" t="str">
        <f>HYPERLINK("http://141.218.60.56/~jnz1568/getInfo.php?workbook=18_08.xlsx&amp;sheet=U0&amp;row=6079&amp;col=7&amp;number=0.0247&amp;sourceID=14","0.0247")</f>
        <v>0.0247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HYPERLINK("http://141.218.60.56/~jnz1568/getInfo.php?workbook=18_08.xlsx&amp;sheet=U0&amp;row=6080&amp;col=6&amp;number=4.6&amp;sourceID=14","4.6")</f>
        <v>4.6</v>
      </c>
      <c r="G6080" s="4" t="str">
        <f>HYPERLINK("http://141.218.60.56/~jnz1568/getInfo.php?workbook=18_08.xlsx&amp;sheet=U0&amp;row=6080&amp;col=7&amp;number=0.0246&amp;sourceID=14","0.0246")</f>
        <v>0.0246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HYPERLINK("http://141.218.60.56/~jnz1568/getInfo.php?workbook=18_08.xlsx&amp;sheet=U0&amp;row=6081&amp;col=6&amp;number=4.7&amp;sourceID=14","4.7")</f>
        <v>4.7</v>
      </c>
      <c r="G6081" s="4" t="str">
        <f>HYPERLINK("http://141.218.60.56/~jnz1568/getInfo.php?workbook=18_08.xlsx&amp;sheet=U0&amp;row=6081&amp;col=7&amp;number=0.0246&amp;sourceID=14","0.0246")</f>
        <v>0.0246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HYPERLINK("http://141.218.60.56/~jnz1568/getInfo.php?workbook=18_08.xlsx&amp;sheet=U0&amp;row=6082&amp;col=6&amp;number=4.8&amp;sourceID=14","4.8")</f>
        <v>4.8</v>
      </c>
      <c r="G6082" s="4" t="str">
        <f>HYPERLINK("http://141.218.60.56/~jnz1568/getInfo.php?workbook=18_08.xlsx&amp;sheet=U0&amp;row=6082&amp;col=7&amp;number=0.0245&amp;sourceID=14","0.0245")</f>
        <v>0.0245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HYPERLINK("http://141.218.60.56/~jnz1568/getInfo.php?workbook=18_08.xlsx&amp;sheet=U0&amp;row=6083&amp;col=6&amp;number=4.9&amp;sourceID=14","4.9")</f>
        <v>4.9</v>
      </c>
      <c r="G6083" s="4" t="str">
        <f>HYPERLINK("http://141.218.60.56/~jnz1568/getInfo.php?workbook=18_08.xlsx&amp;sheet=U0&amp;row=6083&amp;col=7&amp;number=0.0244&amp;sourceID=14","0.0244")</f>
        <v>0.0244</v>
      </c>
    </row>
    <row r="6084" spans="1:7">
      <c r="A6084" s="3">
        <v>18</v>
      </c>
      <c r="B6084" s="3">
        <v>8</v>
      </c>
      <c r="C6084" s="3" t="s">
        <v>74</v>
      </c>
      <c r="D6084" s="3">
        <v>7</v>
      </c>
      <c r="E6084" s="3">
        <v>1</v>
      </c>
      <c r="F6084" s="4" t="str">
        <f>HYPERLINK("http://141.218.60.56/~jnz1568/getInfo.php?workbook=18_08.xlsx&amp;sheet=U0&amp;row=6084&amp;col=6&amp;number=3&amp;sourceID=14","3")</f>
        <v>3</v>
      </c>
      <c r="G6084" s="4" t="str">
        <f>HYPERLINK("http://141.218.60.56/~jnz1568/getInfo.php?workbook=18_08.xlsx&amp;sheet=U0&amp;row=6084&amp;col=7&amp;number=0.0358&amp;sourceID=14","0.0358")</f>
        <v>0.0358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HYPERLINK("http://141.218.60.56/~jnz1568/getInfo.php?workbook=18_08.xlsx&amp;sheet=U0&amp;row=6085&amp;col=6&amp;number=3.1&amp;sourceID=14","3.1")</f>
        <v>3.1</v>
      </c>
      <c r="G6085" s="4" t="str">
        <f>HYPERLINK("http://141.218.60.56/~jnz1568/getInfo.php?workbook=18_08.xlsx&amp;sheet=U0&amp;row=6085&amp;col=7&amp;number=0.0358&amp;sourceID=14","0.0358")</f>
        <v>0.0358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HYPERLINK("http://141.218.60.56/~jnz1568/getInfo.php?workbook=18_08.xlsx&amp;sheet=U0&amp;row=6086&amp;col=6&amp;number=3.2&amp;sourceID=14","3.2")</f>
        <v>3.2</v>
      </c>
      <c r="G6086" s="4" t="str">
        <f>HYPERLINK("http://141.218.60.56/~jnz1568/getInfo.php?workbook=18_08.xlsx&amp;sheet=U0&amp;row=6086&amp;col=7&amp;number=0.0358&amp;sourceID=14","0.0358")</f>
        <v>0.0358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HYPERLINK("http://141.218.60.56/~jnz1568/getInfo.php?workbook=18_08.xlsx&amp;sheet=U0&amp;row=6087&amp;col=6&amp;number=3.3&amp;sourceID=14","3.3")</f>
        <v>3.3</v>
      </c>
      <c r="G6087" s="4" t="str">
        <f>HYPERLINK("http://141.218.60.56/~jnz1568/getInfo.php?workbook=18_08.xlsx&amp;sheet=U0&amp;row=6087&amp;col=7&amp;number=0.0358&amp;sourceID=14","0.0358")</f>
        <v>0.0358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HYPERLINK("http://141.218.60.56/~jnz1568/getInfo.php?workbook=18_08.xlsx&amp;sheet=U0&amp;row=6088&amp;col=6&amp;number=3.4&amp;sourceID=14","3.4")</f>
        <v>3.4</v>
      </c>
      <c r="G6088" s="4" t="str">
        <f>HYPERLINK("http://141.218.60.56/~jnz1568/getInfo.php?workbook=18_08.xlsx&amp;sheet=U0&amp;row=6088&amp;col=7&amp;number=0.0358&amp;sourceID=14","0.0358")</f>
        <v>0.0358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HYPERLINK("http://141.218.60.56/~jnz1568/getInfo.php?workbook=18_08.xlsx&amp;sheet=U0&amp;row=6089&amp;col=6&amp;number=3.5&amp;sourceID=14","3.5")</f>
        <v>3.5</v>
      </c>
      <c r="G6089" s="4" t="str">
        <f>HYPERLINK("http://141.218.60.56/~jnz1568/getInfo.php?workbook=18_08.xlsx&amp;sheet=U0&amp;row=6089&amp;col=7&amp;number=0.0358&amp;sourceID=14","0.0358")</f>
        <v>0.0358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HYPERLINK("http://141.218.60.56/~jnz1568/getInfo.php?workbook=18_08.xlsx&amp;sheet=U0&amp;row=6090&amp;col=6&amp;number=3.6&amp;sourceID=14","3.6")</f>
        <v>3.6</v>
      </c>
      <c r="G6090" s="4" t="str">
        <f>HYPERLINK("http://141.218.60.56/~jnz1568/getInfo.php?workbook=18_08.xlsx&amp;sheet=U0&amp;row=6090&amp;col=7&amp;number=0.0358&amp;sourceID=14","0.0358")</f>
        <v>0.0358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HYPERLINK("http://141.218.60.56/~jnz1568/getInfo.php?workbook=18_08.xlsx&amp;sheet=U0&amp;row=6091&amp;col=6&amp;number=3.7&amp;sourceID=14","3.7")</f>
        <v>3.7</v>
      </c>
      <c r="G6091" s="4" t="str">
        <f>HYPERLINK("http://141.218.60.56/~jnz1568/getInfo.php?workbook=18_08.xlsx&amp;sheet=U0&amp;row=6091&amp;col=7&amp;number=0.0357&amp;sourceID=14","0.0357")</f>
        <v>0.0357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HYPERLINK("http://141.218.60.56/~jnz1568/getInfo.php?workbook=18_08.xlsx&amp;sheet=U0&amp;row=6092&amp;col=6&amp;number=3.8&amp;sourceID=14","3.8")</f>
        <v>3.8</v>
      </c>
      <c r="G6092" s="4" t="str">
        <f>HYPERLINK("http://141.218.60.56/~jnz1568/getInfo.php?workbook=18_08.xlsx&amp;sheet=U0&amp;row=6092&amp;col=7&amp;number=0.0357&amp;sourceID=14","0.0357")</f>
        <v>0.0357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HYPERLINK("http://141.218.60.56/~jnz1568/getInfo.php?workbook=18_08.xlsx&amp;sheet=U0&amp;row=6093&amp;col=6&amp;number=3.9&amp;sourceID=14","3.9")</f>
        <v>3.9</v>
      </c>
      <c r="G6093" s="4" t="str">
        <f>HYPERLINK("http://141.218.60.56/~jnz1568/getInfo.php?workbook=18_08.xlsx&amp;sheet=U0&amp;row=6093&amp;col=7&amp;number=0.0357&amp;sourceID=14","0.0357")</f>
        <v>0.0357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HYPERLINK("http://141.218.60.56/~jnz1568/getInfo.php?workbook=18_08.xlsx&amp;sheet=U0&amp;row=6094&amp;col=6&amp;number=4&amp;sourceID=14","4")</f>
        <v>4</v>
      </c>
      <c r="G6094" s="4" t="str">
        <f>HYPERLINK("http://141.218.60.56/~jnz1568/getInfo.php?workbook=18_08.xlsx&amp;sheet=U0&amp;row=6094&amp;col=7&amp;number=0.0357&amp;sourceID=14","0.0357")</f>
        <v>0.0357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HYPERLINK("http://141.218.60.56/~jnz1568/getInfo.php?workbook=18_08.xlsx&amp;sheet=U0&amp;row=6095&amp;col=6&amp;number=4.1&amp;sourceID=14","4.1")</f>
        <v>4.1</v>
      </c>
      <c r="G6095" s="4" t="str">
        <f>HYPERLINK("http://141.218.60.56/~jnz1568/getInfo.php?workbook=18_08.xlsx&amp;sheet=U0&amp;row=6095&amp;col=7&amp;number=0.0357&amp;sourceID=14","0.0357")</f>
        <v>0.0357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HYPERLINK("http://141.218.60.56/~jnz1568/getInfo.php?workbook=18_08.xlsx&amp;sheet=U0&amp;row=6096&amp;col=6&amp;number=4.2&amp;sourceID=14","4.2")</f>
        <v>4.2</v>
      </c>
      <c r="G6096" s="4" t="str">
        <f>HYPERLINK("http://141.218.60.56/~jnz1568/getInfo.php?workbook=18_08.xlsx&amp;sheet=U0&amp;row=6096&amp;col=7&amp;number=0.0357&amp;sourceID=14","0.0357")</f>
        <v>0.0357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HYPERLINK("http://141.218.60.56/~jnz1568/getInfo.php?workbook=18_08.xlsx&amp;sheet=U0&amp;row=6097&amp;col=6&amp;number=4.3&amp;sourceID=14","4.3")</f>
        <v>4.3</v>
      </c>
      <c r="G6097" s="4" t="str">
        <f>HYPERLINK("http://141.218.60.56/~jnz1568/getInfo.php?workbook=18_08.xlsx&amp;sheet=U0&amp;row=6097&amp;col=7&amp;number=0.0356&amp;sourceID=14","0.0356")</f>
        <v>0.0356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HYPERLINK("http://141.218.60.56/~jnz1568/getInfo.php?workbook=18_08.xlsx&amp;sheet=U0&amp;row=6098&amp;col=6&amp;number=4.4&amp;sourceID=14","4.4")</f>
        <v>4.4</v>
      </c>
      <c r="G6098" s="4" t="str">
        <f>HYPERLINK("http://141.218.60.56/~jnz1568/getInfo.php?workbook=18_08.xlsx&amp;sheet=U0&amp;row=6098&amp;col=7&amp;number=0.0356&amp;sourceID=14","0.0356")</f>
        <v>0.0356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HYPERLINK("http://141.218.60.56/~jnz1568/getInfo.php?workbook=18_08.xlsx&amp;sheet=U0&amp;row=6099&amp;col=6&amp;number=4.5&amp;sourceID=14","4.5")</f>
        <v>4.5</v>
      </c>
      <c r="G6099" s="4" t="str">
        <f>HYPERLINK("http://141.218.60.56/~jnz1568/getInfo.php?workbook=18_08.xlsx&amp;sheet=U0&amp;row=6099&amp;col=7&amp;number=0.0355&amp;sourceID=14","0.0355")</f>
        <v>0.0355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HYPERLINK("http://141.218.60.56/~jnz1568/getInfo.php?workbook=18_08.xlsx&amp;sheet=U0&amp;row=6100&amp;col=6&amp;number=4.6&amp;sourceID=14","4.6")</f>
        <v>4.6</v>
      </c>
      <c r="G6100" s="4" t="str">
        <f>HYPERLINK("http://141.218.60.56/~jnz1568/getInfo.php?workbook=18_08.xlsx&amp;sheet=U0&amp;row=6100&amp;col=7&amp;number=0.0355&amp;sourceID=14","0.0355")</f>
        <v>0.0355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HYPERLINK("http://141.218.60.56/~jnz1568/getInfo.php?workbook=18_08.xlsx&amp;sheet=U0&amp;row=6101&amp;col=6&amp;number=4.7&amp;sourceID=14","4.7")</f>
        <v>4.7</v>
      </c>
      <c r="G6101" s="4" t="str">
        <f>HYPERLINK("http://141.218.60.56/~jnz1568/getInfo.php?workbook=18_08.xlsx&amp;sheet=U0&amp;row=6101&amp;col=7&amp;number=0.0354&amp;sourceID=14","0.0354")</f>
        <v>0.0354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HYPERLINK("http://141.218.60.56/~jnz1568/getInfo.php?workbook=18_08.xlsx&amp;sheet=U0&amp;row=6102&amp;col=6&amp;number=4.8&amp;sourceID=14","4.8")</f>
        <v>4.8</v>
      </c>
      <c r="G6102" s="4" t="str">
        <f>HYPERLINK("http://141.218.60.56/~jnz1568/getInfo.php?workbook=18_08.xlsx&amp;sheet=U0&amp;row=6102&amp;col=7&amp;number=0.0353&amp;sourceID=14","0.0353")</f>
        <v>0.0353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HYPERLINK("http://141.218.60.56/~jnz1568/getInfo.php?workbook=18_08.xlsx&amp;sheet=U0&amp;row=6103&amp;col=6&amp;number=4.9&amp;sourceID=14","4.9")</f>
        <v>4.9</v>
      </c>
      <c r="G6103" s="4" t="str">
        <f>HYPERLINK("http://141.218.60.56/~jnz1568/getInfo.php?workbook=18_08.xlsx&amp;sheet=U0&amp;row=6103&amp;col=7&amp;number=0.0352&amp;sourceID=14","0.0352")</f>
        <v>0.0352</v>
      </c>
    </row>
    <row r="6104" spans="1:7">
      <c r="A6104" s="3">
        <v>18</v>
      </c>
      <c r="B6104" s="3">
        <v>8</v>
      </c>
      <c r="C6104" s="3" t="s">
        <v>74</v>
      </c>
      <c r="D6104" s="3">
        <v>8</v>
      </c>
      <c r="E6104" s="3">
        <v>1</v>
      </c>
      <c r="F6104" s="4" t="str">
        <f>HYPERLINK("http://141.218.60.56/~jnz1568/getInfo.php?workbook=18_08.xlsx&amp;sheet=U0&amp;row=6104&amp;col=6&amp;number=3&amp;sourceID=14","3")</f>
        <v>3</v>
      </c>
      <c r="G6104" s="4" t="str">
        <f>HYPERLINK("http://141.218.60.56/~jnz1568/getInfo.php?workbook=18_08.xlsx&amp;sheet=U0&amp;row=6104&amp;col=7&amp;number=0.00195&amp;sourceID=14","0.00195")</f>
        <v>0.00195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HYPERLINK("http://141.218.60.56/~jnz1568/getInfo.php?workbook=18_08.xlsx&amp;sheet=U0&amp;row=6105&amp;col=6&amp;number=3.1&amp;sourceID=14","3.1")</f>
        <v>3.1</v>
      </c>
      <c r="G6105" s="4" t="str">
        <f>HYPERLINK("http://141.218.60.56/~jnz1568/getInfo.php?workbook=18_08.xlsx&amp;sheet=U0&amp;row=6105&amp;col=7&amp;number=0.00195&amp;sourceID=14","0.00195")</f>
        <v>0.00195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HYPERLINK("http://141.218.60.56/~jnz1568/getInfo.php?workbook=18_08.xlsx&amp;sheet=U0&amp;row=6106&amp;col=6&amp;number=3.2&amp;sourceID=14","3.2")</f>
        <v>3.2</v>
      </c>
      <c r="G6106" s="4" t="str">
        <f>HYPERLINK("http://141.218.60.56/~jnz1568/getInfo.php?workbook=18_08.xlsx&amp;sheet=U0&amp;row=6106&amp;col=7&amp;number=0.00195&amp;sourceID=14","0.00195")</f>
        <v>0.00195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HYPERLINK("http://141.218.60.56/~jnz1568/getInfo.php?workbook=18_08.xlsx&amp;sheet=U0&amp;row=6107&amp;col=6&amp;number=3.3&amp;sourceID=14","3.3")</f>
        <v>3.3</v>
      </c>
      <c r="G6107" s="4" t="str">
        <f>HYPERLINK("http://141.218.60.56/~jnz1568/getInfo.php?workbook=18_08.xlsx&amp;sheet=U0&amp;row=6107&amp;col=7&amp;number=0.00195&amp;sourceID=14","0.00195")</f>
        <v>0.00195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HYPERLINK("http://141.218.60.56/~jnz1568/getInfo.php?workbook=18_08.xlsx&amp;sheet=U0&amp;row=6108&amp;col=6&amp;number=3.4&amp;sourceID=14","3.4")</f>
        <v>3.4</v>
      </c>
      <c r="G6108" s="4" t="str">
        <f>HYPERLINK("http://141.218.60.56/~jnz1568/getInfo.php?workbook=18_08.xlsx&amp;sheet=U0&amp;row=6108&amp;col=7&amp;number=0.00195&amp;sourceID=14","0.00195")</f>
        <v>0.00195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HYPERLINK("http://141.218.60.56/~jnz1568/getInfo.php?workbook=18_08.xlsx&amp;sheet=U0&amp;row=6109&amp;col=6&amp;number=3.5&amp;sourceID=14","3.5")</f>
        <v>3.5</v>
      </c>
      <c r="G6109" s="4" t="str">
        <f>HYPERLINK("http://141.218.60.56/~jnz1568/getInfo.php?workbook=18_08.xlsx&amp;sheet=U0&amp;row=6109&amp;col=7&amp;number=0.00195&amp;sourceID=14","0.00195")</f>
        <v>0.00195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HYPERLINK("http://141.218.60.56/~jnz1568/getInfo.php?workbook=18_08.xlsx&amp;sheet=U0&amp;row=6110&amp;col=6&amp;number=3.6&amp;sourceID=14","3.6")</f>
        <v>3.6</v>
      </c>
      <c r="G6110" s="4" t="str">
        <f>HYPERLINK("http://141.218.60.56/~jnz1568/getInfo.php?workbook=18_08.xlsx&amp;sheet=U0&amp;row=6110&amp;col=7&amp;number=0.00195&amp;sourceID=14","0.00195")</f>
        <v>0.00195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HYPERLINK("http://141.218.60.56/~jnz1568/getInfo.php?workbook=18_08.xlsx&amp;sheet=U0&amp;row=6111&amp;col=6&amp;number=3.7&amp;sourceID=14","3.7")</f>
        <v>3.7</v>
      </c>
      <c r="G6111" s="4" t="str">
        <f>HYPERLINK("http://141.218.60.56/~jnz1568/getInfo.php?workbook=18_08.xlsx&amp;sheet=U0&amp;row=6111&amp;col=7&amp;number=0.00195&amp;sourceID=14","0.00195")</f>
        <v>0.00195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HYPERLINK("http://141.218.60.56/~jnz1568/getInfo.php?workbook=18_08.xlsx&amp;sheet=U0&amp;row=6112&amp;col=6&amp;number=3.8&amp;sourceID=14","3.8")</f>
        <v>3.8</v>
      </c>
      <c r="G6112" s="4" t="str">
        <f>HYPERLINK("http://141.218.60.56/~jnz1568/getInfo.php?workbook=18_08.xlsx&amp;sheet=U0&amp;row=6112&amp;col=7&amp;number=0.00195&amp;sourceID=14","0.00195")</f>
        <v>0.00195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HYPERLINK("http://141.218.60.56/~jnz1568/getInfo.php?workbook=18_08.xlsx&amp;sheet=U0&amp;row=6113&amp;col=6&amp;number=3.9&amp;sourceID=14","3.9")</f>
        <v>3.9</v>
      </c>
      <c r="G6113" s="4" t="str">
        <f>HYPERLINK("http://141.218.60.56/~jnz1568/getInfo.php?workbook=18_08.xlsx&amp;sheet=U0&amp;row=6113&amp;col=7&amp;number=0.00195&amp;sourceID=14","0.00195")</f>
        <v>0.00195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HYPERLINK("http://141.218.60.56/~jnz1568/getInfo.php?workbook=18_08.xlsx&amp;sheet=U0&amp;row=6114&amp;col=6&amp;number=4&amp;sourceID=14","4")</f>
        <v>4</v>
      </c>
      <c r="G6114" s="4" t="str">
        <f>HYPERLINK("http://141.218.60.56/~jnz1568/getInfo.php?workbook=18_08.xlsx&amp;sheet=U0&amp;row=6114&amp;col=7&amp;number=0.00195&amp;sourceID=14","0.00195")</f>
        <v>0.00195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HYPERLINK("http://141.218.60.56/~jnz1568/getInfo.php?workbook=18_08.xlsx&amp;sheet=U0&amp;row=6115&amp;col=6&amp;number=4.1&amp;sourceID=14","4.1")</f>
        <v>4.1</v>
      </c>
      <c r="G6115" s="4" t="str">
        <f>HYPERLINK("http://141.218.60.56/~jnz1568/getInfo.php?workbook=18_08.xlsx&amp;sheet=U0&amp;row=6115&amp;col=7&amp;number=0.00195&amp;sourceID=14","0.00195")</f>
        <v>0.00195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HYPERLINK("http://141.218.60.56/~jnz1568/getInfo.php?workbook=18_08.xlsx&amp;sheet=U0&amp;row=6116&amp;col=6&amp;number=4.2&amp;sourceID=14","4.2")</f>
        <v>4.2</v>
      </c>
      <c r="G6116" s="4" t="str">
        <f>HYPERLINK("http://141.218.60.56/~jnz1568/getInfo.php?workbook=18_08.xlsx&amp;sheet=U0&amp;row=6116&amp;col=7&amp;number=0.00194&amp;sourceID=14","0.00194")</f>
        <v>0.00194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HYPERLINK("http://141.218.60.56/~jnz1568/getInfo.php?workbook=18_08.xlsx&amp;sheet=U0&amp;row=6117&amp;col=6&amp;number=4.3&amp;sourceID=14","4.3")</f>
        <v>4.3</v>
      </c>
      <c r="G6117" s="4" t="str">
        <f>HYPERLINK("http://141.218.60.56/~jnz1568/getInfo.php?workbook=18_08.xlsx&amp;sheet=U0&amp;row=6117&amp;col=7&amp;number=0.00194&amp;sourceID=14","0.00194")</f>
        <v>0.00194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HYPERLINK("http://141.218.60.56/~jnz1568/getInfo.php?workbook=18_08.xlsx&amp;sheet=U0&amp;row=6118&amp;col=6&amp;number=4.4&amp;sourceID=14","4.4")</f>
        <v>4.4</v>
      </c>
      <c r="G6118" s="4" t="str">
        <f>HYPERLINK("http://141.218.60.56/~jnz1568/getInfo.php?workbook=18_08.xlsx&amp;sheet=U0&amp;row=6118&amp;col=7&amp;number=0.00194&amp;sourceID=14","0.00194")</f>
        <v>0.00194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HYPERLINK("http://141.218.60.56/~jnz1568/getInfo.php?workbook=18_08.xlsx&amp;sheet=U0&amp;row=6119&amp;col=6&amp;number=4.5&amp;sourceID=14","4.5")</f>
        <v>4.5</v>
      </c>
      <c r="G6119" s="4" t="str">
        <f>HYPERLINK("http://141.218.60.56/~jnz1568/getInfo.php?workbook=18_08.xlsx&amp;sheet=U0&amp;row=6119&amp;col=7&amp;number=0.00194&amp;sourceID=14","0.00194")</f>
        <v>0.00194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HYPERLINK("http://141.218.60.56/~jnz1568/getInfo.php?workbook=18_08.xlsx&amp;sheet=U0&amp;row=6120&amp;col=6&amp;number=4.6&amp;sourceID=14","4.6")</f>
        <v>4.6</v>
      </c>
      <c r="G6120" s="4" t="str">
        <f>HYPERLINK("http://141.218.60.56/~jnz1568/getInfo.php?workbook=18_08.xlsx&amp;sheet=U0&amp;row=6120&amp;col=7&amp;number=0.00193&amp;sourceID=14","0.00193")</f>
        <v>0.00193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HYPERLINK("http://141.218.60.56/~jnz1568/getInfo.php?workbook=18_08.xlsx&amp;sheet=U0&amp;row=6121&amp;col=6&amp;number=4.7&amp;sourceID=14","4.7")</f>
        <v>4.7</v>
      </c>
      <c r="G6121" s="4" t="str">
        <f>HYPERLINK("http://141.218.60.56/~jnz1568/getInfo.php?workbook=18_08.xlsx&amp;sheet=U0&amp;row=6121&amp;col=7&amp;number=0.00193&amp;sourceID=14","0.00193")</f>
        <v>0.00193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HYPERLINK("http://141.218.60.56/~jnz1568/getInfo.php?workbook=18_08.xlsx&amp;sheet=U0&amp;row=6122&amp;col=6&amp;number=4.8&amp;sourceID=14","4.8")</f>
        <v>4.8</v>
      </c>
      <c r="G6122" s="4" t="str">
        <f>HYPERLINK("http://141.218.60.56/~jnz1568/getInfo.php?workbook=18_08.xlsx&amp;sheet=U0&amp;row=6122&amp;col=7&amp;number=0.00192&amp;sourceID=14","0.00192")</f>
        <v>0.00192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HYPERLINK("http://141.218.60.56/~jnz1568/getInfo.php?workbook=18_08.xlsx&amp;sheet=U0&amp;row=6123&amp;col=6&amp;number=4.9&amp;sourceID=14","4.9")</f>
        <v>4.9</v>
      </c>
      <c r="G6123" s="4" t="str">
        <f>HYPERLINK("http://141.218.60.56/~jnz1568/getInfo.php?workbook=18_08.xlsx&amp;sheet=U0&amp;row=6123&amp;col=7&amp;number=0.00192&amp;sourceID=14","0.00192")</f>
        <v>0.00192</v>
      </c>
    </row>
    <row r="6124" spans="1:7">
      <c r="A6124" s="3">
        <v>18</v>
      </c>
      <c r="B6124" s="3">
        <v>8</v>
      </c>
      <c r="C6124" s="3" t="s">
        <v>74</v>
      </c>
      <c r="D6124" s="3">
        <v>9</v>
      </c>
      <c r="E6124" s="3">
        <v>1</v>
      </c>
      <c r="F6124" s="4" t="str">
        <f>HYPERLINK("http://141.218.60.56/~jnz1568/getInfo.php?workbook=18_08.xlsx&amp;sheet=U0&amp;row=6124&amp;col=6&amp;number=3&amp;sourceID=14","3")</f>
        <v>3</v>
      </c>
      <c r="G6124" s="4" t="str">
        <f>HYPERLINK("http://141.218.60.56/~jnz1568/getInfo.php?workbook=18_08.xlsx&amp;sheet=U0&amp;row=6124&amp;col=7&amp;number=0.0505&amp;sourceID=14","0.0505")</f>
        <v>0.0505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HYPERLINK("http://141.218.60.56/~jnz1568/getInfo.php?workbook=18_08.xlsx&amp;sheet=U0&amp;row=6125&amp;col=6&amp;number=3.1&amp;sourceID=14","3.1")</f>
        <v>3.1</v>
      </c>
      <c r="G6125" s="4" t="str">
        <f>HYPERLINK("http://141.218.60.56/~jnz1568/getInfo.php?workbook=18_08.xlsx&amp;sheet=U0&amp;row=6125&amp;col=7&amp;number=0.0505&amp;sourceID=14","0.0505")</f>
        <v>0.0505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HYPERLINK("http://141.218.60.56/~jnz1568/getInfo.php?workbook=18_08.xlsx&amp;sheet=U0&amp;row=6126&amp;col=6&amp;number=3.2&amp;sourceID=14","3.2")</f>
        <v>3.2</v>
      </c>
      <c r="G6126" s="4" t="str">
        <f>HYPERLINK("http://141.218.60.56/~jnz1568/getInfo.php?workbook=18_08.xlsx&amp;sheet=U0&amp;row=6126&amp;col=7&amp;number=0.0504&amp;sourceID=14","0.0504")</f>
        <v>0.0504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HYPERLINK("http://141.218.60.56/~jnz1568/getInfo.php?workbook=18_08.xlsx&amp;sheet=U0&amp;row=6127&amp;col=6&amp;number=3.3&amp;sourceID=14","3.3")</f>
        <v>3.3</v>
      </c>
      <c r="G6127" s="4" t="str">
        <f>HYPERLINK("http://141.218.60.56/~jnz1568/getInfo.php?workbook=18_08.xlsx&amp;sheet=U0&amp;row=6127&amp;col=7&amp;number=0.0504&amp;sourceID=14","0.0504")</f>
        <v>0.0504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HYPERLINK("http://141.218.60.56/~jnz1568/getInfo.php?workbook=18_08.xlsx&amp;sheet=U0&amp;row=6128&amp;col=6&amp;number=3.4&amp;sourceID=14","3.4")</f>
        <v>3.4</v>
      </c>
      <c r="G6128" s="4" t="str">
        <f>HYPERLINK("http://141.218.60.56/~jnz1568/getInfo.php?workbook=18_08.xlsx&amp;sheet=U0&amp;row=6128&amp;col=7&amp;number=0.0504&amp;sourceID=14","0.0504")</f>
        <v>0.0504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HYPERLINK("http://141.218.60.56/~jnz1568/getInfo.php?workbook=18_08.xlsx&amp;sheet=U0&amp;row=6129&amp;col=6&amp;number=3.5&amp;sourceID=14","3.5")</f>
        <v>3.5</v>
      </c>
      <c r="G6129" s="4" t="str">
        <f>HYPERLINK("http://141.218.60.56/~jnz1568/getInfo.php?workbook=18_08.xlsx&amp;sheet=U0&amp;row=6129&amp;col=7&amp;number=0.0504&amp;sourceID=14","0.0504")</f>
        <v>0.0504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HYPERLINK("http://141.218.60.56/~jnz1568/getInfo.php?workbook=18_08.xlsx&amp;sheet=U0&amp;row=6130&amp;col=6&amp;number=3.6&amp;sourceID=14","3.6")</f>
        <v>3.6</v>
      </c>
      <c r="G6130" s="4" t="str">
        <f>HYPERLINK("http://141.218.60.56/~jnz1568/getInfo.php?workbook=18_08.xlsx&amp;sheet=U0&amp;row=6130&amp;col=7&amp;number=0.0504&amp;sourceID=14","0.0504")</f>
        <v>0.0504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HYPERLINK("http://141.218.60.56/~jnz1568/getInfo.php?workbook=18_08.xlsx&amp;sheet=U0&amp;row=6131&amp;col=6&amp;number=3.7&amp;sourceID=14","3.7")</f>
        <v>3.7</v>
      </c>
      <c r="G6131" s="4" t="str">
        <f>HYPERLINK("http://141.218.60.56/~jnz1568/getInfo.php?workbook=18_08.xlsx&amp;sheet=U0&amp;row=6131&amp;col=7&amp;number=0.0504&amp;sourceID=14","0.0504")</f>
        <v>0.0504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HYPERLINK("http://141.218.60.56/~jnz1568/getInfo.php?workbook=18_08.xlsx&amp;sheet=U0&amp;row=6132&amp;col=6&amp;number=3.8&amp;sourceID=14","3.8")</f>
        <v>3.8</v>
      </c>
      <c r="G6132" s="4" t="str">
        <f>HYPERLINK("http://141.218.60.56/~jnz1568/getInfo.php?workbook=18_08.xlsx&amp;sheet=U0&amp;row=6132&amp;col=7&amp;number=0.0504&amp;sourceID=14","0.0504")</f>
        <v>0.0504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HYPERLINK("http://141.218.60.56/~jnz1568/getInfo.php?workbook=18_08.xlsx&amp;sheet=U0&amp;row=6133&amp;col=6&amp;number=3.9&amp;sourceID=14","3.9")</f>
        <v>3.9</v>
      </c>
      <c r="G6133" s="4" t="str">
        <f>HYPERLINK("http://141.218.60.56/~jnz1568/getInfo.php?workbook=18_08.xlsx&amp;sheet=U0&amp;row=6133&amp;col=7&amp;number=0.0503&amp;sourceID=14","0.0503")</f>
        <v>0.0503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HYPERLINK("http://141.218.60.56/~jnz1568/getInfo.php?workbook=18_08.xlsx&amp;sheet=U0&amp;row=6134&amp;col=6&amp;number=4&amp;sourceID=14","4")</f>
        <v>4</v>
      </c>
      <c r="G6134" s="4" t="str">
        <f>HYPERLINK("http://141.218.60.56/~jnz1568/getInfo.php?workbook=18_08.xlsx&amp;sheet=U0&amp;row=6134&amp;col=7&amp;number=0.0503&amp;sourceID=14","0.0503")</f>
        <v>0.0503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HYPERLINK("http://141.218.60.56/~jnz1568/getInfo.php?workbook=18_08.xlsx&amp;sheet=U0&amp;row=6135&amp;col=6&amp;number=4.1&amp;sourceID=14","4.1")</f>
        <v>4.1</v>
      </c>
      <c r="G6135" s="4" t="str">
        <f>HYPERLINK("http://141.218.60.56/~jnz1568/getInfo.php?workbook=18_08.xlsx&amp;sheet=U0&amp;row=6135&amp;col=7&amp;number=0.0503&amp;sourceID=14","0.0503")</f>
        <v>0.0503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HYPERLINK("http://141.218.60.56/~jnz1568/getInfo.php?workbook=18_08.xlsx&amp;sheet=U0&amp;row=6136&amp;col=6&amp;number=4.2&amp;sourceID=14","4.2")</f>
        <v>4.2</v>
      </c>
      <c r="G6136" s="4" t="str">
        <f>HYPERLINK("http://141.218.60.56/~jnz1568/getInfo.php?workbook=18_08.xlsx&amp;sheet=U0&amp;row=6136&amp;col=7&amp;number=0.0502&amp;sourceID=14","0.0502")</f>
        <v>0.0502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HYPERLINK("http://141.218.60.56/~jnz1568/getInfo.php?workbook=18_08.xlsx&amp;sheet=U0&amp;row=6137&amp;col=6&amp;number=4.3&amp;sourceID=14","4.3")</f>
        <v>4.3</v>
      </c>
      <c r="G6137" s="4" t="str">
        <f>HYPERLINK("http://141.218.60.56/~jnz1568/getInfo.php?workbook=18_08.xlsx&amp;sheet=U0&amp;row=6137&amp;col=7&amp;number=0.0502&amp;sourceID=14","0.0502")</f>
        <v>0.0502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HYPERLINK("http://141.218.60.56/~jnz1568/getInfo.php?workbook=18_08.xlsx&amp;sheet=U0&amp;row=6138&amp;col=6&amp;number=4.4&amp;sourceID=14","4.4")</f>
        <v>4.4</v>
      </c>
      <c r="G6138" s="4" t="str">
        <f>HYPERLINK("http://141.218.60.56/~jnz1568/getInfo.php?workbook=18_08.xlsx&amp;sheet=U0&amp;row=6138&amp;col=7&amp;number=0.0501&amp;sourceID=14","0.0501")</f>
        <v>0.0501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HYPERLINK("http://141.218.60.56/~jnz1568/getInfo.php?workbook=18_08.xlsx&amp;sheet=U0&amp;row=6139&amp;col=6&amp;number=4.5&amp;sourceID=14","4.5")</f>
        <v>4.5</v>
      </c>
      <c r="G6139" s="4" t="str">
        <f>HYPERLINK("http://141.218.60.56/~jnz1568/getInfo.php?workbook=18_08.xlsx&amp;sheet=U0&amp;row=6139&amp;col=7&amp;number=0.05&amp;sourceID=14","0.05")</f>
        <v>0.05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HYPERLINK("http://141.218.60.56/~jnz1568/getInfo.php?workbook=18_08.xlsx&amp;sheet=U0&amp;row=6140&amp;col=6&amp;number=4.6&amp;sourceID=14","4.6")</f>
        <v>4.6</v>
      </c>
      <c r="G6140" s="4" t="str">
        <f>HYPERLINK("http://141.218.60.56/~jnz1568/getInfo.php?workbook=18_08.xlsx&amp;sheet=U0&amp;row=6140&amp;col=7&amp;number=0.0499&amp;sourceID=14","0.0499")</f>
        <v>0.0499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HYPERLINK("http://141.218.60.56/~jnz1568/getInfo.php?workbook=18_08.xlsx&amp;sheet=U0&amp;row=6141&amp;col=6&amp;number=4.7&amp;sourceID=14","4.7")</f>
        <v>4.7</v>
      </c>
      <c r="G6141" s="4" t="str">
        <f>HYPERLINK("http://141.218.60.56/~jnz1568/getInfo.php?workbook=18_08.xlsx&amp;sheet=U0&amp;row=6141&amp;col=7&amp;number=0.0497&amp;sourceID=14","0.0497")</f>
        <v>0.0497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HYPERLINK("http://141.218.60.56/~jnz1568/getInfo.php?workbook=18_08.xlsx&amp;sheet=U0&amp;row=6142&amp;col=6&amp;number=4.8&amp;sourceID=14","4.8")</f>
        <v>4.8</v>
      </c>
      <c r="G6142" s="4" t="str">
        <f>HYPERLINK("http://141.218.60.56/~jnz1568/getInfo.php?workbook=18_08.xlsx&amp;sheet=U0&amp;row=6142&amp;col=7&amp;number=0.0495&amp;sourceID=14","0.0495")</f>
        <v>0.0495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HYPERLINK("http://141.218.60.56/~jnz1568/getInfo.php?workbook=18_08.xlsx&amp;sheet=U0&amp;row=6143&amp;col=6&amp;number=4.9&amp;sourceID=14","4.9")</f>
        <v>4.9</v>
      </c>
      <c r="G6143" s="4" t="str">
        <f>HYPERLINK("http://141.218.60.56/~jnz1568/getInfo.php?workbook=18_08.xlsx&amp;sheet=U0&amp;row=6143&amp;col=7&amp;number=0.0493&amp;sourceID=14","0.0493")</f>
        <v>0.0493</v>
      </c>
    </row>
    <row r="6144" spans="1:7">
      <c r="A6144" s="3">
        <v>18</v>
      </c>
      <c r="B6144" s="3">
        <v>8</v>
      </c>
      <c r="C6144" s="3" t="s">
        <v>75</v>
      </c>
      <c r="D6144" s="3">
        <v>0</v>
      </c>
      <c r="E6144" s="3">
        <v>1</v>
      </c>
      <c r="F6144" s="4" t="str">
        <f>HYPERLINK("http://141.218.60.56/~jnz1568/getInfo.php?workbook=18_08.xlsx&amp;sheet=U0&amp;row=6144&amp;col=6&amp;number=3&amp;sourceID=14","3")</f>
        <v>3</v>
      </c>
      <c r="G6144" s="4" t="str">
        <f>HYPERLINK("http://141.218.60.56/~jnz1568/getInfo.php?workbook=18_08.xlsx&amp;sheet=U0&amp;row=6144&amp;col=7&amp;number=0.0165&amp;sourceID=14","0.0165")</f>
        <v>0.0165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HYPERLINK("http://141.218.60.56/~jnz1568/getInfo.php?workbook=18_08.xlsx&amp;sheet=U0&amp;row=6145&amp;col=6&amp;number=3.1&amp;sourceID=14","3.1")</f>
        <v>3.1</v>
      </c>
      <c r="G6145" s="4" t="str">
        <f>HYPERLINK("http://141.218.60.56/~jnz1568/getInfo.php?workbook=18_08.xlsx&amp;sheet=U0&amp;row=6145&amp;col=7&amp;number=0.0165&amp;sourceID=14","0.0165")</f>
        <v>0.0165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HYPERLINK("http://141.218.60.56/~jnz1568/getInfo.php?workbook=18_08.xlsx&amp;sheet=U0&amp;row=6146&amp;col=6&amp;number=3.2&amp;sourceID=14","3.2")</f>
        <v>3.2</v>
      </c>
      <c r="G6146" s="4" t="str">
        <f>HYPERLINK("http://141.218.60.56/~jnz1568/getInfo.php?workbook=18_08.xlsx&amp;sheet=U0&amp;row=6146&amp;col=7&amp;number=0.0165&amp;sourceID=14","0.0165")</f>
        <v>0.0165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HYPERLINK("http://141.218.60.56/~jnz1568/getInfo.php?workbook=18_08.xlsx&amp;sheet=U0&amp;row=6147&amp;col=6&amp;number=3.3&amp;sourceID=14","3.3")</f>
        <v>3.3</v>
      </c>
      <c r="G6147" s="4" t="str">
        <f>HYPERLINK("http://141.218.60.56/~jnz1568/getInfo.php?workbook=18_08.xlsx&amp;sheet=U0&amp;row=6147&amp;col=7&amp;number=0.0165&amp;sourceID=14","0.0165")</f>
        <v>0.0165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HYPERLINK("http://141.218.60.56/~jnz1568/getInfo.php?workbook=18_08.xlsx&amp;sheet=U0&amp;row=6148&amp;col=6&amp;number=3.4&amp;sourceID=14","3.4")</f>
        <v>3.4</v>
      </c>
      <c r="G6148" s="4" t="str">
        <f>HYPERLINK("http://141.218.60.56/~jnz1568/getInfo.php?workbook=18_08.xlsx&amp;sheet=U0&amp;row=6148&amp;col=7&amp;number=0.0165&amp;sourceID=14","0.0165")</f>
        <v>0.0165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HYPERLINK("http://141.218.60.56/~jnz1568/getInfo.php?workbook=18_08.xlsx&amp;sheet=U0&amp;row=6149&amp;col=6&amp;number=3.5&amp;sourceID=14","3.5")</f>
        <v>3.5</v>
      </c>
      <c r="G6149" s="4" t="str">
        <f>HYPERLINK("http://141.218.60.56/~jnz1568/getInfo.php?workbook=18_08.xlsx&amp;sheet=U0&amp;row=6149&amp;col=7&amp;number=0.0165&amp;sourceID=14","0.0165")</f>
        <v>0.0165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HYPERLINK("http://141.218.60.56/~jnz1568/getInfo.php?workbook=18_08.xlsx&amp;sheet=U0&amp;row=6150&amp;col=6&amp;number=3.6&amp;sourceID=14","3.6")</f>
        <v>3.6</v>
      </c>
      <c r="G6150" s="4" t="str">
        <f>HYPERLINK("http://141.218.60.56/~jnz1568/getInfo.php?workbook=18_08.xlsx&amp;sheet=U0&amp;row=6150&amp;col=7&amp;number=0.0165&amp;sourceID=14","0.0165")</f>
        <v>0.0165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HYPERLINK("http://141.218.60.56/~jnz1568/getInfo.php?workbook=18_08.xlsx&amp;sheet=U0&amp;row=6151&amp;col=6&amp;number=3.7&amp;sourceID=14","3.7")</f>
        <v>3.7</v>
      </c>
      <c r="G6151" s="4" t="str">
        <f>HYPERLINK("http://141.218.60.56/~jnz1568/getInfo.php?workbook=18_08.xlsx&amp;sheet=U0&amp;row=6151&amp;col=7&amp;number=0.0165&amp;sourceID=14","0.0165")</f>
        <v>0.0165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HYPERLINK("http://141.218.60.56/~jnz1568/getInfo.php?workbook=18_08.xlsx&amp;sheet=U0&amp;row=6152&amp;col=6&amp;number=3.8&amp;sourceID=14","3.8")</f>
        <v>3.8</v>
      </c>
      <c r="G6152" s="4" t="str">
        <f>HYPERLINK("http://141.218.60.56/~jnz1568/getInfo.php?workbook=18_08.xlsx&amp;sheet=U0&amp;row=6152&amp;col=7&amp;number=0.0165&amp;sourceID=14","0.0165")</f>
        <v>0.0165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HYPERLINK("http://141.218.60.56/~jnz1568/getInfo.php?workbook=18_08.xlsx&amp;sheet=U0&amp;row=6153&amp;col=6&amp;number=3.9&amp;sourceID=14","3.9")</f>
        <v>3.9</v>
      </c>
      <c r="G6153" s="4" t="str">
        <f>HYPERLINK("http://141.218.60.56/~jnz1568/getInfo.php?workbook=18_08.xlsx&amp;sheet=U0&amp;row=6153&amp;col=7&amp;number=0.0165&amp;sourceID=14","0.0165")</f>
        <v>0.0165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HYPERLINK("http://141.218.60.56/~jnz1568/getInfo.php?workbook=18_08.xlsx&amp;sheet=U0&amp;row=6154&amp;col=6&amp;number=4&amp;sourceID=14","4")</f>
        <v>4</v>
      </c>
      <c r="G6154" s="4" t="str">
        <f>HYPERLINK("http://141.218.60.56/~jnz1568/getInfo.php?workbook=18_08.xlsx&amp;sheet=U0&amp;row=6154&amp;col=7&amp;number=0.0165&amp;sourceID=14","0.0165")</f>
        <v>0.0165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HYPERLINK("http://141.218.60.56/~jnz1568/getInfo.php?workbook=18_08.xlsx&amp;sheet=U0&amp;row=6155&amp;col=6&amp;number=4.1&amp;sourceID=14","4.1")</f>
        <v>4.1</v>
      </c>
      <c r="G6155" s="4" t="str">
        <f>HYPERLINK("http://141.218.60.56/~jnz1568/getInfo.php?workbook=18_08.xlsx&amp;sheet=U0&amp;row=6155&amp;col=7&amp;number=0.0165&amp;sourceID=14","0.0165")</f>
        <v>0.0165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HYPERLINK("http://141.218.60.56/~jnz1568/getInfo.php?workbook=18_08.xlsx&amp;sheet=U0&amp;row=6156&amp;col=6&amp;number=4.2&amp;sourceID=14","4.2")</f>
        <v>4.2</v>
      </c>
      <c r="G6156" s="4" t="str">
        <f>HYPERLINK("http://141.218.60.56/~jnz1568/getInfo.php?workbook=18_08.xlsx&amp;sheet=U0&amp;row=6156&amp;col=7&amp;number=0.0165&amp;sourceID=14","0.0165")</f>
        <v>0.0165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HYPERLINK("http://141.218.60.56/~jnz1568/getInfo.php?workbook=18_08.xlsx&amp;sheet=U0&amp;row=6157&amp;col=6&amp;number=4.3&amp;sourceID=14","4.3")</f>
        <v>4.3</v>
      </c>
      <c r="G6157" s="4" t="str">
        <f>HYPERLINK("http://141.218.60.56/~jnz1568/getInfo.php?workbook=18_08.xlsx&amp;sheet=U0&amp;row=6157&amp;col=7&amp;number=0.0164&amp;sourceID=14","0.0164")</f>
        <v>0.0164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HYPERLINK("http://141.218.60.56/~jnz1568/getInfo.php?workbook=18_08.xlsx&amp;sheet=U0&amp;row=6158&amp;col=6&amp;number=4.4&amp;sourceID=14","4.4")</f>
        <v>4.4</v>
      </c>
      <c r="G6158" s="4" t="str">
        <f>HYPERLINK("http://141.218.60.56/~jnz1568/getInfo.php?workbook=18_08.xlsx&amp;sheet=U0&amp;row=6158&amp;col=7&amp;number=0.0164&amp;sourceID=14","0.0164")</f>
        <v>0.0164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HYPERLINK("http://141.218.60.56/~jnz1568/getInfo.php?workbook=18_08.xlsx&amp;sheet=U0&amp;row=6159&amp;col=6&amp;number=4.5&amp;sourceID=14","4.5")</f>
        <v>4.5</v>
      </c>
      <c r="G6159" s="4" t="str">
        <f>HYPERLINK("http://141.218.60.56/~jnz1568/getInfo.php?workbook=18_08.xlsx&amp;sheet=U0&amp;row=6159&amp;col=7&amp;number=0.0164&amp;sourceID=14","0.0164")</f>
        <v>0.0164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HYPERLINK("http://141.218.60.56/~jnz1568/getInfo.php?workbook=18_08.xlsx&amp;sheet=U0&amp;row=6160&amp;col=6&amp;number=4.6&amp;sourceID=14","4.6")</f>
        <v>4.6</v>
      </c>
      <c r="G6160" s="4" t="str">
        <f>HYPERLINK("http://141.218.60.56/~jnz1568/getInfo.php?workbook=18_08.xlsx&amp;sheet=U0&amp;row=6160&amp;col=7&amp;number=0.0164&amp;sourceID=14","0.0164")</f>
        <v>0.0164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HYPERLINK("http://141.218.60.56/~jnz1568/getInfo.php?workbook=18_08.xlsx&amp;sheet=U0&amp;row=6161&amp;col=6&amp;number=4.7&amp;sourceID=14","4.7")</f>
        <v>4.7</v>
      </c>
      <c r="G6161" s="4" t="str">
        <f>HYPERLINK("http://141.218.60.56/~jnz1568/getInfo.php?workbook=18_08.xlsx&amp;sheet=U0&amp;row=6161&amp;col=7&amp;number=0.0163&amp;sourceID=14","0.0163")</f>
        <v>0.0163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HYPERLINK("http://141.218.60.56/~jnz1568/getInfo.php?workbook=18_08.xlsx&amp;sheet=U0&amp;row=6162&amp;col=6&amp;number=4.8&amp;sourceID=14","4.8")</f>
        <v>4.8</v>
      </c>
      <c r="G6162" s="4" t="str">
        <f>HYPERLINK("http://141.218.60.56/~jnz1568/getInfo.php?workbook=18_08.xlsx&amp;sheet=U0&amp;row=6162&amp;col=7&amp;number=0.0163&amp;sourceID=14","0.0163")</f>
        <v>0.0163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HYPERLINK("http://141.218.60.56/~jnz1568/getInfo.php?workbook=18_08.xlsx&amp;sheet=U0&amp;row=6163&amp;col=6&amp;number=4.9&amp;sourceID=14","4.9")</f>
        <v>4.9</v>
      </c>
      <c r="G6163" s="4" t="str">
        <f>HYPERLINK("http://141.218.60.56/~jnz1568/getInfo.php?workbook=18_08.xlsx&amp;sheet=U0&amp;row=6163&amp;col=7&amp;number=0.0163&amp;sourceID=14","0.0163")</f>
        <v>0.0163</v>
      </c>
    </row>
    <row r="6164" spans="1:7">
      <c r="A6164" s="3">
        <v>18</v>
      </c>
      <c r="B6164" s="3">
        <v>8</v>
      </c>
      <c r="C6164" s="3" t="s">
        <v>75</v>
      </c>
      <c r="D6164" s="3">
        <v>1</v>
      </c>
      <c r="E6164" s="3">
        <v>1</v>
      </c>
      <c r="F6164" s="4" t="str">
        <f>HYPERLINK("http://141.218.60.56/~jnz1568/getInfo.php?workbook=18_08.xlsx&amp;sheet=U0&amp;row=6164&amp;col=6&amp;number=3&amp;sourceID=14","3")</f>
        <v>3</v>
      </c>
      <c r="G6164" s="4" t="str">
        <f>HYPERLINK("http://141.218.60.56/~jnz1568/getInfo.php?workbook=18_08.xlsx&amp;sheet=U0&amp;row=6164&amp;col=7&amp;number=0.0264&amp;sourceID=14","0.0264")</f>
        <v>0.0264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HYPERLINK("http://141.218.60.56/~jnz1568/getInfo.php?workbook=18_08.xlsx&amp;sheet=U0&amp;row=6165&amp;col=6&amp;number=3.1&amp;sourceID=14","3.1")</f>
        <v>3.1</v>
      </c>
      <c r="G6165" s="4" t="str">
        <f>HYPERLINK("http://141.218.60.56/~jnz1568/getInfo.php?workbook=18_08.xlsx&amp;sheet=U0&amp;row=6165&amp;col=7&amp;number=0.0264&amp;sourceID=14","0.0264")</f>
        <v>0.0264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HYPERLINK("http://141.218.60.56/~jnz1568/getInfo.php?workbook=18_08.xlsx&amp;sheet=U0&amp;row=6166&amp;col=6&amp;number=3.2&amp;sourceID=14","3.2")</f>
        <v>3.2</v>
      </c>
      <c r="G6166" s="4" t="str">
        <f>HYPERLINK("http://141.218.60.56/~jnz1568/getInfo.php?workbook=18_08.xlsx&amp;sheet=U0&amp;row=6166&amp;col=7&amp;number=0.0264&amp;sourceID=14","0.0264")</f>
        <v>0.0264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HYPERLINK("http://141.218.60.56/~jnz1568/getInfo.php?workbook=18_08.xlsx&amp;sheet=U0&amp;row=6167&amp;col=6&amp;number=3.3&amp;sourceID=14","3.3")</f>
        <v>3.3</v>
      </c>
      <c r="G6167" s="4" t="str">
        <f>HYPERLINK("http://141.218.60.56/~jnz1568/getInfo.php?workbook=18_08.xlsx&amp;sheet=U0&amp;row=6167&amp;col=7&amp;number=0.0264&amp;sourceID=14","0.0264")</f>
        <v>0.0264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HYPERLINK("http://141.218.60.56/~jnz1568/getInfo.php?workbook=18_08.xlsx&amp;sheet=U0&amp;row=6168&amp;col=6&amp;number=3.4&amp;sourceID=14","3.4")</f>
        <v>3.4</v>
      </c>
      <c r="G6168" s="4" t="str">
        <f>HYPERLINK("http://141.218.60.56/~jnz1568/getInfo.php?workbook=18_08.xlsx&amp;sheet=U0&amp;row=6168&amp;col=7&amp;number=0.0264&amp;sourceID=14","0.0264")</f>
        <v>0.0264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HYPERLINK("http://141.218.60.56/~jnz1568/getInfo.php?workbook=18_08.xlsx&amp;sheet=U0&amp;row=6169&amp;col=6&amp;number=3.5&amp;sourceID=14","3.5")</f>
        <v>3.5</v>
      </c>
      <c r="G6169" s="4" t="str">
        <f>HYPERLINK("http://141.218.60.56/~jnz1568/getInfo.php?workbook=18_08.xlsx&amp;sheet=U0&amp;row=6169&amp;col=7&amp;number=0.0264&amp;sourceID=14","0.0264")</f>
        <v>0.0264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HYPERLINK("http://141.218.60.56/~jnz1568/getInfo.php?workbook=18_08.xlsx&amp;sheet=U0&amp;row=6170&amp;col=6&amp;number=3.6&amp;sourceID=14","3.6")</f>
        <v>3.6</v>
      </c>
      <c r="G6170" s="4" t="str">
        <f>HYPERLINK("http://141.218.60.56/~jnz1568/getInfo.php?workbook=18_08.xlsx&amp;sheet=U0&amp;row=6170&amp;col=7&amp;number=0.0264&amp;sourceID=14","0.0264")</f>
        <v>0.0264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HYPERLINK("http://141.218.60.56/~jnz1568/getInfo.php?workbook=18_08.xlsx&amp;sheet=U0&amp;row=6171&amp;col=6&amp;number=3.7&amp;sourceID=14","3.7")</f>
        <v>3.7</v>
      </c>
      <c r="G6171" s="4" t="str">
        <f>HYPERLINK("http://141.218.60.56/~jnz1568/getInfo.php?workbook=18_08.xlsx&amp;sheet=U0&amp;row=6171&amp;col=7&amp;number=0.0264&amp;sourceID=14","0.0264")</f>
        <v>0.0264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HYPERLINK("http://141.218.60.56/~jnz1568/getInfo.php?workbook=18_08.xlsx&amp;sheet=U0&amp;row=6172&amp;col=6&amp;number=3.8&amp;sourceID=14","3.8")</f>
        <v>3.8</v>
      </c>
      <c r="G6172" s="4" t="str">
        <f>HYPERLINK("http://141.218.60.56/~jnz1568/getInfo.php?workbook=18_08.xlsx&amp;sheet=U0&amp;row=6172&amp;col=7&amp;number=0.0263&amp;sourceID=14","0.0263")</f>
        <v>0.0263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HYPERLINK("http://141.218.60.56/~jnz1568/getInfo.php?workbook=18_08.xlsx&amp;sheet=U0&amp;row=6173&amp;col=6&amp;number=3.9&amp;sourceID=14","3.9")</f>
        <v>3.9</v>
      </c>
      <c r="G6173" s="4" t="str">
        <f>HYPERLINK("http://141.218.60.56/~jnz1568/getInfo.php?workbook=18_08.xlsx&amp;sheet=U0&amp;row=6173&amp;col=7&amp;number=0.0263&amp;sourceID=14","0.0263")</f>
        <v>0.0263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HYPERLINK("http://141.218.60.56/~jnz1568/getInfo.php?workbook=18_08.xlsx&amp;sheet=U0&amp;row=6174&amp;col=6&amp;number=4&amp;sourceID=14","4")</f>
        <v>4</v>
      </c>
      <c r="G6174" s="4" t="str">
        <f>HYPERLINK("http://141.218.60.56/~jnz1568/getInfo.php?workbook=18_08.xlsx&amp;sheet=U0&amp;row=6174&amp;col=7&amp;number=0.0263&amp;sourceID=14","0.0263")</f>
        <v>0.0263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HYPERLINK("http://141.218.60.56/~jnz1568/getInfo.php?workbook=18_08.xlsx&amp;sheet=U0&amp;row=6175&amp;col=6&amp;number=4.1&amp;sourceID=14","4.1")</f>
        <v>4.1</v>
      </c>
      <c r="G6175" s="4" t="str">
        <f>HYPERLINK("http://141.218.60.56/~jnz1568/getInfo.php?workbook=18_08.xlsx&amp;sheet=U0&amp;row=6175&amp;col=7&amp;number=0.0263&amp;sourceID=14","0.0263")</f>
        <v>0.0263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HYPERLINK("http://141.218.60.56/~jnz1568/getInfo.php?workbook=18_08.xlsx&amp;sheet=U0&amp;row=6176&amp;col=6&amp;number=4.2&amp;sourceID=14","4.2")</f>
        <v>4.2</v>
      </c>
      <c r="G6176" s="4" t="str">
        <f>HYPERLINK("http://141.218.60.56/~jnz1568/getInfo.php?workbook=18_08.xlsx&amp;sheet=U0&amp;row=6176&amp;col=7&amp;number=0.0263&amp;sourceID=14","0.0263")</f>
        <v>0.0263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HYPERLINK("http://141.218.60.56/~jnz1568/getInfo.php?workbook=18_08.xlsx&amp;sheet=U0&amp;row=6177&amp;col=6&amp;number=4.3&amp;sourceID=14","4.3")</f>
        <v>4.3</v>
      </c>
      <c r="G6177" s="4" t="str">
        <f>HYPERLINK("http://141.218.60.56/~jnz1568/getInfo.php?workbook=18_08.xlsx&amp;sheet=U0&amp;row=6177&amp;col=7&amp;number=0.0262&amp;sourceID=14","0.0262")</f>
        <v>0.0262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HYPERLINK("http://141.218.60.56/~jnz1568/getInfo.php?workbook=18_08.xlsx&amp;sheet=U0&amp;row=6178&amp;col=6&amp;number=4.4&amp;sourceID=14","4.4")</f>
        <v>4.4</v>
      </c>
      <c r="G6178" s="4" t="str">
        <f>HYPERLINK("http://141.218.60.56/~jnz1568/getInfo.php?workbook=18_08.xlsx&amp;sheet=U0&amp;row=6178&amp;col=7&amp;number=0.0262&amp;sourceID=14","0.0262")</f>
        <v>0.0262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HYPERLINK("http://141.218.60.56/~jnz1568/getInfo.php?workbook=18_08.xlsx&amp;sheet=U0&amp;row=6179&amp;col=6&amp;number=4.5&amp;sourceID=14","4.5")</f>
        <v>4.5</v>
      </c>
      <c r="G6179" s="4" t="str">
        <f>HYPERLINK("http://141.218.60.56/~jnz1568/getInfo.php?workbook=18_08.xlsx&amp;sheet=U0&amp;row=6179&amp;col=7&amp;number=0.0261&amp;sourceID=14","0.0261")</f>
        <v>0.0261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HYPERLINK("http://141.218.60.56/~jnz1568/getInfo.php?workbook=18_08.xlsx&amp;sheet=U0&amp;row=6180&amp;col=6&amp;number=4.6&amp;sourceID=14","4.6")</f>
        <v>4.6</v>
      </c>
      <c r="G6180" s="4" t="str">
        <f>HYPERLINK("http://141.218.60.56/~jnz1568/getInfo.php?workbook=18_08.xlsx&amp;sheet=U0&amp;row=6180&amp;col=7&amp;number=0.026&amp;sourceID=14","0.026")</f>
        <v>0.026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HYPERLINK("http://141.218.60.56/~jnz1568/getInfo.php?workbook=18_08.xlsx&amp;sheet=U0&amp;row=6181&amp;col=6&amp;number=4.7&amp;sourceID=14","4.7")</f>
        <v>4.7</v>
      </c>
      <c r="G6181" s="4" t="str">
        <f>HYPERLINK("http://141.218.60.56/~jnz1568/getInfo.php?workbook=18_08.xlsx&amp;sheet=U0&amp;row=6181&amp;col=7&amp;number=0.026&amp;sourceID=14","0.026")</f>
        <v>0.026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HYPERLINK("http://141.218.60.56/~jnz1568/getInfo.php?workbook=18_08.xlsx&amp;sheet=U0&amp;row=6182&amp;col=6&amp;number=4.8&amp;sourceID=14","4.8")</f>
        <v>4.8</v>
      </c>
      <c r="G6182" s="4" t="str">
        <f>HYPERLINK("http://141.218.60.56/~jnz1568/getInfo.php?workbook=18_08.xlsx&amp;sheet=U0&amp;row=6182&amp;col=7&amp;number=0.0258&amp;sourceID=14","0.0258")</f>
        <v>0.0258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HYPERLINK("http://141.218.60.56/~jnz1568/getInfo.php?workbook=18_08.xlsx&amp;sheet=U0&amp;row=6183&amp;col=6&amp;number=4.9&amp;sourceID=14","4.9")</f>
        <v>4.9</v>
      </c>
      <c r="G6183" s="4" t="str">
        <f>HYPERLINK("http://141.218.60.56/~jnz1568/getInfo.php?workbook=18_08.xlsx&amp;sheet=U0&amp;row=6183&amp;col=7&amp;number=0.0257&amp;sourceID=14","0.0257")</f>
        <v>0.0257</v>
      </c>
    </row>
    <row r="6184" spans="1:7">
      <c r="A6184" s="3">
        <v>18</v>
      </c>
      <c r="B6184" s="3">
        <v>8</v>
      </c>
      <c r="C6184" s="3" t="s">
        <v>75</v>
      </c>
      <c r="D6184" s="3">
        <v>2</v>
      </c>
      <c r="E6184" s="3">
        <v>1</v>
      </c>
      <c r="F6184" s="4" t="str">
        <f>HYPERLINK("http://141.218.60.56/~jnz1568/getInfo.php?workbook=18_08.xlsx&amp;sheet=U0&amp;row=6184&amp;col=6&amp;number=3&amp;sourceID=14","3")</f>
        <v>3</v>
      </c>
      <c r="G6184" s="4" t="str">
        <f>HYPERLINK("http://141.218.60.56/~jnz1568/getInfo.php?workbook=18_08.xlsx&amp;sheet=U0&amp;row=6184&amp;col=7&amp;number=0.0332&amp;sourceID=14","0.0332")</f>
        <v>0.0332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HYPERLINK("http://141.218.60.56/~jnz1568/getInfo.php?workbook=18_08.xlsx&amp;sheet=U0&amp;row=6185&amp;col=6&amp;number=3.1&amp;sourceID=14","3.1")</f>
        <v>3.1</v>
      </c>
      <c r="G6185" s="4" t="str">
        <f>HYPERLINK("http://141.218.60.56/~jnz1568/getInfo.php?workbook=18_08.xlsx&amp;sheet=U0&amp;row=6185&amp;col=7&amp;number=0.0332&amp;sourceID=14","0.0332")</f>
        <v>0.0332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HYPERLINK("http://141.218.60.56/~jnz1568/getInfo.php?workbook=18_08.xlsx&amp;sheet=U0&amp;row=6186&amp;col=6&amp;number=3.2&amp;sourceID=14","3.2")</f>
        <v>3.2</v>
      </c>
      <c r="G6186" s="4" t="str">
        <f>HYPERLINK("http://141.218.60.56/~jnz1568/getInfo.php?workbook=18_08.xlsx&amp;sheet=U0&amp;row=6186&amp;col=7&amp;number=0.0332&amp;sourceID=14","0.0332")</f>
        <v>0.0332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HYPERLINK("http://141.218.60.56/~jnz1568/getInfo.php?workbook=18_08.xlsx&amp;sheet=U0&amp;row=6187&amp;col=6&amp;number=3.3&amp;sourceID=14","3.3")</f>
        <v>3.3</v>
      </c>
      <c r="G6187" s="4" t="str">
        <f>HYPERLINK("http://141.218.60.56/~jnz1568/getInfo.php?workbook=18_08.xlsx&amp;sheet=U0&amp;row=6187&amp;col=7&amp;number=0.0332&amp;sourceID=14","0.0332")</f>
        <v>0.0332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HYPERLINK("http://141.218.60.56/~jnz1568/getInfo.php?workbook=18_08.xlsx&amp;sheet=U0&amp;row=6188&amp;col=6&amp;number=3.4&amp;sourceID=14","3.4")</f>
        <v>3.4</v>
      </c>
      <c r="G6188" s="4" t="str">
        <f>HYPERLINK("http://141.218.60.56/~jnz1568/getInfo.php?workbook=18_08.xlsx&amp;sheet=U0&amp;row=6188&amp;col=7&amp;number=0.0332&amp;sourceID=14","0.0332")</f>
        <v>0.0332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HYPERLINK("http://141.218.60.56/~jnz1568/getInfo.php?workbook=18_08.xlsx&amp;sheet=U0&amp;row=6189&amp;col=6&amp;number=3.5&amp;sourceID=14","3.5")</f>
        <v>3.5</v>
      </c>
      <c r="G6189" s="4" t="str">
        <f>HYPERLINK("http://141.218.60.56/~jnz1568/getInfo.php?workbook=18_08.xlsx&amp;sheet=U0&amp;row=6189&amp;col=7&amp;number=0.0332&amp;sourceID=14","0.0332")</f>
        <v>0.0332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HYPERLINK("http://141.218.60.56/~jnz1568/getInfo.php?workbook=18_08.xlsx&amp;sheet=U0&amp;row=6190&amp;col=6&amp;number=3.6&amp;sourceID=14","3.6")</f>
        <v>3.6</v>
      </c>
      <c r="G6190" s="4" t="str">
        <f>HYPERLINK("http://141.218.60.56/~jnz1568/getInfo.php?workbook=18_08.xlsx&amp;sheet=U0&amp;row=6190&amp;col=7&amp;number=0.0332&amp;sourceID=14","0.0332")</f>
        <v>0.0332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HYPERLINK("http://141.218.60.56/~jnz1568/getInfo.php?workbook=18_08.xlsx&amp;sheet=U0&amp;row=6191&amp;col=6&amp;number=3.7&amp;sourceID=14","3.7")</f>
        <v>3.7</v>
      </c>
      <c r="G6191" s="4" t="str">
        <f>HYPERLINK("http://141.218.60.56/~jnz1568/getInfo.php?workbook=18_08.xlsx&amp;sheet=U0&amp;row=6191&amp;col=7&amp;number=0.0332&amp;sourceID=14","0.0332")</f>
        <v>0.0332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HYPERLINK("http://141.218.60.56/~jnz1568/getInfo.php?workbook=18_08.xlsx&amp;sheet=U0&amp;row=6192&amp;col=6&amp;number=3.8&amp;sourceID=14","3.8")</f>
        <v>3.8</v>
      </c>
      <c r="G6192" s="4" t="str">
        <f>HYPERLINK("http://141.218.60.56/~jnz1568/getInfo.php?workbook=18_08.xlsx&amp;sheet=U0&amp;row=6192&amp;col=7&amp;number=0.0332&amp;sourceID=14","0.0332")</f>
        <v>0.0332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HYPERLINK("http://141.218.60.56/~jnz1568/getInfo.php?workbook=18_08.xlsx&amp;sheet=U0&amp;row=6193&amp;col=6&amp;number=3.9&amp;sourceID=14","3.9")</f>
        <v>3.9</v>
      </c>
      <c r="G6193" s="4" t="str">
        <f>HYPERLINK("http://141.218.60.56/~jnz1568/getInfo.php?workbook=18_08.xlsx&amp;sheet=U0&amp;row=6193&amp;col=7&amp;number=0.0331&amp;sourceID=14","0.0331")</f>
        <v>0.0331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HYPERLINK("http://141.218.60.56/~jnz1568/getInfo.php?workbook=18_08.xlsx&amp;sheet=U0&amp;row=6194&amp;col=6&amp;number=4&amp;sourceID=14","4")</f>
        <v>4</v>
      </c>
      <c r="G6194" s="4" t="str">
        <f>HYPERLINK("http://141.218.60.56/~jnz1568/getInfo.php?workbook=18_08.xlsx&amp;sheet=U0&amp;row=6194&amp;col=7&amp;number=0.0331&amp;sourceID=14","0.0331")</f>
        <v>0.0331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HYPERLINK("http://141.218.60.56/~jnz1568/getInfo.php?workbook=18_08.xlsx&amp;sheet=U0&amp;row=6195&amp;col=6&amp;number=4.1&amp;sourceID=14","4.1")</f>
        <v>4.1</v>
      </c>
      <c r="G6195" s="4" t="str">
        <f>HYPERLINK("http://141.218.60.56/~jnz1568/getInfo.php?workbook=18_08.xlsx&amp;sheet=U0&amp;row=6195&amp;col=7&amp;number=0.0331&amp;sourceID=14","0.0331")</f>
        <v>0.0331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HYPERLINK("http://141.218.60.56/~jnz1568/getInfo.php?workbook=18_08.xlsx&amp;sheet=U0&amp;row=6196&amp;col=6&amp;number=4.2&amp;sourceID=14","4.2")</f>
        <v>4.2</v>
      </c>
      <c r="G6196" s="4" t="str">
        <f>HYPERLINK("http://141.218.60.56/~jnz1568/getInfo.php?workbook=18_08.xlsx&amp;sheet=U0&amp;row=6196&amp;col=7&amp;number=0.0331&amp;sourceID=14","0.0331")</f>
        <v>0.0331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HYPERLINK("http://141.218.60.56/~jnz1568/getInfo.php?workbook=18_08.xlsx&amp;sheet=U0&amp;row=6197&amp;col=6&amp;number=4.3&amp;sourceID=14","4.3")</f>
        <v>4.3</v>
      </c>
      <c r="G6197" s="4" t="str">
        <f>HYPERLINK("http://141.218.60.56/~jnz1568/getInfo.php?workbook=18_08.xlsx&amp;sheet=U0&amp;row=6197&amp;col=7&amp;number=0.033&amp;sourceID=14","0.033")</f>
        <v>0.033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HYPERLINK("http://141.218.60.56/~jnz1568/getInfo.php?workbook=18_08.xlsx&amp;sheet=U0&amp;row=6198&amp;col=6&amp;number=4.4&amp;sourceID=14","4.4")</f>
        <v>4.4</v>
      </c>
      <c r="G6198" s="4" t="str">
        <f>HYPERLINK("http://141.218.60.56/~jnz1568/getInfo.php?workbook=18_08.xlsx&amp;sheet=U0&amp;row=6198&amp;col=7&amp;number=0.033&amp;sourceID=14","0.033")</f>
        <v>0.033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HYPERLINK("http://141.218.60.56/~jnz1568/getInfo.php?workbook=18_08.xlsx&amp;sheet=U0&amp;row=6199&amp;col=6&amp;number=4.5&amp;sourceID=14","4.5")</f>
        <v>4.5</v>
      </c>
      <c r="G6199" s="4" t="str">
        <f>HYPERLINK("http://141.218.60.56/~jnz1568/getInfo.php?workbook=18_08.xlsx&amp;sheet=U0&amp;row=6199&amp;col=7&amp;number=0.0329&amp;sourceID=14","0.0329")</f>
        <v>0.0329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HYPERLINK("http://141.218.60.56/~jnz1568/getInfo.php?workbook=18_08.xlsx&amp;sheet=U0&amp;row=6200&amp;col=6&amp;number=4.6&amp;sourceID=14","4.6")</f>
        <v>4.6</v>
      </c>
      <c r="G6200" s="4" t="str">
        <f>HYPERLINK("http://141.218.60.56/~jnz1568/getInfo.php?workbook=18_08.xlsx&amp;sheet=U0&amp;row=6200&amp;col=7&amp;number=0.0328&amp;sourceID=14","0.0328")</f>
        <v>0.0328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HYPERLINK("http://141.218.60.56/~jnz1568/getInfo.php?workbook=18_08.xlsx&amp;sheet=U0&amp;row=6201&amp;col=6&amp;number=4.7&amp;sourceID=14","4.7")</f>
        <v>4.7</v>
      </c>
      <c r="G6201" s="4" t="str">
        <f>HYPERLINK("http://141.218.60.56/~jnz1568/getInfo.php?workbook=18_08.xlsx&amp;sheet=U0&amp;row=6201&amp;col=7&amp;number=0.0327&amp;sourceID=14","0.0327")</f>
        <v>0.0327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HYPERLINK("http://141.218.60.56/~jnz1568/getInfo.php?workbook=18_08.xlsx&amp;sheet=U0&amp;row=6202&amp;col=6&amp;number=4.8&amp;sourceID=14","4.8")</f>
        <v>4.8</v>
      </c>
      <c r="G6202" s="4" t="str">
        <f>HYPERLINK("http://141.218.60.56/~jnz1568/getInfo.php?workbook=18_08.xlsx&amp;sheet=U0&amp;row=6202&amp;col=7&amp;number=0.0326&amp;sourceID=14","0.0326")</f>
        <v>0.0326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HYPERLINK("http://141.218.60.56/~jnz1568/getInfo.php?workbook=18_08.xlsx&amp;sheet=U0&amp;row=6203&amp;col=6&amp;number=4.9&amp;sourceID=14","4.9")</f>
        <v>4.9</v>
      </c>
      <c r="G6203" s="4" t="str">
        <f>HYPERLINK("http://141.218.60.56/~jnz1568/getInfo.php?workbook=18_08.xlsx&amp;sheet=U0&amp;row=6203&amp;col=7&amp;number=0.0324&amp;sourceID=14","0.0324")</f>
        <v>0.0324</v>
      </c>
    </row>
    <row r="6204" spans="1:7">
      <c r="A6204" s="3">
        <v>18</v>
      </c>
      <c r="B6204" s="3">
        <v>8</v>
      </c>
      <c r="C6204" s="3" t="s">
        <v>75</v>
      </c>
      <c r="D6204" s="3">
        <v>3</v>
      </c>
      <c r="E6204" s="3">
        <v>1</v>
      </c>
      <c r="F6204" s="4" t="str">
        <f>HYPERLINK("http://141.218.60.56/~jnz1568/getInfo.php?workbook=18_08.xlsx&amp;sheet=U0&amp;row=6204&amp;col=6&amp;number=3&amp;sourceID=14","3")</f>
        <v>3</v>
      </c>
      <c r="G6204" s="4" t="str">
        <f>HYPERLINK("http://141.218.60.56/~jnz1568/getInfo.php?workbook=18_08.xlsx&amp;sheet=U0&amp;row=6204&amp;col=7&amp;number=0.0161&amp;sourceID=14","0.0161")</f>
        <v>0.0161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HYPERLINK("http://141.218.60.56/~jnz1568/getInfo.php?workbook=18_08.xlsx&amp;sheet=U0&amp;row=6205&amp;col=6&amp;number=3.1&amp;sourceID=14","3.1")</f>
        <v>3.1</v>
      </c>
      <c r="G6205" s="4" t="str">
        <f>HYPERLINK("http://141.218.60.56/~jnz1568/getInfo.php?workbook=18_08.xlsx&amp;sheet=U0&amp;row=6205&amp;col=7&amp;number=0.0161&amp;sourceID=14","0.0161")</f>
        <v>0.0161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HYPERLINK("http://141.218.60.56/~jnz1568/getInfo.php?workbook=18_08.xlsx&amp;sheet=U0&amp;row=6206&amp;col=6&amp;number=3.2&amp;sourceID=14","3.2")</f>
        <v>3.2</v>
      </c>
      <c r="G6206" s="4" t="str">
        <f>HYPERLINK("http://141.218.60.56/~jnz1568/getInfo.php?workbook=18_08.xlsx&amp;sheet=U0&amp;row=6206&amp;col=7&amp;number=0.0161&amp;sourceID=14","0.0161")</f>
        <v>0.0161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HYPERLINK("http://141.218.60.56/~jnz1568/getInfo.php?workbook=18_08.xlsx&amp;sheet=U0&amp;row=6207&amp;col=6&amp;number=3.3&amp;sourceID=14","3.3")</f>
        <v>3.3</v>
      </c>
      <c r="G6207" s="4" t="str">
        <f>HYPERLINK("http://141.218.60.56/~jnz1568/getInfo.php?workbook=18_08.xlsx&amp;sheet=U0&amp;row=6207&amp;col=7&amp;number=0.0161&amp;sourceID=14","0.0161")</f>
        <v>0.0161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HYPERLINK("http://141.218.60.56/~jnz1568/getInfo.php?workbook=18_08.xlsx&amp;sheet=U0&amp;row=6208&amp;col=6&amp;number=3.4&amp;sourceID=14","3.4")</f>
        <v>3.4</v>
      </c>
      <c r="G6208" s="4" t="str">
        <f>HYPERLINK("http://141.218.60.56/~jnz1568/getInfo.php?workbook=18_08.xlsx&amp;sheet=U0&amp;row=6208&amp;col=7&amp;number=0.0161&amp;sourceID=14","0.0161")</f>
        <v>0.0161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HYPERLINK("http://141.218.60.56/~jnz1568/getInfo.php?workbook=18_08.xlsx&amp;sheet=U0&amp;row=6209&amp;col=6&amp;number=3.5&amp;sourceID=14","3.5")</f>
        <v>3.5</v>
      </c>
      <c r="G6209" s="4" t="str">
        <f>HYPERLINK("http://141.218.60.56/~jnz1568/getInfo.php?workbook=18_08.xlsx&amp;sheet=U0&amp;row=6209&amp;col=7&amp;number=0.0161&amp;sourceID=14","0.0161")</f>
        <v>0.0161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HYPERLINK("http://141.218.60.56/~jnz1568/getInfo.php?workbook=18_08.xlsx&amp;sheet=U0&amp;row=6210&amp;col=6&amp;number=3.6&amp;sourceID=14","3.6")</f>
        <v>3.6</v>
      </c>
      <c r="G6210" s="4" t="str">
        <f>HYPERLINK("http://141.218.60.56/~jnz1568/getInfo.php?workbook=18_08.xlsx&amp;sheet=U0&amp;row=6210&amp;col=7&amp;number=0.0161&amp;sourceID=14","0.0161")</f>
        <v>0.0161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HYPERLINK("http://141.218.60.56/~jnz1568/getInfo.php?workbook=18_08.xlsx&amp;sheet=U0&amp;row=6211&amp;col=6&amp;number=3.7&amp;sourceID=14","3.7")</f>
        <v>3.7</v>
      </c>
      <c r="G6211" s="4" t="str">
        <f>HYPERLINK("http://141.218.60.56/~jnz1568/getInfo.php?workbook=18_08.xlsx&amp;sheet=U0&amp;row=6211&amp;col=7&amp;number=0.0161&amp;sourceID=14","0.0161")</f>
        <v>0.0161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HYPERLINK("http://141.218.60.56/~jnz1568/getInfo.php?workbook=18_08.xlsx&amp;sheet=U0&amp;row=6212&amp;col=6&amp;number=3.8&amp;sourceID=14","3.8")</f>
        <v>3.8</v>
      </c>
      <c r="G6212" s="4" t="str">
        <f>HYPERLINK("http://141.218.60.56/~jnz1568/getInfo.php?workbook=18_08.xlsx&amp;sheet=U0&amp;row=6212&amp;col=7&amp;number=0.0161&amp;sourceID=14","0.0161")</f>
        <v>0.0161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HYPERLINK("http://141.218.60.56/~jnz1568/getInfo.php?workbook=18_08.xlsx&amp;sheet=U0&amp;row=6213&amp;col=6&amp;number=3.9&amp;sourceID=14","3.9")</f>
        <v>3.9</v>
      </c>
      <c r="G6213" s="4" t="str">
        <f>HYPERLINK("http://141.218.60.56/~jnz1568/getInfo.php?workbook=18_08.xlsx&amp;sheet=U0&amp;row=6213&amp;col=7&amp;number=0.0161&amp;sourceID=14","0.0161")</f>
        <v>0.0161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HYPERLINK("http://141.218.60.56/~jnz1568/getInfo.php?workbook=18_08.xlsx&amp;sheet=U0&amp;row=6214&amp;col=6&amp;number=4&amp;sourceID=14","4")</f>
        <v>4</v>
      </c>
      <c r="G6214" s="4" t="str">
        <f>HYPERLINK("http://141.218.60.56/~jnz1568/getInfo.php?workbook=18_08.xlsx&amp;sheet=U0&amp;row=6214&amp;col=7&amp;number=0.0161&amp;sourceID=14","0.0161")</f>
        <v>0.0161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HYPERLINK("http://141.218.60.56/~jnz1568/getInfo.php?workbook=18_08.xlsx&amp;sheet=U0&amp;row=6215&amp;col=6&amp;number=4.1&amp;sourceID=14","4.1")</f>
        <v>4.1</v>
      </c>
      <c r="G6215" s="4" t="str">
        <f>HYPERLINK("http://141.218.60.56/~jnz1568/getInfo.php?workbook=18_08.xlsx&amp;sheet=U0&amp;row=6215&amp;col=7&amp;number=0.0161&amp;sourceID=14","0.0161")</f>
        <v>0.0161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HYPERLINK("http://141.218.60.56/~jnz1568/getInfo.php?workbook=18_08.xlsx&amp;sheet=U0&amp;row=6216&amp;col=6&amp;number=4.2&amp;sourceID=14","4.2")</f>
        <v>4.2</v>
      </c>
      <c r="G6216" s="4" t="str">
        <f>HYPERLINK("http://141.218.60.56/~jnz1568/getInfo.php?workbook=18_08.xlsx&amp;sheet=U0&amp;row=6216&amp;col=7&amp;number=0.0161&amp;sourceID=14","0.0161")</f>
        <v>0.0161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HYPERLINK("http://141.218.60.56/~jnz1568/getInfo.php?workbook=18_08.xlsx&amp;sheet=U0&amp;row=6217&amp;col=6&amp;number=4.3&amp;sourceID=14","4.3")</f>
        <v>4.3</v>
      </c>
      <c r="G6217" s="4" t="str">
        <f>HYPERLINK("http://141.218.60.56/~jnz1568/getInfo.php?workbook=18_08.xlsx&amp;sheet=U0&amp;row=6217&amp;col=7&amp;number=0.0161&amp;sourceID=14","0.0161")</f>
        <v>0.0161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HYPERLINK("http://141.218.60.56/~jnz1568/getInfo.php?workbook=18_08.xlsx&amp;sheet=U0&amp;row=6218&amp;col=6&amp;number=4.4&amp;sourceID=14","4.4")</f>
        <v>4.4</v>
      </c>
      <c r="G6218" s="4" t="str">
        <f>HYPERLINK("http://141.218.60.56/~jnz1568/getInfo.php?workbook=18_08.xlsx&amp;sheet=U0&amp;row=6218&amp;col=7&amp;number=0.0161&amp;sourceID=14","0.0161")</f>
        <v>0.0161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HYPERLINK("http://141.218.60.56/~jnz1568/getInfo.php?workbook=18_08.xlsx&amp;sheet=U0&amp;row=6219&amp;col=6&amp;number=4.5&amp;sourceID=14","4.5")</f>
        <v>4.5</v>
      </c>
      <c r="G6219" s="4" t="str">
        <f>HYPERLINK("http://141.218.60.56/~jnz1568/getInfo.php?workbook=18_08.xlsx&amp;sheet=U0&amp;row=6219&amp;col=7&amp;number=0.0161&amp;sourceID=14","0.0161")</f>
        <v>0.0161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HYPERLINK("http://141.218.60.56/~jnz1568/getInfo.php?workbook=18_08.xlsx&amp;sheet=U0&amp;row=6220&amp;col=6&amp;number=4.6&amp;sourceID=14","4.6")</f>
        <v>4.6</v>
      </c>
      <c r="G6220" s="4" t="str">
        <f>HYPERLINK("http://141.218.60.56/~jnz1568/getInfo.php?workbook=18_08.xlsx&amp;sheet=U0&amp;row=6220&amp;col=7&amp;number=0.0161&amp;sourceID=14","0.0161")</f>
        <v>0.0161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HYPERLINK("http://141.218.60.56/~jnz1568/getInfo.php?workbook=18_08.xlsx&amp;sheet=U0&amp;row=6221&amp;col=6&amp;number=4.7&amp;sourceID=14","4.7")</f>
        <v>4.7</v>
      </c>
      <c r="G6221" s="4" t="str">
        <f>HYPERLINK("http://141.218.60.56/~jnz1568/getInfo.php?workbook=18_08.xlsx&amp;sheet=U0&amp;row=6221&amp;col=7&amp;number=0.0161&amp;sourceID=14","0.0161")</f>
        <v>0.0161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HYPERLINK("http://141.218.60.56/~jnz1568/getInfo.php?workbook=18_08.xlsx&amp;sheet=U0&amp;row=6222&amp;col=6&amp;number=4.8&amp;sourceID=14","4.8")</f>
        <v>4.8</v>
      </c>
      <c r="G6222" s="4" t="str">
        <f>HYPERLINK("http://141.218.60.56/~jnz1568/getInfo.php?workbook=18_08.xlsx&amp;sheet=U0&amp;row=6222&amp;col=7&amp;number=0.0161&amp;sourceID=14","0.0161")</f>
        <v>0.0161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HYPERLINK("http://141.218.60.56/~jnz1568/getInfo.php?workbook=18_08.xlsx&amp;sheet=U0&amp;row=6223&amp;col=6&amp;number=4.9&amp;sourceID=14","4.9")</f>
        <v>4.9</v>
      </c>
      <c r="G6223" s="4" t="str">
        <f>HYPERLINK("http://141.218.60.56/~jnz1568/getInfo.php?workbook=18_08.xlsx&amp;sheet=U0&amp;row=6223&amp;col=7&amp;number=0.0161&amp;sourceID=14","0.0161")</f>
        <v>0.0161</v>
      </c>
    </row>
    <row r="6224" spans="1:7">
      <c r="A6224" s="3">
        <v>18</v>
      </c>
      <c r="B6224" s="3">
        <v>8</v>
      </c>
      <c r="C6224" s="3" t="s">
        <v>75</v>
      </c>
      <c r="D6224" s="3">
        <v>4</v>
      </c>
      <c r="E6224" s="3">
        <v>1</v>
      </c>
      <c r="F6224" s="4" t="str">
        <f>HYPERLINK("http://141.218.60.56/~jnz1568/getInfo.php?workbook=18_08.xlsx&amp;sheet=U0&amp;row=6224&amp;col=6&amp;number=3&amp;sourceID=14","3")</f>
        <v>3</v>
      </c>
      <c r="G6224" s="4" t="str">
        <f>HYPERLINK("http://141.218.60.56/~jnz1568/getInfo.php?workbook=18_08.xlsx&amp;sheet=U0&amp;row=6224&amp;col=7&amp;number=0.0287&amp;sourceID=14","0.0287")</f>
        <v>0.0287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HYPERLINK("http://141.218.60.56/~jnz1568/getInfo.php?workbook=18_08.xlsx&amp;sheet=U0&amp;row=6225&amp;col=6&amp;number=3.1&amp;sourceID=14","3.1")</f>
        <v>3.1</v>
      </c>
      <c r="G6225" s="4" t="str">
        <f>HYPERLINK("http://141.218.60.56/~jnz1568/getInfo.php?workbook=18_08.xlsx&amp;sheet=U0&amp;row=6225&amp;col=7&amp;number=0.0287&amp;sourceID=14","0.0287")</f>
        <v>0.0287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HYPERLINK("http://141.218.60.56/~jnz1568/getInfo.php?workbook=18_08.xlsx&amp;sheet=U0&amp;row=6226&amp;col=6&amp;number=3.2&amp;sourceID=14","3.2")</f>
        <v>3.2</v>
      </c>
      <c r="G6226" s="4" t="str">
        <f>HYPERLINK("http://141.218.60.56/~jnz1568/getInfo.php?workbook=18_08.xlsx&amp;sheet=U0&amp;row=6226&amp;col=7&amp;number=0.0287&amp;sourceID=14","0.0287")</f>
        <v>0.0287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HYPERLINK("http://141.218.60.56/~jnz1568/getInfo.php?workbook=18_08.xlsx&amp;sheet=U0&amp;row=6227&amp;col=6&amp;number=3.3&amp;sourceID=14","3.3")</f>
        <v>3.3</v>
      </c>
      <c r="G6227" s="4" t="str">
        <f>HYPERLINK("http://141.218.60.56/~jnz1568/getInfo.php?workbook=18_08.xlsx&amp;sheet=U0&amp;row=6227&amp;col=7&amp;number=0.0287&amp;sourceID=14","0.0287")</f>
        <v>0.0287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HYPERLINK("http://141.218.60.56/~jnz1568/getInfo.php?workbook=18_08.xlsx&amp;sheet=U0&amp;row=6228&amp;col=6&amp;number=3.4&amp;sourceID=14","3.4")</f>
        <v>3.4</v>
      </c>
      <c r="G6228" s="4" t="str">
        <f>HYPERLINK("http://141.218.60.56/~jnz1568/getInfo.php?workbook=18_08.xlsx&amp;sheet=U0&amp;row=6228&amp;col=7&amp;number=0.0287&amp;sourceID=14","0.0287")</f>
        <v>0.0287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HYPERLINK("http://141.218.60.56/~jnz1568/getInfo.php?workbook=18_08.xlsx&amp;sheet=U0&amp;row=6229&amp;col=6&amp;number=3.5&amp;sourceID=14","3.5")</f>
        <v>3.5</v>
      </c>
      <c r="G6229" s="4" t="str">
        <f>HYPERLINK("http://141.218.60.56/~jnz1568/getInfo.php?workbook=18_08.xlsx&amp;sheet=U0&amp;row=6229&amp;col=7&amp;number=0.0287&amp;sourceID=14","0.0287")</f>
        <v>0.0287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HYPERLINK("http://141.218.60.56/~jnz1568/getInfo.php?workbook=18_08.xlsx&amp;sheet=U0&amp;row=6230&amp;col=6&amp;number=3.6&amp;sourceID=14","3.6")</f>
        <v>3.6</v>
      </c>
      <c r="G6230" s="4" t="str">
        <f>HYPERLINK("http://141.218.60.56/~jnz1568/getInfo.php?workbook=18_08.xlsx&amp;sheet=U0&amp;row=6230&amp;col=7&amp;number=0.0287&amp;sourceID=14","0.0287")</f>
        <v>0.0287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HYPERLINK("http://141.218.60.56/~jnz1568/getInfo.php?workbook=18_08.xlsx&amp;sheet=U0&amp;row=6231&amp;col=6&amp;number=3.7&amp;sourceID=14","3.7")</f>
        <v>3.7</v>
      </c>
      <c r="G6231" s="4" t="str">
        <f>HYPERLINK("http://141.218.60.56/~jnz1568/getInfo.php?workbook=18_08.xlsx&amp;sheet=U0&amp;row=6231&amp;col=7&amp;number=0.0287&amp;sourceID=14","0.0287")</f>
        <v>0.0287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HYPERLINK("http://141.218.60.56/~jnz1568/getInfo.php?workbook=18_08.xlsx&amp;sheet=U0&amp;row=6232&amp;col=6&amp;number=3.8&amp;sourceID=14","3.8")</f>
        <v>3.8</v>
      </c>
      <c r="G6232" s="4" t="str">
        <f>HYPERLINK("http://141.218.60.56/~jnz1568/getInfo.php?workbook=18_08.xlsx&amp;sheet=U0&amp;row=6232&amp;col=7&amp;number=0.0287&amp;sourceID=14","0.0287")</f>
        <v>0.0287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HYPERLINK("http://141.218.60.56/~jnz1568/getInfo.php?workbook=18_08.xlsx&amp;sheet=U0&amp;row=6233&amp;col=6&amp;number=3.9&amp;sourceID=14","3.9")</f>
        <v>3.9</v>
      </c>
      <c r="G6233" s="4" t="str">
        <f>HYPERLINK("http://141.218.60.56/~jnz1568/getInfo.php?workbook=18_08.xlsx&amp;sheet=U0&amp;row=6233&amp;col=7&amp;number=0.0287&amp;sourceID=14","0.0287")</f>
        <v>0.0287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HYPERLINK("http://141.218.60.56/~jnz1568/getInfo.php?workbook=18_08.xlsx&amp;sheet=U0&amp;row=6234&amp;col=6&amp;number=4&amp;sourceID=14","4")</f>
        <v>4</v>
      </c>
      <c r="G6234" s="4" t="str">
        <f>HYPERLINK("http://141.218.60.56/~jnz1568/getInfo.php?workbook=18_08.xlsx&amp;sheet=U0&amp;row=6234&amp;col=7&amp;number=0.0287&amp;sourceID=14","0.0287")</f>
        <v>0.0287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HYPERLINK("http://141.218.60.56/~jnz1568/getInfo.php?workbook=18_08.xlsx&amp;sheet=U0&amp;row=6235&amp;col=6&amp;number=4.1&amp;sourceID=14","4.1")</f>
        <v>4.1</v>
      </c>
      <c r="G6235" s="4" t="str">
        <f>HYPERLINK("http://141.218.60.56/~jnz1568/getInfo.php?workbook=18_08.xlsx&amp;sheet=U0&amp;row=6235&amp;col=7&amp;number=0.0287&amp;sourceID=14","0.0287")</f>
        <v>0.0287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HYPERLINK("http://141.218.60.56/~jnz1568/getInfo.php?workbook=18_08.xlsx&amp;sheet=U0&amp;row=6236&amp;col=6&amp;number=4.2&amp;sourceID=14","4.2")</f>
        <v>4.2</v>
      </c>
      <c r="G6236" s="4" t="str">
        <f>HYPERLINK("http://141.218.60.56/~jnz1568/getInfo.php?workbook=18_08.xlsx&amp;sheet=U0&amp;row=6236&amp;col=7&amp;number=0.0287&amp;sourceID=14","0.0287")</f>
        <v>0.0287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HYPERLINK("http://141.218.60.56/~jnz1568/getInfo.php?workbook=18_08.xlsx&amp;sheet=U0&amp;row=6237&amp;col=6&amp;number=4.3&amp;sourceID=14","4.3")</f>
        <v>4.3</v>
      </c>
      <c r="G6237" s="4" t="str">
        <f>HYPERLINK("http://141.218.60.56/~jnz1568/getInfo.php?workbook=18_08.xlsx&amp;sheet=U0&amp;row=6237&amp;col=7&amp;number=0.0287&amp;sourceID=14","0.0287")</f>
        <v>0.0287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HYPERLINK("http://141.218.60.56/~jnz1568/getInfo.php?workbook=18_08.xlsx&amp;sheet=U0&amp;row=6238&amp;col=6&amp;number=4.4&amp;sourceID=14","4.4")</f>
        <v>4.4</v>
      </c>
      <c r="G6238" s="4" t="str">
        <f>HYPERLINK("http://141.218.60.56/~jnz1568/getInfo.php?workbook=18_08.xlsx&amp;sheet=U0&amp;row=6238&amp;col=7&amp;number=0.0288&amp;sourceID=14","0.0288")</f>
        <v>0.0288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HYPERLINK("http://141.218.60.56/~jnz1568/getInfo.php?workbook=18_08.xlsx&amp;sheet=U0&amp;row=6239&amp;col=6&amp;number=4.5&amp;sourceID=14","4.5")</f>
        <v>4.5</v>
      </c>
      <c r="G6239" s="4" t="str">
        <f>HYPERLINK("http://141.218.60.56/~jnz1568/getInfo.php?workbook=18_08.xlsx&amp;sheet=U0&amp;row=6239&amp;col=7&amp;number=0.0288&amp;sourceID=14","0.0288")</f>
        <v>0.0288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HYPERLINK("http://141.218.60.56/~jnz1568/getInfo.php?workbook=18_08.xlsx&amp;sheet=U0&amp;row=6240&amp;col=6&amp;number=4.6&amp;sourceID=14","4.6")</f>
        <v>4.6</v>
      </c>
      <c r="G6240" s="4" t="str">
        <f>HYPERLINK("http://141.218.60.56/~jnz1568/getInfo.php?workbook=18_08.xlsx&amp;sheet=U0&amp;row=6240&amp;col=7&amp;number=0.0288&amp;sourceID=14","0.0288")</f>
        <v>0.0288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HYPERLINK("http://141.218.60.56/~jnz1568/getInfo.php?workbook=18_08.xlsx&amp;sheet=U0&amp;row=6241&amp;col=6&amp;number=4.7&amp;sourceID=14","4.7")</f>
        <v>4.7</v>
      </c>
      <c r="G6241" s="4" t="str">
        <f>HYPERLINK("http://141.218.60.56/~jnz1568/getInfo.php?workbook=18_08.xlsx&amp;sheet=U0&amp;row=6241&amp;col=7&amp;number=0.0289&amp;sourceID=14","0.0289")</f>
        <v>0.0289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HYPERLINK("http://141.218.60.56/~jnz1568/getInfo.php?workbook=18_08.xlsx&amp;sheet=U0&amp;row=6242&amp;col=6&amp;number=4.8&amp;sourceID=14","4.8")</f>
        <v>4.8</v>
      </c>
      <c r="G6242" s="4" t="str">
        <f>HYPERLINK("http://141.218.60.56/~jnz1568/getInfo.php?workbook=18_08.xlsx&amp;sheet=U0&amp;row=6242&amp;col=7&amp;number=0.0289&amp;sourceID=14","0.0289")</f>
        <v>0.0289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HYPERLINK("http://141.218.60.56/~jnz1568/getInfo.php?workbook=18_08.xlsx&amp;sheet=U0&amp;row=6243&amp;col=6&amp;number=4.9&amp;sourceID=14","4.9")</f>
        <v>4.9</v>
      </c>
      <c r="G6243" s="4" t="str">
        <f>HYPERLINK("http://141.218.60.56/~jnz1568/getInfo.php?workbook=18_08.xlsx&amp;sheet=U0&amp;row=6243&amp;col=7&amp;number=0.029&amp;sourceID=14","0.029")</f>
        <v>0.029</v>
      </c>
    </row>
    <row r="6244" spans="1:7">
      <c r="A6244" s="3">
        <v>18</v>
      </c>
      <c r="B6244" s="3">
        <v>8</v>
      </c>
      <c r="C6244" s="3" t="s">
        <v>75</v>
      </c>
      <c r="D6244" s="3">
        <v>5</v>
      </c>
      <c r="E6244" s="3">
        <v>1</v>
      </c>
      <c r="F6244" s="4" t="str">
        <f>HYPERLINK("http://141.218.60.56/~jnz1568/getInfo.php?workbook=18_08.xlsx&amp;sheet=U0&amp;row=6244&amp;col=6&amp;number=3&amp;sourceID=14","3")</f>
        <v>3</v>
      </c>
      <c r="G6244" s="4" t="str">
        <f>HYPERLINK("http://141.218.60.56/~jnz1568/getInfo.php?workbook=18_08.xlsx&amp;sheet=U0&amp;row=6244&amp;col=7&amp;number=0.00129&amp;sourceID=14","0.00129")</f>
        <v>0.00129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HYPERLINK("http://141.218.60.56/~jnz1568/getInfo.php?workbook=18_08.xlsx&amp;sheet=U0&amp;row=6245&amp;col=6&amp;number=3.1&amp;sourceID=14","3.1")</f>
        <v>3.1</v>
      </c>
      <c r="G6245" s="4" t="str">
        <f>HYPERLINK("http://141.218.60.56/~jnz1568/getInfo.php?workbook=18_08.xlsx&amp;sheet=U0&amp;row=6245&amp;col=7&amp;number=0.00129&amp;sourceID=14","0.00129")</f>
        <v>0.00129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HYPERLINK("http://141.218.60.56/~jnz1568/getInfo.php?workbook=18_08.xlsx&amp;sheet=U0&amp;row=6246&amp;col=6&amp;number=3.2&amp;sourceID=14","3.2")</f>
        <v>3.2</v>
      </c>
      <c r="G6246" s="4" t="str">
        <f>HYPERLINK("http://141.218.60.56/~jnz1568/getInfo.php?workbook=18_08.xlsx&amp;sheet=U0&amp;row=6246&amp;col=7&amp;number=0.00129&amp;sourceID=14","0.00129")</f>
        <v>0.00129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HYPERLINK("http://141.218.60.56/~jnz1568/getInfo.php?workbook=18_08.xlsx&amp;sheet=U0&amp;row=6247&amp;col=6&amp;number=3.3&amp;sourceID=14","3.3")</f>
        <v>3.3</v>
      </c>
      <c r="G6247" s="4" t="str">
        <f>HYPERLINK("http://141.218.60.56/~jnz1568/getInfo.php?workbook=18_08.xlsx&amp;sheet=U0&amp;row=6247&amp;col=7&amp;number=0.00129&amp;sourceID=14","0.00129")</f>
        <v>0.00129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HYPERLINK("http://141.218.60.56/~jnz1568/getInfo.php?workbook=18_08.xlsx&amp;sheet=U0&amp;row=6248&amp;col=6&amp;number=3.4&amp;sourceID=14","3.4")</f>
        <v>3.4</v>
      </c>
      <c r="G6248" s="4" t="str">
        <f>HYPERLINK("http://141.218.60.56/~jnz1568/getInfo.php?workbook=18_08.xlsx&amp;sheet=U0&amp;row=6248&amp;col=7&amp;number=0.00129&amp;sourceID=14","0.00129")</f>
        <v>0.00129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HYPERLINK("http://141.218.60.56/~jnz1568/getInfo.php?workbook=18_08.xlsx&amp;sheet=U0&amp;row=6249&amp;col=6&amp;number=3.5&amp;sourceID=14","3.5")</f>
        <v>3.5</v>
      </c>
      <c r="G6249" s="4" t="str">
        <f>HYPERLINK("http://141.218.60.56/~jnz1568/getInfo.php?workbook=18_08.xlsx&amp;sheet=U0&amp;row=6249&amp;col=7&amp;number=0.00129&amp;sourceID=14","0.00129")</f>
        <v>0.00129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HYPERLINK("http://141.218.60.56/~jnz1568/getInfo.php?workbook=18_08.xlsx&amp;sheet=U0&amp;row=6250&amp;col=6&amp;number=3.6&amp;sourceID=14","3.6")</f>
        <v>3.6</v>
      </c>
      <c r="G6250" s="4" t="str">
        <f>HYPERLINK("http://141.218.60.56/~jnz1568/getInfo.php?workbook=18_08.xlsx&amp;sheet=U0&amp;row=6250&amp;col=7&amp;number=0.00129&amp;sourceID=14","0.00129")</f>
        <v>0.00129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HYPERLINK("http://141.218.60.56/~jnz1568/getInfo.php?workbook=18_08.xlsx&amp;sheet=U0&amp;row=6251&amp;col=6&amp;number=3.7&amp;sourceID=14","3.7")</f>
        <v>3.7</v>
      </c>
      <c r="G6251" s="4" t="str">
        <f>HYPERLINK("http://141.218.60.56/~jnz1568/getInfo.php?workbook=18_08.xlsx&amp;sheet=U0&amp;row=6251&amp;col=7&amp;number=0.00129&amp;sourceID=14","0.00129")</f>
        <v>0.00129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HYPERLINK("http://141.218.60.56/~jnz1568/getInfo.php?workbook=18_08.xlsx&amp;sheet=U0&amp;row=6252&amp;col=6&amp;number=3.8&amp;sourceID=14","3.8")</f>
        <v>3.8</v>
      </c>
      <c r="G6252" s="4" t="str">
        <f>HYPERLINK("http://141.218.60.56/~jnz1568/getInfo.php?workbook=18_08.xlsx&amp;sheet=U0&amp;row=6252&amp;col=7&amp;number=0.00129&amp;sourceID=14","0.00129")</f>
        <v>0.00129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HYPERLINK("http://141.218.60.56/~jnz1568/getInfo.php?workbook=18_08.xlsx&amp;sheet=U0&amp;row=6253&amp;col=6&amp;number=3.9&amp;sourceID=14","3.9")</f>
        <v>3.9</v>
      </c>
      <c r="G6253" s="4" t="str">
        <f>HYPERLINK("http://141.218.60.56/~jnz1568/getInfo.php?workbook=18_08.xlsx&amp;sheet=U0&amp;row=6253&amp;col=7&amp;number=0.00129&amp;sourceID=14","0.00129")</f>
        <v>0.00129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HYPERLINK("http://141.218.60.56/~jnz1568/getInfo.php?workbook=18_08.xlsx&amp;sheet=U0&amp;row=6254&amp;col=6&amp;number=4&amp;sourceID=14","4")</f>
        <v>4</v>
      </c>
      <c r="G6254" s="4" t="str">
        <f>HYPERLINK("http://141.218.60.56/~jnz1568/getInfo.php?workbook=18_08.xlsx&amp;sheet=U0&amp;row=6254&amp;col=7&amp;number=0.00129&amp;sourceID=14","0.00129")</f>
        <v>0.00129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HYPERLINK("http://141.218.60.56/~jnz1568/getInfo.php?workbook=18_08.xlsx&amp;sheet=U0&amp;row=6255&amp;col=6&amp;number=4.1&amp;sourceID=14","4.1")</f>
        <v>4.1</v>
      </c>
      <c r="G6255" s="4" t="str">
        <f>HYPERLINK("http://141.218.60.56/~jnz1568/getInfo.php?workbook=18_08.xlsx&amp;sheet=U0&amp;row=6255&amp;col=7&amp;number=0.00129&amp;sourceID=14","0.00129")</f>
        <v>0.00129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HYPERLINK("http://141.218.60.56/~jnz1568/getInfo.php?workbook=18_08.xlsx&amp;sheet=U0&amp;row=6256&amp;col=6&amp;number=4.2&amp;sourceID=14","4.2")</f>
        <v>4.2</v>
      </c>
      <c r="G6256" s="4" t="str">
        <f>HYPERLINK("http://141.218.60.56/~jnz1568/getInfo.php?workbook=18_08.xlsx&amp;sheet=U0&amp;row=6256&amp;col=7&amp;number=0.00129&amp;sourceID=14","0.00129")</f>
        <v>0.00129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HYPERLINK("http://141.218.60.56/~jnz1568/getInfo.php?workbook=18_08.xlsx&amp;sheet=U0&amp;row=6257&amp;col=6&amp;number=4.3&amp;sourceID=14","4.3")</f>
        <v>4.3</v>
      </c>
      <c r="G6257" s="4" t="str">
        <f>HYPERLINK("http://141.218.60.56/~jnz1568/getInfo.php?workbook=18_08.xlsx&amp;sheet=U0&amp;row=6257&amp;col=7&amp;number=0.00129&amp;sourceID=14","0.00129")</f>
        <v>0.00129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HYPERLINK("http://141.218.60.56/~jnz1568/getInfo.php?workbook=18_08.xlsx&amp;sheet=U0&amp;row=6258&amp;col=6&amp;number=4.4&amp;sourceID=14","4.4")</f>
        <v>4.4</v>
      </c>
      <c r="G6258" s="4" t="str">
        <f>HYPERLINK("http://141.218.60.56/~jnz1568/getInfo.php?workbook=18_08.xlsx&amp;sheet=U0&amp;row=6258&amp;col=7&amp;number=0.00129&amp;sourceID=14","0.00129")</f>
        <v>0.00129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HYPERLINK("http://141.218.60.56/~jnz1568/getInfo.php?workbook=18_08.xlsx&amp;sheet=U0&amp;row=6259&amp;col=6&amp;number=4.5&amp;sourceID=14","4.5")</f>
        <v>4.5</v>
      </c>
      <c r="G6259" s="4" t="str">
        <f>HYPERLINK("http://141.218.60.56/~jnz1568/getInfo.php?workbook=18_08.xlsx&amp;sheet=U0&amp;row=6259&amp;col=7&amp;number=0.00129&amp;sourceID=14","0.00129")</f>
        <v>0.00129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HYPERLINK("http://141.218.60.56/~jnz1568/getInfo.php?workbook=18_08.xlsx&amp;sheet=U0&amp;row=6260&amp;col=6&amp;number=4.6&amp;sourceID=14","4.6")</f>
        <v>4.6</v>
      </c>
      <c r="G6260" s="4" t="str">
        <f>HYPERLINK("http://141.218.60.56/~jnz1568/getInfo.php?workbook=18_08.xlsx&amp;sheet=U0&amp;row=6260&amp;col=7&amp;number=0.0013&amp;sourceID=14","0.0013")</f>
        <v>0.0013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HYPERLINK("http://141.218.60.56/~jnz1568/getInfo.php?workbook=18_08.xlsx&amp;sheet=U0&amp;row=6261&amp;col=6&amp;number=4.7&amp;sourceID=14","4.7")</f>
        <v>4.7</v>
      </c>
      <c r="G6261" s="4" t="str">
        <f>HYPERLINK("http://141.218.60.56/~jnz1568/getInfo.php?workbook=18_08.xlsx&amp;sheet=U0&amp;row=6261&amp;col=7&amp;number=0.0013&amp;sourceID=14","0.0013")</f>
        <v>0.0013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HYPERLINK("http://141.218.60.56/~jnz1568/getInfo.php?workbook=18_08.xlsx&amp;sheet=U0&amp;row=6262&amp;col=6&amp;number=4.8&amp;sourceID=14","4.8")</f>
        <v>4.8</v>
      </c>
      <c r="G6262" s="4" t="str">
        <f>HYPERLINK("http://141.218.60.56/~jnz1568/getInfo.php?workbook=18_08.xlsx&amp;sheet=U0&amp;row=6262&amp;col=7&amp;number=0.0013&amp;sourceID=14","0.0013")</f>
        <v>0.0013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HYPERLINK("http://141.218.60.56/~jnz1568/getInfo.php?workbook=18_08.xlsx&amp;sheet=U0&amp;row=6263&amp;col=6&amp;number=4.9&amp;sourceID=14","4.9")</f>
        <v>4.9</v>
      </c>
      <c r="G6263" s="4" t="str">
        <f>HYPERLINK("http://141.218.60.56/~jnz1568/getInfo.php?workbook=18_08.xlsx&amp;sheet=U0&amp;row=6263&amp;col=7&amp;number=0.00131&amp;sourceID=14","0.00131")</f>
        <v>0.00131</v>
      </c>
    </row>
    <row r="6264" spans="1:7">
      <c r="A6264" s="3">
        <v>18</v>
      </c>
      <c r="B6264" s="3">
        <v>8</v>
      </c>
      <c r="C6264" s="3" t="s">
        <v>75</v>
      </c>
      <c r="D6264" s="3">
        <v>6</v>
      </c>
      <c r="E6264" s="3">
        <v>1</v>
      </c>
      <c r="F6264" s="4" t="str">
        <f>HYPERLINK("http://141.218.60.56/~jnz1568/getInfo.php?workbook=18_08.xlsx&amp;sheet=U0&amp;row=6264&amp;col=6&amp;number=3&amp;sourceID=14","3")</f>
        <v>3</v>
      </c>
      <c r="G6264" s="4" t="str">
        <f>HYPERLINK("http://141.218.60.56/~jnz1568/getInfo.php?workbook=18_08.xlsx&amp;sheet=U0&amp;row=6264&amp;col=7&amp;number=0.0206&amp;sourceID=14","0.0206")</f>
        <v>0.0206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HYPERLINK("http://141.218.60.56/~jnz1568/getInfo.php?workbook=18_08.xlsx&amp;sheet=U0&amp;row=6265&amp;col=6&amp;number=3.1&amp;sourceID=14","3.1")</f>
        <v>3.1</v>
      </c>
      <c r="G6265" s="4" t="str">
        <f>HYPERLINK("http://141.218.60.56/~jnz1568/getInfo.php?workbook=18_08.xlsx&amp;sheet=U0&amp;row=6265&amp;col=7&amp;number=0.0206&amp;sourceID=14","0.0206")</f>
        <v>0.0206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HYPERLINK("http://141.218.60.56/~jnz1568/getInfo.php?workbook=18_08.xlsx&amp;sheet=U0&amp;row=6266&amp;col=6&amp;number=3.2&amp;sourceID=14","3.2")</f>
        <v>3.2</v>
      </c>
      <c r="G6266" s="4" t="str">
        <f>HYPERLINK("http://141.218.60.56/~jnz1568/getInfo.php?workbook=18_08.xlsx&amp;sheet=U0&amp;row=6266&amp;col=7&amp;number=0.0206&amp;sourceID=14","0.0206")</f>
        <v>0.0206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HYPERLINK("http://141.218.60.56/~jnz1568/getInfo.php?workbook=18_08.xlsx&amp;sheet=U0&amp;row=6267&amp;col=6&amp;number=3.3&amp;sourceID=14","3.3")</f>
        <v>3.3</v>
      </c>
      <c r="G6267" s="4" t="str">
        <f>HYPERLINK("http://141.218.60.56/~jnz1568/getInfo.php?workbook=18_08.xlsx&amp;sheet=U0&amp;row=6267&amp;col=7&amp;number=0.0206&amp;sourceID=14","0.0206")</f>
        <v>0.0206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HYPERLINK("http://141.218.60.56/~jnz1568/getInfo.php?workbook=18_08.xlsx&amp;sheet=U0&amp;row=6268&amp;col=6&amp;number=3.4&amp;sourceID=14","3.4")</f>
        <v>3.4</v>
      </c>
      <c r="G6268" s="4" t="str">
        <f>HYPERLINK("http://141.218.60.56/~jnz1568/getInfo.php?workbook=18_08.xlsx&amp;sheet=U0&amp;row=6268&amp;col=7&amp;number=0.0206&amp;sourceID=14","0.0206")</f>
        <v>0.0206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HYPERLINK("http://141.218.60.56/~jnz1568/getInfo.php?workbook=18_08.xlsx&amp;sheet=U0&amp;row=6269&amp;col=6&amp;number=3.5&amp;sourceID=14","3.5")</f>
        <v>3.5</v>
      </c>
      <c r="G6269" s="4" t="str">
        <f>HYPERLINK("http://141.218.60.56/~jnz1568/getInfo.php?workbook=18_08.xlsx&amp;sheet=U0&amp;row=6269&amp;col=7&amp;number=0.0206&amp;sourceID=14","0.0206")</f>
        <v>0.0206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HYPERLINK("http://141.218.60.56/~jnz1568/getInfo.php?workbook=18_08.xlsx&amp;sheet=U0&amp;row=6270&amp;col=6&amp;number=3.6&amp;sourceID=14","3.6")</f>
        <v>3.6</v>
      </c>
      <c r="G6270" s="4" t="str">
        <f>HYPERLINK("http://141.218.60.56/~jnz1568/getInfo.php?workbook=18_08.xlsx&amp;sheet=U0&amp;row=6270&amp;col=7&amp;number=0.0206&amp;sourceID=14","0.0206")</f>
        <v>0.0206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HYPERLINK("http://141.218.60.56/~jnz1568/getInfo.php?workbook=18_08.xlsx&amp;sheet=U0&amp;row=6271&amp;col=6&amp;number=3.7&amp;sourceID=14","3.7")</f>
        <v>3.7</v>
      </c>
      <c r="G6271" s="4" t="str">
        <f>HYPERLINK("http://141.218.60.56/~jnz1568/getInfo.php?workbook=18_08.xlsx&amp;sheet=U0&amp;row=6271&amp;col=7&amp;number=0.0206&amp;sourceID=14","0.0206")</f>
        <v>0.0206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HYPERLINK("http://141.218.60.56/~jnz1568/getInfo.php?workbook=18_08.xlsx&amp;sheet=U0&amp;row=6272&amp;col=6&amp;number=3.8&amp;sourceID=14","3.8")</f>
        <v>3.8</v>
      </c>
      <c r="G6272" s="4" t="str">
        <f>HYPERLINK("http://141.218.60.56/~jnz1568/getInfo.php?workbook=18_08.xlsx&amp;sheet=U0&amp;row=6272&amp;col=7&amp;number=0.0206&amp;sourceID=14","0.0206")</f>
        <v>0.0206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HYPERLINK("http://141.218.60.56/~jnz1568/getInfo.php?workbook=18_08.xlsx&amp;sheet=U0&amp;row=6273&amp;col=6&amp;number=3.9&amp;sourceID=14","3.9")</f>
        <v>3.9</v>
      </c>
      <c r="G6273" s="4" t="str">
        <f>HYPERLINK("http://141.218.60.56/~jnz1568/getInfo.php?workbook=18_08.xlsx&amp;sheet=U0&amp;row=6273&amp;col=7&amp;number=0.0206&amp;sourceID=14","0.0206")</f>
        <v>0.0206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HYPERLINK("http://141.218.60.56/~jnz1568/getInfo.php?workbook=18_08.xlsx&amp;sheet=U0&amp;row=6274&amp;col=6&amp;number=4&amp;sourceID=14","4")</f>
        <v>4</v>
      </c>
      <c r="G6274" s="4" t="str">
        <f>HYPERLINK("http://141.218.60.56/~jnz1568/getInfo.php?workbook=18_08.xlsx&amp;sheet=U0&amp;row=6274&amp;col=7&amp;number=0.0206&amp;sourceID=14","0.0206")</f>
        <v>0.0206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HYPERLINK("http://141.218.60.56/~jnz1568/getInfo.php?workbook=18_08.xlsx&amp;sheet=U0&amp;row=6275&amp;col=6&amp;number=4.1&amp;sourceID=14","4.1")</f>
        <v>4.1</v>
      </c>
      <c r="G6275" s="4" t="str">
        <f>HYPERLINK("http://141.218.60.56/~jnz1568/getInfo.php?workbook=18_08.xlsx&amp;sheet=U0&amp;row=6275&amp;col=7&amp;number=0.0206&amp;sourceID=14","0.0206")</f>
        <v>0.0206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HYPERLINK("http://141.218.60.56/~jnz1568/getInfo.php?workbook=18_08.xlsx&amp;sheet=U0&amp;row=6276&amp;col=6&amp;number=4.2&amp;sourceID=14","4.2")</f>
        <v>4.2</v>
      </c>
      <c r="G6276" s="4" t="str">
        <f>HYPERLINK("http://141.218.60.56/~jnz1568/getInfo.php?workbook=18_08.xlsx&amp;sheet=U0&amp;row=6276&amp;col=7&amp;number=0.0205&amp;sourceID=14","0.0205")</f>
        <v>0.0205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HYPERLINK("http://141.218.60.56/~jnz1568/getInfo.php?workbook=18_08.xlsx&amp;sheet=U0&amp;row=6277&amp;col=6&amp;number=4.3&amp;sourceID=14","4.3")</f>
        <v>4.3</v>
      </c>
      <c r="G6277" s="4" t="str">
        <f>HYPERLINK("http://141.218.60.56/~jnz1568/getInfo.php?workbook=18_08.xlsx&amp;sheet=U0&amp;row=6277&amp;col=7&amp;number=0.0205&amp;sourceID=14","0.0205")</f>
        <v>0.0205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HYPERLINK("http://141.218.60.56/~jnz1568/getInfo.php?workbook=18_08.xlsx&amp;sheet=U0&amp;row=6278&amp;col=6&amp;number=4.4&amp;sourceID=14","4.4")</f>
        <v>4.4</v>
      </c>
      <c r="G6278" s="4" t="str">
        <f>HYPERLINK("http://141.218.60.56/~jnz1568/getInfo.php?workbook=18_08.xlsx&amp;sheet=U0&amp;row=6278&amp;col=7&amp;number=0.0205&amp;sourceID=14","0.0205")</f>
        <v>0.0205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HYPERLINK("http://141.218.60.56/~jnz1568/getInfo.php?workbook=18_08.xlsx&amp;sheet=U0&amp;row=6279&amp;col=6&amp;number=4.5&amp;sourceID=14","4.5")</f>
        <v>4.5</v>
      </c>
      <c r="G6279" s="4" t="str">
        <f>HYPERLINK("http://141.218.60.56/~jnz1568/getInfo.php?workbook=18_08.xlsx&amp;sheet=U0&amp;row=6279&amp;col=7&amp;number=0.0204&amp;sourceID=14","0.0204")</f>
        <v>0.0204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HYPERLINK("http://141.218.60.56/~jnz1568/getInfo.php?workbook=18_08.xlsx&amp;sheet=U0&amp;row=6280&amp;col=6&amp;number=4.6&amp;sourceID=14","4.6")</f>
        <v>4.6</v>
      </c>
      <c r="G6280" s="4" t="str">
        <f>HYPERLINK("http://141.218.60.56/~jnz1568/getInfo.php?workbook=18_08.xlsx&amp;sheet=U0&amp;row=6280&amp;col=7&amp;number=0.0204&amp;sourceID=14","0.0204")</f>
        <v>0.0204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HYPERLINK("http://141.218.60.56/~jnz1568/getInfo.php?workbook=18_08.xlsx&amp;sheet=U0&amp;row=6281&amp;col=6&amp;number=4.7&amp;sourceID=14","4.7")</f>
        <v>4.7</v>
      </c>
      <c r="G6281" s="4" t="str">
        <f>HYPERLINK("http://141.218.60.56/~jnz1568/getInfo.php?workbook=18_08.xlsx&amp;sheet=U0&amp;row=6281&amp;col=7&amp;number=0.0203&amp;sourceID=14","0.0203")</f>
        <v>0.0203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HYPERLINK("http://141.218.60.56/~jnz1568/getInfo.php?workbook=18_08.xlsx&amp;sheet=U0&amp;row=6282&amp;col=6&amp;number=4.8&amp;sourceID=14","4.8")</f>
        <v>4.8</v>
      </c>
      <c r="G6282" s="4" t="str">
        <f>HYPERLINK("http://141.218.60.56/~jnz1568/getInfo.php?workbook=18_08.xlsx&amp;sheet=U0&amp;row=6282&amp;col=7&amp;number=0.0203&amp;sourceID=14","0.0203")</f>
        <v>0.0203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HYPERLINK("http://141.218.60.56/~jnz1568/getInfo.php?workbook=18_08.xlsx&amp;sheet=U0&amp;row=6283&amp;col=6&amp;number=4.9&amp;sourceID=14","4.9")</f>
        <v>4.9</v>
      </c>
      <c r="G6283" s="4" t="str">
        <f>HYPERLINK("http://141.218.60.56/~jnz1568/getInfo.php?workbook=18_08.xlsx&amp;sheet=U0&amp;row=6283&amp;col=7&amp;number=0.0202&amp;sourceID=14","0.0202")</f>
        <v>0.0202</v>
      </c>
    </row>
    <row r="6284" spans="1:7">
      <c r="A6284" s="3">
        <v>18</v>
      </c>
      <c r="B6284" s="3">
        <v>8</v>
      </c>
      <c r="C6284" s="3" t="s">
        <v>75</v>
      </c>
      <c r="D6284" s="3">
        <v>7</v>
      </c>
      <c r="E6284" s="3">
        <v>1</v>
      </c>
      <c r="F6284" s="4" t="str">
        <f>HYPERLINK("http://141.218.60.56/~jnz1568/getInfo.php?workbook=18_08.xlsx&amp;sheet=U0&amp;row=6284&amp;col=6&amp;number=3&amp;sourceID=14","3")</f>
        <v>3</v>
      </c>
      <c r="G6284" s="4" t="str">
        <f>HYPERLINK("http://141.218.60.56/~jnz1568/getInfo.php?workbook=18_08.xlsx&amp;sheet=U0&amp;row=6284&amp;col=7&amp;number=0.0346&amp;sourceID=14","0.0346")</f>
        <v>0.0346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HYPERLINK("http://141.218.60.56/~jnz1568/getInfo.php?workbook=18_08.xlsx&amp;sheet=U0&amp;row=6285&amp;col=6&amp;number=3.1&amp;sourceID=14","3.1")</f>
        <v>3.1</v>
      </c>
      <c r="G6285" s="4" t="str">
        <f>HYPERLINK("http://141.218.60.56/~jnz1568/getInfo.php?workbook=18_08.xlsx&amp;sheet=U0&amp;row=6285&amp;col=7&amp;number=0.0346&amp;sourceID=14","0.0346")</f>
        <v>0.0346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HYPERLINK("http://141.218.60.56/~jnz1568/getInfo.php?workbook=18_08.xlsx&amp;sheet=U0&amp;row=6286&amp;col=6&amp;number=3.2&amp;sourceID=14","3.2")</f>
        <v>3.2</v>
      </c>
      <c r="G6286" s="4" t="str">
        <f>HYPERLINK("http://141.218.60.56/~jnz1568/getInfo.php?workbook=18_08.xlsx&amp;sheet=U0&amp;row=6286&amp;col=7&amp;number=0.0346&amp;sourceID=14","0.0346")</f>
        <v>0.0346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HYPERLINK("http://141.218.60.56/~jnz1568/getInfo.php?workbook=18_08.xlsx&amp;sheet=U0&amp;row=6287&amp;col=6&amp;number=3.3&amp;sourceID=14","3.3")</f>
        <v>3.3</v>
      </c>
      <c r="G6287" s="4" t="str">
        <f>HYPERLINK("http://141.218.60.56/~jnz1568/getInfo.php?workbook=18_08.xlsx&amp;sheet=U0&amp;row=6287&amp;col=7&amp;number=0.0346&amp;sourceID=14","0.0346")</f>
        <v>0.0346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HYPERLINK("http://141.218.60.56/~jnz1568/getInfo.php?workbook=18_08.xlsx&amp;sheet=U0&amp;row=6288&amp;col=6&amp;number=3.4&amp;sourceID=14","3.4")</f>
        <v>3.4</v>
      </c>
      <c r="G6288" s="4" t="str">
        <f>HYPERLINK("http://141.218.60.56/~jnz1568/getInfo.php?workbook=18_08.xlsx&amp;sheet=U0&amp;row=6288&amp;col=7&amp;number=0.0346&amp;sourceID=14","0.0346")</f>
        <v>0.0346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HYPERLINK("http://141.218.60.56/~jnz1568/getInfo.php?workbook=18_08.xlsx&amp;sheet=U0&amp;row=6289&amp;col=6&amp;number=3.5&amp;sourceID=14","3.5")</f>
        <v>3.5</v>
      </c>
      <c r="G6289" s="4" t="str">
        <f>HYPERLINK("http://141.218.60.56/~jnz1568/getInfo.php?workbook=18_08.xlsx&amp;sheet=U0&amp;row=6289&amp;col=7&amp;number=0.0346&amp;sourceID=14","0.0346")</f>
        <v>0.0346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HYPERLINK("http://141.218.60.56/~jnz1568/getInfo.php?workbook=18_08.xlsx&amp;sheet=U0&amp;row=6290&amp;col=6&amp;number=3.6&amp;sourceID=14","3.6")</f>
        <v>3.6</v>
      </c>
      <c r="G6290" s="4" t="str">
        <f>HYPERLINK("http://141.218.60.56/~jnz1568/getInfo.php?workbook=18_08.xlsx&amp;sheet=U0&amp;row=6290&amp;col=7&amp;number=0.0346&amp;sourceID=14","0.0346")</f>
        <v>0.0346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HYPERLINK("http://141.218.60.56/~jnz1568/getInfo.php?workbook=18_08.xlsx&amp;sheet=U0&amp;row=6291&amp;col=6&amp;number=3.7&amp;sourceID=14","3.7")</f>
        <v>3.7</v>
      </c>
      <c r="G6291" s="4" t="str">
        <f>HYPERLINK("http://141.218.60.56/~jnz1568/getInfo.php?workbook=18_08.xlsx&amp;sheet=U0&amp;row=6291&amp;col=7&amp;number=0.0346&amp;sourceID=14","0.0346")</f>
        <v>0.0346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HYPERLINK("http://141.218.60.56/~jnz1568/getInfo.php?workbook=18_08.xlsx&amp;sheet=U0&amp;row=6292&amp;col=6&amp;number=3.8&amp;sourceID=14","3.8")</f>
        <v>3.8</v>
      </c>
      <c r="G6292" s="4" t="str">
        <f>HYPERLINK("http://141.218.60.56/~jnz1568/getInfo.php?workbook=18_08.xlsx&amp;sheet=U0&amp;row=6292&amp;col=7&amp;number=0.0346&amp;sourceID=14","0.0346")</f>
        <v>0.0346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HYPERLINK("http://141.218.60.56/~jnz1568/getInfo.php?workbook=18_08.xlsx&amp;sheet=U0&amp;row=6293&amp;col=6&amp;number=3.9&amp;sourceID=14","3.9")</f>
        <v>3.9</v>
      </c>
      <c r="G6293" s="4" t="str">
        <f>HYPERLINK("http://141.218.60.56/~jnz1568/getInfo.php?workbook=18_08.xlsx&amp;sheet=U0&amp;row=6293&amp;col=7&amp;number=0.0346&amp;sourceID=14","0.0346")</f>
        <v>0.0346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HYPERLINK("http://141.218.60.56/~jnz1568/getInfo.php?workbook=18_08.xlsx&amp;sheet=U0&amp;row=6294&amp;col=6&amp;number=4&amp;sourceID=14","4")</f>
        <v>4</v>
      </c>
      <c r="G6294" s="4" t="str">
        <f>HYPERLINK("http://141.218.60.56/~jnz1568/getInfo.php?workbook=18_08.xlsx&amp;sheet=U0&amp;row=6294&amp;col=7&amp;number=0.0347&amp;sourceID=14","0.0347")</f>
        <v>0.0347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HYPERLINK("http://141.218.60.56/~jnz1568/getInfo.php?workbook=18_08.xlsx&amp;sheet=U0&amp;row=6295&amp;col=6&amp;number=4.1&amp;sourceID=14","4.1")</f>
        <v>4.1</v>
      </c>
      <c r="G6295" s="4" t="str">
        <f>HYPERLINK("http://141.218.60.56/~jnz1568/getInfo.php?workbook=18_08.xlsx&amp;sheet=U0&amp;row=6295&amp;col=7&amp;number=0.0347&amp;sourceID=14","0.0347")</f>
        <v>0.0347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HYPERLINK("http://141.218.60.56/~jnz1568/getInfo.php?workbook=18_08.xlsx&amp;sheet=U0&amp;row=6296&amp;col=6&amp;number=4.2&amp;sourceID=14","4.2")</f>
        <v>4.2</v>
      </c>
      <c r="G6296" s="4" t="str">
        <f>HYPERLINK("http://141.218.60.56/~jnz1568/getInfo.php?workbook=18_08.xlsx&amp;sheet=U0&amp;row=6296&amp;col=7&amp;number=0.0347&amp;sourceID=14","0.0347")</f>
        <v>0.0347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HYPERLINK("http://141.218.60.56/~jnz1568/getInfo.php?workbook=18_08.xlsx&amp;sheet=U0&amp;row=6297&amp;col=6&amp;number=4.3&amp;sourceID=14","4.3")</f>
        <v>4.3</v>
      </c>
      <c r="G6297" s="4" t="str">
        <f>HYPERLINK("http://141.218.60.56/~jnz1568/getInfo.php?workbook=18_08.xlsx&amp;sheet=U0&amp;row=6297&amp;col=7&amp;number=0.0347&amp;sourceID=14","0.0347")</f>
        <v>0.0347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HYPERLINK("http://141.218.60.56/~jnz1568/getInfo.php?workbook=18_08.xlsx&amp;sheet=U0&amp;row=6298&amp;col=6&amp;number=4.4&amp;sourceID=14","4.4")</f>
        <v>4.4</v>
      </c>
      <c r="G6298" s="4" t="str">
        <f>HYPERLINK("http://141.218.60.56/~jnz1568/getInfo.php?workbook=18_08.xlsx&amp;sheet=U0&amp;row=6298&amp;col=7&amp;number=0.0347&amp;sourceID=14","0.0347")</f>
        <v>0.0347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HYPERLINK("http://141.218.60.56/~jnz1568/getInfo.php?workbook=18_08.xlsx&amp;sheet=U0&amp;row=6299&amp;col=6&amp;number=4.5&amp;sourceID=14","4.5")</f>
        <v>4.5</v>
      </c>
      <c r="G6299" s="4" t="str">
        <f>HYPERLINK("http://141.218.60.56/~jnz1568/getInfo.php?workbook=18_08.xlsx&amp;sheet=U0&amp;row=6299&amp;col=7&amp;number=0.0348&amp;sourceID=14","0.0348")</f>
        <v>0.0348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HYPERLINK("http://141.218.60.56/~jnz1568/getInfo.php?workbook=18_08.xlsx&amp;sheet=U0&amp;row=6300&amp;col=6&amp;number=4.6&amp;sourceID=14","4.6")</f>
        <v>4.6</v>
      </c>
      <c r="G6300" s="4" t="str">
        <f>HYPERLINK("http://141.218.60.56/~jnz1568/getInfo.php?workbook=18_08.xlsx&amp;sheet=U0&amp;row=6300&amp;col=7&amp;number=0.0348&amp;sourceID=14","0.0348")</f>
        <v>0.0348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HYPERLINK("http://141.218.60.56/~jnz1568/getInfo.php?workbook=18_08.xlsx&amp;sheet=U0&amp;row=6301&amp;col=6&amp;number=4.7&amp;sourceID=14","4.7")</f>
        <v>4.7</v>
      </c>
      <c r="G6301" s="4" t="str">
        <f>HYPERLINK("http://141.218.60.56/~jnz1568/getInfo.php?workbook=18_08.xlsx&amp;sheet=U0&amp;row=6301&amp;col=7&amp;number=0.0349&amp;sourceID=14","0.0349")</f>
        <v>0.0349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HYPERLINK("http://141.218.60.56/~jnz1568/getInfo.php?workbook=18_08.xlsx&amp;sheet=U0&amp;row=6302&amp;col=6&amp;number=4.8&amp;sourceID=14","4.8")</f>
        <v>4.8</v>
      </c>
      <c r="G6302" s="4" t="str">
        <f>HYPERLINK("http://141.218.60.56/~jnz1568/getInfo.php?workbook=18_08.xlsx&amp;sheet=U0&amp;row=6302&amp;col=7&amp;number=0.0349&amp;sourceID=14","0.0349")</f>
        <v>0.0349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HYPERLINK("http://141.218.60.56/~jnz1568/getInfo.php?workbook=18_08.xlsx&amp;sheet=U0&amp;row=6303&amp;col=6&amp;number=4.9&amp;sourceID=14","4.9")</f>
        <v>4.9</v>
      </c>
      <c r="G6303" s="4" t="str">
        <f>HYPERLINK("http://141.218.60.56/~jnz1568/getInfo.php?workbook=18_08.xlsx&amp;sheet=U0&amp;row=6303&amp;col=7&amp;number=0.035&amp;sourceID=14","0.035")</f>
        <v>0.035</v>
      </c>
    </row>
    <row r="6304" spans="1:7">
      <c r="A6304" s="3">
        <v>18</v>
      </c>
      <c r="B6304" s="3">
        <v>8</v>
      </c>
      <c r="C6304" s="3" t="s">
        <v>75</v>
      </c>
      <c r="D6304" s="3">
        <v>8</v>
      </c>
      <c r="E6304" s="3">
        <v>1</v>
      </c>
      <c r="F6304" s="4" t="str">
        <f>HYPERLINK("http://141.218.60.56/~jnz1568/getInfo.php?workbook=18_08.xlsx&amp;sheet=U0&amp;row=6304&amp;col=6&amp;number=3&amp;sourceID=14","3")</f>
        <v>3</v>
      </c>
      <c r="G6304" s="4" t="str">
        <f>HYPERLINK("http://141.218.60.56/~jnz1568/getInfo.php?workbook=18_08.xlsx&amp;sheet=U0&amp;row=6304&amp;col=7&amp;number=0.0286&amp;sourceID=14","0.0286")</f>
        <v>0.0286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HYPERLINK("http://141.218.60.56/~jnz1568/getInfo.php?workbook=18_08.xlsx&amp;sheet=U0&amp;row=6305&amp;col=6&amp;number=3.1&amp;sourceID=14","3.1")</f>
        <v>3.1</v>
      </c>
      <c r="G6305" s="4" t="str">
        <f>HYPERLINK("http://141.218.60.56/~jnz1568/getInfo.php?workbook=18_08.xlsx&amp;sheet=U0&amp;row=6305&amp;col=7&amp;number=0.0286&amp;sourceID=14","0.0286")</f>
        <v>0.0286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HYPERLINK("http://141.218.60.56/~jnz1568/getInfo.php?workbook=18_08.xlsx&amp;sheet=U0&amp;row=6306&amp;col=6&amp;number=3.2&amp;sourceID=14","3.2")</f>
        <v>3.2</v>
      </c>
      <c r="G6306" s="4" t="str">
        <f>HYPERLINK("http://141.218.60.56/~jnz1568/getInfo.php?workbook=18_08.xlsx&amp;sheet=U0&amp;row=6306&amp;col=7&amp;number=0.0286&amp;sourceID=14","0.0286")</f>
        <v>0.0286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HYPERLINK("http://141.218.60.56/~jnz1568/getInfo.php?workbook=18_08.xlsx&amp;sheet=U0&amp;row=6307&amp;col=6&amp;number=3.3&amp;sourceID=14","3.3")</f>
        <v>3.3</v>
      </c>
      <c r="G6307" s="4" t="str">
        <f>HYPERLINK("http://141.218.60.56/~jnz1568/getInfo.php?workbook=18_08.xlsx&amp;sheet=U0&amp;row=6307&amp;col=7&amp;number=0.0286&amp;sourceID=14","0.0286")</f>
        <v>0.0286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HYPERLINK("http://141.218.60.56/~jnz1568/getInfo.php?workbook=18_08.xlsx&amp;sheet=U0&amp;row=6308&amp;col=6&amp;number=3.4&amp;sourceID=14","3.4")</f>
        <v>3.4</v>
      </c>
      <c r="G6308" s="4" t="str">
        <f>HYPERLINK("http://141.218.60.56/~jnz1568/getInfo.php?workbook=18_08.xlsx&amp;sheet=U0&amp;row=6308&amp;col=7&amp;number=0.0286&amp;sourceID=14","0.0286")</f>
        <v>0.0286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HYPERLINK("http://141.218.60.56/~jnz1568/getInfo.php?workbook=18_08.xlsx&amp;sheet=U0&amp;row=6309&amp;col=6&amp;number=3.5&amp;sourceID=14","3.5")</f>
        <v>3.5</v>
      </c>
      <c r="G6309" s="4" t="str">
        <f>HYPERLINK("http://141.218.60.56/~jnz1568/getInfo.php?workbook=18_08.xlsx&amp;sheet=U0&amp;row=6309&amp;col=7&amp;number=0.0286&amp;sourceID=14","0.0286")</f>
        <v>0.0286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HYPERLINK("http://141.218.60.56/~jnz1568/getInfo.php?workbook=18_08.xlsx&amp;sheet=U0&amp;row=6310&amp;col=6&amp;number=3.6&amp;sourceID=14","3.6")</f>
        <v>3.6</v>
      </c>
      <c r="G6310" s="4" t="str">
        <f>HYPERLINK("http://141.218.60.56/~jnz1568/getInfo.php?workbook=18_08.xlsx&amp;sheet=U0&amp;row=6310&amp;col=7&amp;number=0.0286&amp;sourceID=14","0.0286")</f>
        <v>0.0286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HYPERLINK("http://141.218.60.56/~jnz1568/getInfo.php?workbook=18_08.xlsx&amp;sheet=U0&amp;row=6311&amp;col=6&amp;number=3.7&amp;sourceID=14","3.7")</f>
        <v>3.7</v>
      </c>
      <c r="G6311" s="4" t="str">
        <f>HYPERLINK("http://141.218.60.56/~jnz1568/getInfo.php?workbook=18_08.xlsx&amp;sheet=U0&amp;row=6311&amp;col=7&amp;number=0.0286&amp;sourceID=14","0.0286")</f>
        <v>0.0286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HYPERLINK("http://141.218.60.56/~jnz1568/getInfo.php?workbook=18_08.xlsx&amp;sheet=U0&amp;row=6312&amp;col=6&amp;number=3.8&amp;sourceID=14","3.8")</f>
        <v>3.8</v>
      </c>
      <c r="G6312" s="4" t="str">
        <f>HYPERLINK("http://141.218.60.56/~jnz1568/getInfo.php?workbook=18_08.xlsx&amp;sheet=U0&amp;row=6312&amp;col=7&amp;number=0.0286&amp;sourceID=14","0.0286")</f>
        <v>0.0286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HYPERLINK("http://141.218.60.56/~jnz1568/getInfo.php?workbook=18_08.xlsx&amp;sheet=U0&amp;row=6313&amp;col=6&amp;number=3.9&amp;sourceID=14","3.9")</f>
        <v>3.9</v>
      </c>
      <c r="G6313" s="4" t="str">
        <f>HYPERLINK("http://141.218.60.56/~jnz1568/getInfo.php?workbook=18_08.xlsx&amp;sheet=U0&amp;row=6313&amp;col=7&amp;number=0.0286&amp;sourceID=14","0.0286")</f>
        <v>0.0286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HYPERLINK("http://141.218.60.56/~jnz1568/getInfo.php?workbook=18_08.xlsx&amp;sheet=U0&amp;row=6314&amp;col=6&amp;number=4&amp;sourceID=14","4")</f>
        <v>4</v>
      </c>
      <c r="G6314" s="4" t="str">
        <f>HYPERLINK("http://141.218.60.56/~jnz1568/getInfo.php?workbook=18_08.xlsx&amp;sheet=U0&amp;row=6314&amp;col=7&amp;number=0.0286&amp;sourceID=14","0.0286")</f>
        <v>0.0286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HYPERLINK("http://141.218.60.56/~jnz1568/getInfo.php?workbook=18_08.xlsx&amp;sheet=U0&amp;row=6315&amp;col=6&amp;number=4.1&amp;sourceID=14","4.1")</f>
        <v>4.1</v>
      </c>
      <c r="G6315" s="4" t="str">
        <f>HYPERLINK("http://141.218.60.56/~jnz1568/getInfo.php?workbook=18_08.xlsx&amp;sheet=U0&amp;row=6315&amp;col=7&amp;number=0.0286&amp;sourceID=14","0.0286")</f>
        <v>0.0286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HYPERLINK("http://141.218.60.56/~jnz1568/getInfo.php?workbook=18_08.xlsx&amp;sheet=U0&amp;row=6316&amp;col=6&amp;number=4.2&amp;sourceID=14","4.2")</f>
        <v>4.2</v>
      </c>
      <c r="G6316" s="4" t="str">
        <f>HYPERLINK("http://141.218.60.56/~jnz1568/getInfo.php?workbook=18_08.xlsx&amp;sheet=U0&amp;row=6316&amp;col=7&amp;number=0.0286&amp;sourceID=14","0.0286")</f>
        <v>0.0286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HYPERLINK("http://141.218.60.56/~jnz1568/getInfo.php?workbook=18_08.xlsx&amp;sheet=U0&amp;row=6317&amp;col=6&amp;number=4.3&amp;sourceID=14","4.3")</f>
        <v>4.3</v>
      </c>
      <c r="G6317" s="4" t="str">
        <f>HYPERLINK("http://141.218.60.56/~jnz1568/getInfo.php?workbook=18_08.xlsx&amp;sheet=U0&amp;row=6317&amp;col=7&amp;number=0.0285&amp;sourceID=14","0.0285")</f>
        <v>0.0285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HYPERLINK("http://141.218.60.56/~jnz1568/getInfo.php?workbook=18_08.xlsx&amp;sheet=U0&amp;row=6318&amp;col=6&amp;number=4.4&amp;sourceID=14","4.4")</f>
        <v>4.4</v>
      </c>
      <c r="G6318" s="4" t="str">
        <f>HYPERLINK("http://141.218.60.56/~jnz1568/getInfo.php?workbook=18_08.xlsx&amp;sheet=U0&amp;row=6318&amp;col=7&amp;number=0.0285&amp;sourceID=14","0.0285")</f>
        <v>0.0285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HYPERLINK("http://141.218.60.56/~jnz1568/getInfo.php?workbook=18_08.xlsx&amp;sheet=U0&amp;row=6319&amp;col=6&amp;number=4.5&amp;sourceID=14","4.5")</f>
        <v>4.5</v>
      </c>
      <c r="G6319" s="4" t="str">
        <f>HYPERLINK("http://141.218.60.56/~jnz1568/getInfo.php?workbook=18_08.xlsx&amp;sheet=U0&amp;row=6319&amp;col=7&amp;number=0.0285&amp;sourceID=14","0.0285")</f>
        <v>0.0285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HYPERLINK("http://141.218.60.56/~jnz1568/getInfo.php?workbook=18_08.xlsx&amp;sheet=U0&amp;row=6320&amp;col=6&amp;number=4.6&amp;sourceID=14","4.6")</f>
        <v>4.6</v>
      </c>
      <c r="G6320" s="4" t="str">
        <f>HYPERLINK("http://141.218.60.56/~jnz1568/getInfo.php?workbook=18_08.xlsx&amp;sheet=U0&amp;row=6320&amp;col=7&amp;number=0.0284&amp;sourceID=14","0.0284")</f>
        <v>0.0284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HYPERLINK("http://141.218.60.56/~jnz1568/getInfo.php?workbook=18_08.xlsx&amp;sheet=U0&amp;row=6321&amp;col=6&amp;number=4.7&amp;sourceID=14","4.7")</f>
        <v>4.7</v>
      </c>
      <c r="G6321" s="4" t="str">
        <f>HYPERLINK("http://141.218.60.56/~jnz1568/getInfo.php?workbook=18_08.xlsx&amp;sheet=U0&amp;row=6321&amp;col=7&amp;number=0.0284&amp;sourceID=14","0.0284")</f>
        <v>0.0284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HYPERLINK("http://141.218.60.56/~jnz1568/getInfo.php?workbook=18_08.xlsx&amp;sheet=U0&amp;row=6322&amp;col=6&amp;number=4.8&amp;sourceID=14","4.8")</f>
        <v>4.8</v>
      </c>
      <c r="G6322" s="4" t="str">
        <f>HYPERLINK("http://141.218.60.56/~jnz1568/getInfo.php?workbook=18_08.xlsx&amp;sheet=U0&amp;row=6322&amp;col=7&amp;number=0.0283&amp;sourceID=14","0.0283")</f>
        <v>0.0283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HYPERLINK("http://141.218.60.56/~jnz1568/getInfo.php?workbook=18_08.xlsx&amp;sheet=U0&amp;row=6323&amp;col=6&amp;number=4.9&amp;sourceID=14","4.9")</f>
        <v>4.9</v>
      </c>
      <c r="G6323" s="4" t="str">
        <f>HYPERLINK("http://141.218.60.56/~jnz1568/getInfo.php?workbook=18_08.xlsx&amp;sheet=U0&amp;row=6323&amp;col=7&amp;number=0.0282&amp;sourceID=14","0.0282")</f>
        <v>0.0282</v>
      </c>
    </row>
    <row r="6324" spans="1:7">
      <c r="A6324" s="3">
        <v>18</v>
      </c>
      <c r="B6324" s="3">
        <v>8</v>
      </c>
      <c r="C6324" s="3" t="s">
        <v>75</v>
      </c>
      <c r="D6324" s="3">
        <v>9</v>
      </c>
      <c r="E6324" s="3">
        <v>1</v>
      </c>
      <c r="F6324" s="4" t="str">
        <f>HYPERLINK("http://141.218.60.56/~jnz1568/getInfo.php?workbook=18_08.xlsx&amp;sheet=U0&amp;row=6324&amp;col=6&amp;number=3&amp;sourceID=14","3")</f>
        <v>3</v>
      </c>
      <c r="G6324" s="4" t="str">
        <f>HYPERLINK("http://141.218.60.56/~jnz1568/getInfo.php?workbook=18_08.xlsx&amp;sheet=U0&amp;row=6324&amp;col=7&amp;number=0.0157&amp;sourceID=14","0.0157")</f>
        <v>0.0157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HYPERLINK("http://141.218.60.56/~jnz1568/getInfo.php?workbook=18_08.xlsx&amp;sheet=U0&amp;row=6325&amp;col=6&amp;number=3.1&amp;sourceID=14","3.1")</f>
        <v>3.1</v>
      </c>
      <c r="G6325" s="4" t="str">
        <f>HYPERLINK("http://141.218.60.56/~jnz1568/getInfo.php?workbook=18_08.xlsx&amp;sheet=U0&amp;row=6325&amp;col=7&amp;number=0.0157&amp;sourceID=14","0.0157")</f>
        <v>0.0157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HYPERLINK("http://141.218.60.56/~jnz1568/getInfo.php?workbook=18_08.xlsx&amp;sheet=U0&amp;row=6326&amp;col=6&amp;number=3.2&amp;sourceID=14","3.2")</f>
        <v>3.2</v>
      </c>
      <c r="G6326" s="4" t="str">
        <f>HYPERLINK("http://141.218.60.56/~jnz1568/getInfo.php?workbook=18_08.xlsx&amp;sheet=U0&amp;row=6326&amp;col=7&amp;number=0.0157&amp;sourceID=14","0.0157")</f>
        <v>0.0157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HYPERLINK("http://141.218.60.56/~jnz1568/getInfo.php?workbook=18_08.xlsx&amp;sheet=U0&amp;row=6327&amp;col=6&amp;number=3.3&amp;sourceID=14","3.3")</f>
        <v>3.3</v>
      </c>
      <c r="G6327" s="4" t="str">
        <f>HYPERLINK("http://141.218.60.56/~jnz1568/getInfo.php?workbook=18_08.xlsx&amp;sheet=U0&amp;row=6327&amp;col=7&amp;number=0.0157&amp;sourceID=14","0.0157")</f>
        <v>0.0157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HYPERLINK("http://141.218.60.56/~jnz1568/getInfo.php?workbook=18_08.xlsx&amp;sheet=U0&amp;row=6328&amp;col=6&amp;number=3.4&amp;sourceID=14","3.4")</f>
        <v>3.4</v>
      </c>
      <c r="G6328" s="4" t="str">
        <f>HYPERLINK("http://141.218.60.56/~jnz1568/getInfo.php?workbook=18_08.xlsx&amp;sheet=U0&amp;row=6328&amp;col=7&amp;number=0.0157&amp;sourceID=14","0.0157")</f>
        <v>0.0157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HYPERLINK("http://141.218.60.56/~jnz1568/getInfo.php?workbook=18_08.xlsx&amp;sheet=U0&amp;row=6329&amp;col=6&amp;number=3.5&amp;sourceID=14","3.5")</f>
        <v>3.5</v>
      </c>
      <c r="G6329" s="4" t="str">
        <f>HYPERLINK("http://141.218.60.56/~jnz1568/getInfo.php?workbook=18_08.xlsx&amp;sheet=U0&amp;row=6329&amp;col=7&amp;number=0.0157&amp;sourceID=14","0.0157")</f>
        <v>0.0157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HYPERLINK("http://141.218.60.56/~jnz1568/getInfo.php?workbook=18_08.xlsx&amp;sheet=U0&amp;row=6330&amp;col=6&amp;number=3.6&amp;sourceID=14","3.6")</f>
        <v>3.6</v>
      </c>
      <c r="G6330" s="4" t="str">
        <f>HYPERLINK("http://141.218.60.56/~jnz1568/getInfo.php?workbook=18_08.xlsx&amp;sheet=U0&amp;row=6330&amp;col=7&amp;number=0.0157&amp;sourceID=14","0.0157")</f>
        <v>0.0157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HYPERLINK("http://141.218.60.56/~jnz1568/getInfo.php?workbook=18_08.xlsx&amp;sheet=U0&amp;row=6331&amp;col=6&amp;number=3.7&amp;sourceID=14","3.7")</f>
        <v>3.7</v>
      </c>
      <c r="G6331" s="4" t="str">
        <f>HYPERLINK("http://141.218.60.56/~jnz1568/getInfo.php?workbook=18_08.xlsx&amp;sheet=U0&amp;row=6331&amp;col=7&amp;number=0.0157&amp;sourceID=14","0.0157")</f>
        <v>0.0157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HYPERLINK("http://141.218.60.56/~jnz1568/getInfo.php?workbook=18_08.xlsx&amp;sheet=U0&amp;row=6332&amp;col=6&amp;number=3.8&amp;sourceID=14","3.8")</f>
        <v>3.8</v>
      </c>
      <c r="G6332" s="4" t="str">
        <f>HYPERLINK("http://141.218.60.56/~jnz1568/getInfo.php?workbook=18_08.xlsx&amp;sheet=U0&amp;row=6332&amp;col=7&amp;number=0.0157&amp;sourceID=14","0.0157")</f>
        <v>0.0157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HYPERLINK("http://141.218.60.56/~jnz1568/getInfo.php?workbook=18_08.xlsx&amp;sheet=U0&amp;row=6333&amp;col=6&amp;number=3.9&amp;sourceID=14","3.9")</f>
        <v>3.9</v>
      </c>
      <c r="G6333" s="4" t="str">
        <f>HYPERLINK("http://141.218.60.56/~jnz1568/getInfo.php?workbook=18_08.xlsx&amp;sheet=U0&amp;row=6333&amp;col=7&amp;number=0.0157&amp;sourceID=14","0.0157")</f>
        <v>0.0157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HYPERLINK("http://141.218.60.56/~jnz1568/getInfo.php?workbook=18_08.xlsx&amp;sheet=U0&amp;row=6334&amp;col=6&amp;number=4&amp;sourceID=14","4")</f>
        <v>4</v>
      </c>
      <c r="G6334" s="4" t="str">
        <f>HYPERLINK("http://141.218.60.56/~jnz1568/getInfo.php?workbook=18_08.xlsx&amp;sheet=U0&amp;row=6334&amp;col=7&amp;number=0.0157&amp;sourceID=14","0.0157")</f>
        <v>0.0157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HYPERLINK("http://141.218.60.56/~jnz1568/getInfo.php?workbook=18_08.xlsx&amp;sheet=U0&amp;row=6335&amp;col=6&amp;number=4.1&amp;sourceID=14","4.1")</f>
        <v>4.1</v>
      </c>
      <c r="G6335" s="4" t="str">
        <f>HYPERLINK("http://141.218.60.56/~jnz1568/getInfo.php?workbook=18_08.xlsx&amp;sheet=U0&amp;row=6335&amp;col=7&amp;number=0.0157&amp;sourceID=14","0.0157")</f>
        <v>0.0157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HYPERLINK("http://141.218.60.56/~jnz1568/getInfo.php?workbook=18_08.xlsx&amp;sheet=U0&amp;row=6336&amp;col=6&amp;number=4.2&amp;sourceID=14","4.2")</f>
        <v>4.2</v>
      </c>
      <c r="G6336" s="4" t="str">
        <f>HYPERLINK("http://141.218.60.56/~jnz1568/getInfo.php?workbook=18_08.xlsx&amp;sheet=U0&amp;row=6336&amp;col=7&amp;number=0.0157&amp;sourceID=14","0.0157")</f>
        <v>0.0157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HYPERLINK("http://141.218.60.56/~jnz1568/getInfo.php?workbook=18_08.xlsx&amp;sheet=U0&amp;row=6337&amp;col=6&amp;number=4.3&amp;sourceID=14","4.3")</f>
        <v>4.3</v>
      </c>
      <c r="G6337" s="4" t="str">
        <f>HYPERLINK("http://141.218.60.56/~jnz1568/getInfo.php?workbook=18_08.xlsx&amp;sheet=U0&amp;row=6337&amp;col=7&amp;number=0.0156&amp;sourceID=14","0.0156")</f>
        <v>0.0156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HYPERLINK("http://141.218.60.56/~jnz1568/getInfo.php?workbook=18_08.xlsx&amp;sheet=U0&amp;row=6338&amp;col=6&amp;number=4.4&amp;sourceID=14","4.4")</f>
        <v>4.4</v>
      </c>
      <c r="G6338" s="4" t="str">
        <f>HYPERLINK("http://141.218.60.56/~jnz1568/getInfo.php?workbook=18_08.xlsx&amp;sheet=U0&amp;row=6338&amp;col=7&amp;number=0.0156&amp;sourceID=14","0.0156")</f>
        <v>0.0156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HYPERLINK("http://141.218.60.56/~jnz1568/getInfo.php?workbook=18_08.xlsx&amp;sheet=U0&amp;row=6339&amp;col=6&amp;number=4.5&amp;sourceID=14","4.5")</f>
        <v>4.5</v>
      </c>
      <c r="G6339" s="4" t="str">
        <f>HYPERLINK("http://141.218.60.56/~jnz1568/getInfo.php?workbook=18_08.xlsx&amp;sheet=U0&amp;row=6339&amp;col=7&amp;number=0.0156&amp;sourceID=14","0.0156")</f>
        <v>0.0156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HYPERLINK("http://141.218.60.56/~jnz1568/getInfo.php?workbook=18_08.xlsx&amp;sheet=U0&amp;row=6340&amp;col=6&amp;number=4.6&amp;sourceID=14","4.6")</f>
        <v>4.6</v>
      </c>
      <c r="G6340" s="4" t="str">
        <f>HYPERLINK("http://141.218.60.56/~jnz1568/getInfo.php?workbook=18_08.xlsx&amp;sheet=U0&amp;row=6340&amp;col=7&amp;number=0.0156&amp;sourceID=14","0.0156")</f>
        <v>0.0156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HYPERLINK("http://141.218.60.56/~jnz1568/getInfo.php?workbook=18_08.xlsx&amp;sheet=U0&amp;row=6341&amp;col=6&amp;number=4.7&amp;sourceID=14","4.7")</f>
        <v>4.7</v>
      </c>
      <c r="G6341" s="4" t="str">
        <f>HYPERLINK("http://141.218.60.56/~jnz1568/getInfo.php?workbook=18_08.xlsx&amp;sheet=U0&amp;row=6341&amp;col=7&amp;number=0.0156&amp;sourceID=14","0.0156")</f>
        <v>0.0156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HYPERLINK("http://141.218.60.56/~jnz1568/getInfo.php?workbook=18_08.xlsx&amp;sheet=U0&amp;row=6342&amp;col=6&amp;number=4.8&amp;sourceID=14","4.8")</f>
        <v>4.8</v>
      </c>
      <c r="G6342" s="4" t="str">
        <f>HYPERLINK("http://141.218.60.56/~jnz1568/getInfo.php?workbook=18_08.xlsx&amp;sheet=U0&amp;row=6342&amp;col=7&amp;number=0.0155&amp;sourceID=14","0.0155")</f>
        <v>0.0155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HYPERLINK("http://141.218.60.56/~jnz1568/getInfo.php?workbook=18_08.xlsx&amp;sheet=U0&amp;row=6343&amp;col=6&amp;number=4.9&amp;sourceID=14","4.9")</f>
        <v>4.9</v>
      </c>
      <c r="G6343" s="4" t="str">
        <f>HYPERLINK("http://141.218.60.56/~jnz1568/getInfo.php?workbook=18_08.xlsx&amp;sheet=U0&amp;row=6343&amp;col=7&amp;number=0.0155&amp;sourceID=14","0.0155")</f>
        <v>0.0155</v>
      </c>
    </row>
    <row r="6344" spans="1:7">
      <c r="A6344" s="3">
        <v>18</v>
      </c>
      <c r="B6344" s="3">
        <v>8</v>
      </c>
      <c r="C6344" s="3" t="s">
        <v>76</v>
      </c>
      <c r="D6344" s="3">
        <v>0</v>
      </c>
      <c r="E6344" s="3">
        <v>1</v>
      </c>
      <c r="F6344" s="4" t="str">
        <f>HYPERLINK("http://141.218.60.56/~jnz1568/getInfo.php?workbook=18_08.xlsx&amp;sheet=U0&amp;row=6344&amp;col=6&amp;number=3&amp;sourceID=14","3")</f>
        <v>3</v>
      </c>
      <c r="G6344" s="4" t="str">
        <f>HYPERLINK("http://141.218.60.56/~jnz1568/getInfo.php?workbook=18_08.xlsx&amp;sheet=U0&amp;row=6344&amp;col=7&amp;number=0.00324&amp;sourceID=14","0.00324")</f>
        <v>0.00324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HYPERLINK("http://141.218.60.56/~jnz1568/getInfo.php?workbook=18_08.xlsx&amp;sheet=U0&amp;row=6345&amp;col=6&amp;number=3.1&amp;sourceID=14","3.1")</f>
        <v>3.1</v>
      </c>
      <c r="G6345" s="4" t="str">
        <f>HYPERLINK("http://141.218.60.56/~jnz1568/getInfo.php?workbook=18_08.xlsx&amp;sheet=U0&amp;row=6345&amp;col=7&amp;number=0.00324&amp;sourceID=14","0.00324")</f>
        <v>0.00324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HYPERLINK("http://141.218.60.56/~jnz1568/getInfo.php?workbook=18_08.xlsx&amp;sheet=U0&amp;row=6346&amp;col=6&amp;number=3.2&amp;sourceID=14","3.2")</f>
        <v>3.2</v>
      </c>
      <c r="G6346" s="4" t="str">
        <f>HYPERLINK("http://141.218.60.56/~jnz1568/getInfo.php?workbook=18_08.xlsx&amp;sheet=U0&amp;row=6346&amp;col=7&amp;number=0.00324&amp;sourceID=14","0.00324")</f>
        <v>0.00324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HYPERLINK("http://141.218.60.56/~jnz1568/getInfo.php?workbook=18_08.xlsx&amp;sheet=U0&amp;row=6347&amp;col=6&amp;number=3.3&amp;sourceID=14","3.3")</f>
        <v>3.3</v>
      </c>
      <c r="G6347" s="4" t="str">
        <f>HYPERLINK("http://141.218.60.56/~jnz1568/getInfo.php?workbook=18_08.xlsx&amp;sheet=U0&amp;row=6347&amp;col=7&amp;number=0.00324&amp;sourceID=14","0.00324")</f>
        <v>0.00324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HYPERLINK("http://141.218.60.56/~jnz1568/getInfo.php?workbook=18_08.xlsx&amp;sheet=U0&amp;row=6348&amp;col=6&amp;number=3.4&amp;sourceID=14","3.4")</f>
        <v>3.4</v>
      </c>
      <c r="G6348" s="4" t="str">
        <f>HYPERLINK("http://141.218.60.56/~jnz1568/getInfo.php?workbook=18_08.xlsx&amp;sheet=U0&amp;row=6348&amp;col=7&amp;number=0.00324&amp;sourceID=14","0.00324")</f>
        <v>0.00324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HYPERLINK("http://141.218.60.56/~jnz1568/getInfo.php?workbook=18_08.xlsx&amp;sheet=U0&amp;row=6349&amp;col=6&amp;number=3.5&amp;sourceID=14","3.5")</f>
        <v>3.5</v>
      </c>
      <c r="G6349" s="4" t="str">
        <f>HYPERLINK("http://141.218.60.56/~jnz1568/getInfo.php?workbook=18_08.xlsx&amp;sheet=U0&amp;row=6349&amp;col=7&amp;number=0.00324&amp;sourceID=14","0.00324")</f>
        <v>0.00324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HYPERLINK("http://141.218.60.56/~jnz1568/getInfo.php?workbook=18_08.xlsx&amp;sheet=U0&amp;row=6350&amp;col=6&amp;number=3.6&amp;sourceID=14","3.6")</f>
        <v>3.6</v>
      </c>
      <c r="G6350" s="4" t="str">
        <f>HYPERLINK("http://141.218.60.56/~jnz1568/getInfo.php?workbook=18_08.xlsx&amp;sheet=U0&amp;row=6350&amp;col=7&amp;number=0.00323&amp;sourceID=14","0.00323")</f>
        <v>0.00323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HYPERLINK("http://141.218.60.56/~jnz1568/getInfo.php?workbook=18_08.xlsx&amp;sheet=U0&amp;row=6351&amp;col=6&amp;number=3.7&amp;sourceID=14","3.7")</f>
        <v>3.7</v>
      </c>
      <c r="G6351" s="4" t="str">
        <f>HYPERLINK("http://141.218.60.56/~jnz1568/getInfo.php?workbook=18_08.xlsx&amp;sheet=U0&amp;row=6351&amp;col=7&amp;number=0.00323&amp;sourceID=14","0.00323")</f>
        <v>0.00323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HYPERLINK("http://141.218.60.56/~jnz1568/getInfo.php?workbook=18_08.xlsx&amp;sheet=U0&amp;row=6352&amp;col=6&amp;number=3.8&amp;sourceID=14","3.8")</f>
        <v>3.8</v>
      </c>
      <c r="G6352" s="4" t="str">
        <f>HYPERLINK("http://141.218.60.56/~jnz1568/getInfo.php?workbook=18_08.xlsx&amp;sheet=U0&amp;row=6352&amp;col=7&amp;number=0.00323&amp;sourceID=14","0.00323")</f>
        <v>0.00323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HYPERLINK("http://141.218.60.56/~jnz1568/getInfo.php?workbook=18_08.xlsx&amp;sheet=U0&amp;row=6353&amp;col=6&amp;number=3.9&amp;sourceID=14","3.9")</f>
        <v>3.9</v>
      </c>
      <c r="G6353" s="4" t="str">
        <f>HYPERLINK("http://141.218.60.56/~jnz1568/getInfo.php?workbook=18_08.xlsx&amp;sheet=U0&amp;row=6353&amp;col=7&amp;number=0.00323&amp;sourceID=14","0.00323")</f>
        <v>0.00323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HYPERLINK("http://141.218.60.56/~jnz1568/getInfo.php?workbook=18_08.xlsx&amp;sheet=U0&amp;row=6354&amp;col=6&amp;number=4&amp;sourceID=14","4")</f>
        <v>4</v>
      </c>
      <c r="G6354" s="4" t="str">
        <f>HYPERLINK("http://141.218.60.56/~jnz1568/getInfo.php?workbook=18_08.xlsx&amp;sheet=U0&amp;row=6354&amp;col=7&amp;number=0.00323&amp;sourceID=14","0.00323")</f>
        <v>0.00323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HYPERLINK("http://141.218.60.56/~jnz1568/getInfo.php?workbook=18_08.xlsx&amp;sheet=U0&amp;row=6355&amp;col=6&amp;number=4.1&amp;sourceID=14","4.1")</f>
        <v>4.1</v>
      </c>
      <c r="G6355" s="4" t="str">
        <f>HYPERLINK("http://141.218.60.56/~jnz1568/getInfo.php?workbook=18_08.xlsx&amp;sheet=U0&amp;row=6355&amp;col=7&amp;number=0.00323&amp;sourceID=14","0.00323")</f>
        <v>0.00323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HYPERLINK("http://141.218.60.56/~jnz1568/getInfo.php?workbook=18_08.xlsx&amp;sheet=U0&amp;row=6356&amp;col=6&amp;number=4.2&amp;sourceID=14","4.2")</f>
        <v>4.2</v>
      </c>
      <c r="G6356" s="4" t="str">
        <f>HYPERLINK("http://141.218.60.56/~jnz1568/getInfo.php?workbook=18_08.xlsx&amp;sheet=U0&amp;row=6356&amp;col=7&amp;number=0.00322&amp;sourceID=14","0.00322")</f>
        <v>0.00322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HYPERLINK("http://141.218.60.56/~jnz1568/getInfo.php?workbook=18_08.xlsx&amp;sheet=U0&amp;row=6357&amp;col=6&amp;number=4.3&amp;sourceID=14","4.3")</f>
        <v>4.3</v>
      </c>
      <c r="G6357" s="4" t="str">
        <f>HYPERLINK("http://141.218.60.56/~jnz1568/getInfo.php?workbook=18_08.xlsx&amp;sheet=U0&amp;row=6357&amp;col=7&amp;number=0.00322&amp;sourceID=14","0.00322")</f>
        <v>0.00322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HYPERLINK("http://141.218.60.56/~jnz1568/getInfo.php?workbook=18_08.xlsx&amp;sheet=U0&amp;row=6358&amp;col=6&amp;number=4.4&amp;sourceID=14","4.4")</f>
        <v>4.4</v>
      </c>
      <c r="G6358" s="4" t="str">
        <f>HYPERLINK("http://141.218.60.56/~jnz1568/getInfo.php?workbook=18_08.xlsx&amp;sheet=U0&amp;row=6358&amp;col=7&amp;number=0.00321&amp;sourceID=14","0.00321")</f>
        <v>0.00321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HYPERLINK("http://141.218.60.56/~jnz1568/getInfo.php?workbook=18_08.xlsx&amp;sheet=U0&amp;row=6359&amp;col=6&amp;number=4.5&amp;sourceID=14","4.5")</f>
        <v>4.5</v>
      </c>
      <c r="G6359" s="4" t="str">
        <f>HYPERLINK("http://141.218.60.56/~jnz1568/getInfo.php?workbook=18_08.xlsx&amp;sheet=U0&amp;row=6359&amp;col=7&amp;number=0.0032&amp;sourceID=14","0.0032")</f>
        <v>0.0032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HYPERLINK("http://141.218.60.56/~jnz1568/getInfo.php?workbook=18_08.xlsx&amp;sheet=U0&amp;row=6360&amp;col=6&amp;number=4.6&amp;sourceID=14","4.6")</f>
        <v>4.6</v>
      </c>
      <c r="G6360" s="4" t="str">
        <f>HYPERLINK("http://141.218.60.56/~jnz1568/getInfo.php?workbook=18_08.xlsx&amp;sheet=U0&amp;row=6360&amp;col=7&amp;number=0.0032&amp;sourceID=14","0.0032")</f>
        <v>0.0032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HYPERLINK("http://141.218.60.56/~jnz1568/getInfo.php?workbook=18_08.xlsx&amp;sheet=U0&amp;row=6361&amp;col=6&amp;number=4.7&amp;sourceID=14","4.7")</f>
        <v>4.7</v>
      </c>
      <c r="G6361" s="4" t="str">
        <f>HYPERLINK("http://141.218.60.56/~jnz1568/getInfo.php?workbook=18_08.xlsx&amp;sheet=U0&amp;row=6361&amp;col=7&amp;number=0.00318&amp;sourceID=14","0.00318")</f>
        <v>0.00318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HYPERLINK("http://141.218.60.56/~jnz1568/getInfo.php?workbook=18_08.xlsx&amp;sheet=U0&amp;row=6362&amp;col=6&amp;number=4.8&amp;sourceID=14","4.8")</f>
        <v>4.8</v>
      </c>
      <c r="G6362" s="4" t="str">
        <f>HYPERLINK("http://141.218.60.56/~jnz1568/getInfo.php?workbook=18_08.xlsx&amp;sheet=U0&amp;row=6362&amp;col=7&amp;number=0.00317&amp;sourceID=14","0.00317")</f>
        <v>0.00317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HYPERLINK("http://141.218.60.56/~jnz1568/getInfo.php?workbook=18_08.xlsx&amp;sheet=U0&amp;row=6363&amp;col=6&amp;number=4.9&amp;sourceID=14","4.9")</f>
        <v>4.9</v>
      </c>
      <c r="G6363" s="4" t="str">
        <f>HYPERLINK("http://141.218.60.56/~jnz1568/getInfo.php?workbook=18_08.xlsx&amp;sheet=U0&amp;row=6363&amp;col=7&amp;number=0.00315&amp;sourceID=14","0.00315")</f>
        <v>0.00315</v>
      </c>
    </row>
    <row r="6364" spans="1:7">
      <c r="A6364" s="3">
        <v>18</v>
      </c>
      <c r="B6364" s="3">
        <v>8</v>
      </c>
      <c r="C6364" s="3" t="s">
        <v>76</v>
      </c>
      <c r="D6364" s="3">
        <v>1</v>
      </c>
      <c r="E6364" s="3">
        <v>1</v>
      </c>
      <c r="F6364" s="4" t="str">
        <f>HYPERLINK("http://141.218.60.56/~jnz1568/getInfo.php?workbook=18_08.xlsx&amp;sheet=U0&amp;row=6364&amp;col=6&amp;number=3&amp;sourceID=14","3")</f>
        <v>3</v>
      </c>
      <c r="G6364" s="4" t="str">
        <f>HYPERLINK("http://141.218.60.56/~jnz1568/getInfo.php?workbook=18_08.xlsx&amp;sheet=U0&amp;row=6364&amp;col=7&amp;number=0.0113&amp;sourceID=14","0.0113")</f>
        <v>0.0113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HYPERLINK("http://141.218.60.56/~jnz1568/getInfo.php?workbook=18_08.xlsx&amp;sheet=U0&amp;row=6365&amp;col=6&amp;number=3.1&amp;sourceID=14","3.1")</f>
        <v>3.1</v>
      </c>
      <c r="G6365" s="4" t="str">
        <f>HYPERLINK("http://141.218.60.56/~jnz1568/getInfo.php?workbook=18_08.xlsx&amp;sheet=U0&amp;row=6365&amp;col=7&amp;number=0.0113&amp;sourceID=14","0.0113")</f>
        <v>0.0113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HYPERLINK("http://141.218.60.56/~jnz1568/getInfo.php?workbook=18_08.xlsx&amp;sheet=U0&amp;row=6366&amp;col=6&amp;number=3.2&amp;sourceID=14","3.2")</f>
        <v>3.2</v>
      </c>
      <c r="G6366" s="4" t="str">
        <f>HYPERLINK("http://141.218.60.56/~jnz1568/getInfo.php?workbook=18_08.xlsx&amp;sheet=U0&amp;row=6366&amp;col=7&amp;number=0.0113&amp;sourceID=14","0.0113")</f>
        <v>0.0113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HYPERLINK("http://141.218.60.56/~jnz1568/getInfo.php?workbook=18_08.xlsx&amp;sheet=U0&amp;row=6367&amp;col=6&amp;number=3.3&amp;sourceID=14","3.3")</f>
        <v>3.3</v>
      </c>
      <c r="G6367" s="4" t="str">
        <f>HYPERLINK("http://141.218.60.56/~jnz1568/getInfo.php?workbook=18_08.xlsx&amp;sheet=U0&amp;row=6367&amp;col=7&amp;number=0.0113&amp;sourceID=14","0.0113")</f>
        <v>0.0113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HYPERLINK("http://141.218.60.56/~jnz1568/getInfo.php?workbook=18_08.xlsx&amp;sheet=U0&amp;row=6368&amp;col=6&amp;number=3.4&amp;sourceID=14","3.4")</f>
        <v>3.4</v>
      </c>
      <c r="G6368" s="4" t="str">
        <f>HYPERLINK("http://141.218.60.56/~jnz1568/getInfo.php?workbook=18_08.xlsx&amp;sheet=U0&amp;row=6368&amp;col=7&amp;number=0.0113&amp;sourceID=14","0.0113")</f>
        <v>0.0113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HYPERLINK("http://141.218.60.56/~jnz1568/getInfo.php?workbook=18_08.xlsx&amp;sheet=U0&amp;row=6369&amp;col=6&amp;number=3.5&amp;sourceID=14","3.5")</f>
        <v>3.5</v>
      </c>
      <c r="G6369" s="4" t="str">
        <f>HYPERLINK("http://141.218.60.56/~jnz1568/getInfo.php?workbook=18_08.xlsx&amp;sheet=U0&amp;row=6369&amp;col=7&amp;number=0.0113&amp;sourceID=14","0.0113")</f>
        <v>0.0113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HYPERLINK("http://141.218.60.56/~jnz1568/getInfo.php?workbook=18_08.xlsx&amp;sheet=U0&amp;row=6370&amp;col=6&amp;number=3.6&amp;sourceID=14","3.6")</f>
        <v>3.6</v>
      </c>
      <c r="G6370" s="4" t="str">
        <f>HYPERLINK("http://141.218.60.56/~jnz1568/getInfo.php?workbook=18_08.xlsx&amp;sheet=U0&amp;row=6370&amp;col=7&amp;number=0.0113&amp;sourceID=14","0.0113")</f>
        <v>0.0113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HYPERLINK("http://141.218.60.56/~jnz1568/getInfo.php?workbook=18_08.xlsx&amp;sheet=U0&amp;row=6371&amp;col=6&amp;number=3.7&amp;sourceID=14","3.7")</f>
        <v>3.7</v>
      </c>
      <c r="G6371" s="4" t="str">
        <f>HYPERLINK("http://141.218.60.56/~jnz1568/getInfo.php?workbook=18_08.xlsx&amp;sheet=U0&amp;row=6371&amp;col=7&amp;number=0.0113&amp;sourceID=14","0.0113")</f>
        <v>0.0113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HYPERLINK("http://141.218.60.56/~jnz1568/getInfo.php?workbook=18_08.xlsx&amp;sheet=U0&amp;row=6372&amp;col=6&amp;number=3.8&amp;sourceID=14","3.8")</f>
        <v>3.8</v>
      </c>
      <c r="G6372" s="4" t="str">
        <f>HYPERLINK("http://141.218.60.56/~jnz1568/getInfo.php?workbook=18_08.xlsx&amp;sheet=U0&amp;row=6372&amp;col=7&amp;number=0.0113&amp;sourceID=14","0.0113")</f>
        <v>0.0113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HYPERLINK("http://141.218.60.56/~jnz1568/getInfo.php?workbook=18_08.xlsx&amp;sheet=U0&amp;row=6373&amp;col=6&amp;number=3.9&amp;sourceID=14","3.9")</f>
        <v>3.9</v>
      </c>
      <c r="G6373" s="4" t="str">
        <f>HYPERLINK("http://141.218.60.56/~jnz1568/getInfo.php?workbook=18_08.xlsx&amp;sheet=U0&amp;row=6373&amp;col=7&amp;number=0.0113&amp;sourceID=14","0.0113")</f>
        <v>0.0113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HYPERLINK("http://141.218.60.56/~jnz1568/getInfo.php?workbook=18_08.xlsx&amp;sheet=U0&amp;row=6374&amp;col=6&amp;number=4&amp;sourceID=14","4")</f>
        <v>4</v>
      </c>
      <c r="G6374" s="4" t="str">
        <f>HYPERLINK("http://141.218.60.56/~jnz1568/getInfo.php?workbook=18_08.xlsx&amp;sheet=U0&amp;row=6374&amp;col=7&amp;number=0.0113&amp;sourceID=14","0.0113")</f>
        <v>0.0113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HYPERLINK("http://141.218.60.56/~jnz1568/getInfo.php?workbook=18_08.xlsx&amp;sheet=U0&amp;row=6375&amp;col=6&amp;number=4.1&amp;sourceID=14","4.1")</f>
        <v>4.1</v>
      </c>
      <c r="G6375" s="4" t="str">
        <f>HYPERLINK("http://141.218.60.56/~jnz1568/getInfo.php?workbook=18_08.xlsx&amp;sheet=U0&amp;row=6375&amp;col=7&amp;number=0.0113&amp;sourceID=14","0.0113")</f>
        <v>0.0113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HYPERLINK("http://141.218.60.56/~jnz1568/getInfo.php?workbook=18_08.xlsx&amp;sheet=U0&amp;row=6376&amp;col=6&amp;number=4.2&amp;sourceID=14","4.2")</f>
        <v>4.2</v>
      </c>
      <c r="G6376" s="4" t="str">
        <f>HYPERLINK("http://141.218.60.56/~jnz1568/getInfo.php?workbook=18_08.xlsx&amp;sheet=U0&amp;row=6376&amp;col=7&amp;number=0.0113&amp;sourceID=14","0.0113")</f>
        <v>0.0113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HYPERLINK("http://141.218.60.56/~jnz1568/getInfo.php?workbook=18_08.xlsx&amp;sheet=U0&amp;row=6377&amp;col=6&amp;number=4.3&amp;sourceID=14","4.3")</f>
        <v>4.3</v>
      </c>
      <c r="G6377" s="4" t="str">
        <f>HYPERLINK("http://141.218.60.56/~jnz1568/getInfo.php?workbook=18_08.xlsx&amp;sheet=U0&amp;row=6377&amp;col=7&amp;number=0.0113&amp;sourceID=14","0.0113")</f>
        <v>0.0113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HYPERLINK("http://141.218.60.56/~jnz1568/getInfo.php?workbook=18_08.xlsx&amp;sheet=U0&amp;row=6378&amp;col=6&amp;number=4.4&amp;sourceID=14","4.4")</f>
        <v>4.4</v>
      </c>
      <c r="G6378" s="4" t="str">
        <f>HYPERLINK("http://141.218.60.56/~jnz1568/getInfo.php?workbook=18_08.xlsx&amp;sheet=U0&amp;row=6378&amp;col=7&amp;number=0.0113&amp;sourceID=14","0.0113")</f>
        <v>0.0113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HYPERLINK("http://141.218.60.56/~jnz1568/getInfo.php?workbook=18_08.xlsx&amp;sheet=U0&amp;row=6379&amp;col=6&amp;number=4.5&amp;sourceID=14","4.5")</f>
        <v>4.5</v>
      </c>
      <c r="G6379" s="4" t="str">
        <f>HYPERLINK("http://141.218.60.56/~jnz1568/getInfo.php?workbook=18_08.xlsx&amp;sheet=U0&amp;row=6379&amp;col=7&amp;number=0.0113&amp;sourceID=14","0.0113")</f>
        <v>0.0113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HYPERLINK("http://141.218.60.56/~jnz1568/getInfo.php?workbook=18_08.xlsx&amp;sheet=U0&amp;row=6380&amp;col=6&amp;number=4.6&amp;sourceID=14","4.6")</f>
        <v>4.6</v>
      </c>
      <c r="G6380" s="4" t="str">
        <f>HYPERLINK("http://141.218.60.56/~jnz1568/getInfo.php?workbook=18_08.xlsx&amp;sheet=U0&amp;row=6380&amp;col=7&amp;number=0.0113&amp;sourceID=14","0.0113")</f>
        <v>0.0113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HYPERLINK("http://141.218.60.56/~jnz1568/getInfo.php?workbook=18_08.xlsx&amp;sheet=U0&amp;row=6381&amp;col=6&amp;number=4.7&amp;sourceID=14","4.7")</f>
        <v>4.7</v>
      </c>
      <c r="G6381" s="4" t="str">
        <f>HYPERLINK("http://141.218.60.56/~jnz1568/getInfo.php?workbook=18_08.xlsx&amp;sheet=U0&amp;row=6381&amp;col=7&amp;number=0.0113&amp;sourceID=14","0.0113")</f>
        <v>0.0113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HYPERLINK("http://141.218.60.56/~jnz1568/getInfo.php?workbook=18_08.xlsx&amp;sheet=U0&amp;row=6382&amp;col=6&amp;number=4.8&amp;sourceID=14","4.8")</f>
        <v>4.8</v>
      </c>
      <c r="G6382" s="4" t="str">
        <f>HYPERLINK("http://141.218.60.56/~jnz1568/getInfo.php?workbook=18_08.xlsx&amp;sheet=U0&amp;row=6382&amp;col=7&amp;number=0.0113&amp;sourceID=14","0.0113")</f>
        <v>0.0113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HYPERLINK("http://141.218.60.56/~jnz1568/getInfo.php?workbook=18_08.xlsx&amp;sheet=U0&amp;row=6383&amp;col=6&amp;number=4.9&amp;sourceID=14","4.9")</f>
        <v>4.9</v>
      </c>
      <c r="G6383" s="4" t="str">
        <f>HYPERLINK("http://141.218.60.56/~jnz1568/getInfo.php?workbook=18_08.xlsx&amp;sheet=U0&amp;row=6383&amp;col=7&amp;number=0.0113&amp;sourceID=14","0.0113")</f>
        <v>0.0113</v>
      </c>
    </row>
    <row r="6384" spans="1:7">
      <c r="A6384" s="3">
        <v>18</v>
      </c>
      <c r="B6384" s="3">
        <v>8</v>
      </c>
      <c r="C6384" s="3" t="s">
        <v>76</v>
      </c>
      <c r="D6384" s="3">
        <v>2</v>
      </c>
      <c r="E6384" s="3">
        <v>1</v>
      </c>
      <c r="F6384" s="4" t="str">
        <f>HYPERLINK("http://141.218.60.56/~jnz1568/getInfo.php?workbook=18_08.xlsx&amp;sheet=U0&amp;row=6384&amp;col=6&amp;number=3&amp;sourceID=14","3")</f>
        <v>3</v>
      </c>
      <c r="G6384" s="4" t="str">
        <f>HYPERLINK("http://141.218.60.56/~jnz1568/getInfo.php?workbook=18_08.xlsx&amp;sheet=U0&amp;row=6384&amp;col=7&amp;number=0.0766&amp;sourceID=14","0.0766")</f>
        <v>0.0766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HYPERLINK("http://141.218.60.56/~jnz1568/getInfo.php?workbook=18_08.xlsx&amp;sheet=U0&amp;row=6385&amp;col=6&amp;number=3.1&amp;sourceID=14","3.1")</f>
        <v>3.1</v>
      </c>
      <c r="G6385" s="4" t="str">
        <f>HYPERLINK("http://141.218.60.56/~jnz1568/getInfo.php?workbook=18_08.xlsx&amp;sheet=U0&amp;row=6385&amp;col=7&amp;number=0.0766&amp;sourceID=14","0.0766")</f>
        <v>0.0766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HYPERLINK("http://141.218.60.56/~jnz1568/getInfo.php?workbook=18_08.xlsx&amp;sheet=U0&amp;row=6386&amp;col=6&amp;number=3.2&amp;sourceID=14","3.2")</f>
        <v>3.2</v>
      </c>
      <c r="G6386" s="4" t="str">
        <f>HYPERLINK("http://141.218.60.56/~jnz1568/getInfo.php?workbook=18_08.xlsx&amp;sheet=U0&amp;row=6386&amp;col=7&amp;number=0.0766&amp;sourceID=14","0.0766")</f>
        <v>0.0766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HYPERLINK("http://141.218.60.56/~jnz1568/getInfo.php?workbook=18_08.xlsx&amp;sheet=U0&amp;row=6387&amp;col=6&amp;number=3.3&amp;sourceID=14","3.3")</f>
        <v>3.3</v>
      </c>
      <c r="G6387" s="4" t="str">
        <f>HYPERLINK("http://141.218.60.56/~jnz1568/getInfo.php?workbook=18_08.xlsx&amp;sheet=U0&amp;row=6387&amp;col=7&amp;number=0.0766&amp;sourceID=14","0.0766")</f>
        <v>0.0766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HYPERLINK("http://141.218.60.56/~jnz1568/getInfo.php?workbook=18_08.xlsx&amp;sheet=U0&amp;row=6388&amp;col=6&amp;number=3.4&amp;sourceID=14","3.4")</f>
        <v>3.4</v>
      </c>
      <c r="G6388" s="4" t="str">
        <f>HYPERLINK("http://141.218.60.56/~jnz1568/getInfo.php?workbook=18_08.xlsx&amp;sheet=U0&amp;row=6388&amp;col=7&amp;number=0.0766&amp;sourceID=14","0.0766")</f>
        <v>0.0766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HYPERLINK("http://141.218.60.56/~jnz1568/getInfo.php?workbook=18_08.xlsx&amp;sheet=U0&amp;row=6389&amp;col=6&amp;number=3.5&amp;sourceID=14","3.5")</f>
        <v>3.5</v>
      </c>
      <c r="G6389" s="4" t="str">
        <f>HYPERLINK("http://141.218.60.56/~jnz1568/getInfo.php?workbook=18_08.xlsx&amp;sheet=U0&amp;row=6389&amp;col=7&amp;number=0.0767&amp;sourceID=14","0.0767")</f>
        <v>0.0767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HYPERLINK("http://141.218.60.56/~jnz1568/getInfo.php?workbook=18_08.xlsx&amp;sheet=U0&amp;row=6390&amp;col=6&amp;number=3.6&amp;sourceID=14","3.6")</f>
        <v>3.6</v>
      </c>
      <c r="G6390" s="4" t="str">
        <f>HYPERLINK("http://141.218.60.56/~jnz1568/getInfo.php?workbook=18_08.xlsx&amp;sheet=U0&amp;row=6390&amp;col=7&amp;number=0.0767&amp;sourceID=14","0.0767")</f>
        <v>0.0767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HYPERLINK("http://141.218.60.56/~jnz1568/getInfo.php?workbook=18_08.xlsx&amp;sheet=U0&amp;row=6391&amp;col=6&amp;number=3.7&amp;sourceID=14","3.7")</f>
        <v>3.7</v>
      </c>
      <c r="G6391" s="4" t="str">
        <f>HYPERLINK("http://141.218.60.56/~jnz1568/getInfo.php?workbook=18_08.xlsx&amp;sheet=U0&amp;row=6391&amp;col=7&amp;number=0.0767&amp;sourceID=14","0.0767")</f>
        <v>0.0767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HYPERLINK("http://141.218.60.56/~jnz1568/getInfo.php?workbook=18_08.xlsx&amp;sheet=U0&amp;row=6392&amp;col=6&amp;number=3.8&amp;sourceID=14","3.8")</f>
        <v>3.8</v>
      </c>
      <c r="G6392" s="4" t="str">
        <f>HYPERLINK("http://141.218.60.56/~jnz1568/getInfo.php?workbook=18_08.xlsx&amp;sheet=U0&amp;row=6392&amp;col=7&amp;number=0.0767&amp;sourceID=14","0.0767")</f>
        <v>0.0767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HYPERLINK("http://141.218.60.56/~jnz1568/getInfo.php?workbook=18_08.xlsx&amp;sheet=U0&amp;row=6393&amp;col=6&amp;number=3.9&amp;sourceID=14","3.9")</f>
        <v>3.9</v>
      </c>
      <c r="G6393" s="4" t="str">
        <f>HYPERLINK("http://141.218.60.56/~jnz1568/getInfo.php?workbook=18_08.xlsx&amp;sheet=U0&amp;row=6393&amp;col=7&amp;number=0.0768&amp;sourceID=14","0.0768")</f>
        <v>0.0768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HYPERLINK("http://141.218.60.56/~jnz1568/getInfo.php?workbook=18_08.xlsx&amp;sheet=U0&amp;row=6394&amp;col=6&amp;number=4&amp;sourceID=14","4")</f>
        <v>4</v>
      </c>
      <c r="G6394" s="4" t="str">
        <f>HYPERLINK("http://141.218.60.56/~jnz1568/getInfo.php?workbook=18_08.xlsx&amp;sheet=U0&amp;row=6394&amp;col=7&amp;number=0.0768&amp;sourceID=14","0.0768")</f>
        <v>0.0768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HYPERLINK("http://141.218.60.56/~jnz1568/getInfo.php?workbook=18_08.xlsx&amp;sheet=U0&amp;row=6395&amp;col=6&amp;number=4.1&amp;sourceID=14","4.1")</f>
        <v>4.1</v>
      </c>
      <c r="G6395" s="4" t="str">
        <f>HYPERLINK("http://141.218.60.56/~jnz1568/getInfo.php?workbook=18_08.xlsx&amp;sheet=U0&amp;row=6395&amp;col=7&amp;number=0.0769&amp;sourceID=14","0.0769")</f>
        <v>0.0769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HYPERLINK("http://141.218.60.56/~jnz1568/getInfo.php?workbook=18_08.xlsx&amp;sheet=U0&amp;row=6396&amp;col=6&amp;number=4.2&amp;sourceID=14","4.2")</f>
        <v>4.2</v>
      </c>
      <c r="G6396" s="4" t="str">
        <f>HYPERLINK("http://141.218.60.56/~jnz1568/getInfo.php?workbook=18_08.xlsx&amp;sheet=U0&amp;row=6396&amp;col=7&amp;number=0.0769&amp;sourceID=14","0.0769")</f>
        <v>0.0769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HYPERLINK("http://141.218.60.56/~jnz1568/getInfo.php?workbook=18_08.xlsx&amp;sheet=U0&amp;row=6397&amp;col=6&amp;number=4.3&amp;sourceID=14","4.3")</f>
        <v>4.3</v>
      </c>
      <c r="G6397" s="4" t="str">
        <f>HYPERLINK("http://141.218.60.56/~jnz1568/getInfo.php?workbook=18_08.xlsx&amp;sheet=U0&amp;row=6397&amp;col=7&amp;number=0.077&amp;sourceID=14","0.077")</f>
        <v>0.077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HYPERLINK("http://141.218.60.56/~jnz1568/getInfo.php?workbook=18_08.xlsx&amp;sheet=U0&amp;row=6398&amp;col=6&amp;number=4.4&amp;sourceID=14","4.4")</f>
        <v>4.4</v>
      </c>
      <c r="G6398" s="4" t="str">
        <f>HYPERLINK("http://141.218.60.56/~jnz1568/getInfo.php?workbook=18_08.xlsx&amp;sheet=U0&amp;row=6398&amp;col=7&amp;number=0.0771&amp;sourceID=14","0.0771")</f>
        <v>0.0771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HYPERLINK("http://141.218.60.56/~jnz1568/getInfo.php?workbook=18_08.xlsx&amp;sheet=U0&amp;row=6399&amp;col=6&amp;number=4.5&amp;sourceID=14","4.5")</f>
        <v>4.5</v>
      </c>
      <c r="G6399" s="4" t="str">
        <f>HYPERLINK("http://141.218.60.56/~jnz1568/getInfo.php?workbook=18_08.xlsx&amp;sheet=U0&amp;row=6399&amp;col=7&amp;number=0.0773&amp;sourceID=14","0.0773")</f>
        <v>0.0773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HYPERLINK("http://141.218.60.56/~jnz1568/getInfo.php?workbook=18_08.xlsx&amp;sheet=U0&amp;row=6400&amp;col=6&amp;number=4.6&amp;sourceID=14","4.6")</f>
        <v>4.6</v>
      </c>
      <c r="G6400" s="4" t="str">
        <f>HYPERLINK("http://141.218.60.56/~jnz1568/getInfo.php?workbook=18_08.xlsx&amp;sheet=U0&amp;row=6400&amp;col=7&amp;number=0.0774&amp;sourceID=14","0.0774")</f>
        <v>0.0774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HYPERLINK("http://141.218.60.56/~jnz1568/getInfo.php?workbook=18_08.xlsx&amp;sheet=U0&amp;row=6401&amp;col=6&amp;number=4.7&amp;sourceID=14","4.7")</f>
        <v>4.7</v>
      </c>
      <c r="G6401" s="4" t="str">
        <f>HYPERLINK("http://141.218.60.56/~jnz1568/getInfo.php?workbook=18_08.xlsx&amp;sheet=U0&amp;row=6401&amp;col=7&amp;number=0.0776&amp;sourceID=14","0.0776")</f>
        <v>0.0776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HYPERLINK("http://141.218.60.56/~jnz1568/getInfo.php?workbook=18_08.xlsx&amp;sheet=U0&amp;row=6402&amp;col=6&amp;number=4.8&amp;sourceID=14","4.8")</f>
        <v>4.8</v>
      </c>
      <c r="G6402" s="4" t="str">
        <f>HYPERLINK("http://141.218.60.56/~jnz1568/getInfo.php?workbook=18_08.xlsx&amp;sheet=U0&amp;row=6402&amp;col=7&amp;number=0.0779&amp;sourceID=14","0.0779")</f>
        <v>0.0779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HYPERLINK("http://141.218.60.56/~jnz1568/getInfo.php?workbook=18_08.xlsx&amp;sheet=U0&amp;row=6403&amp;col=6&amp;number=4.9&amp;sourceID=14","4.9")</f>
        <v>4.9</v>
      </c>
      <c r="G6403" s="4" t="str">
        <f>HYPERLINK("http://141.218.60.56/~jnz1568/getInfo.php?workbook=18_08.xlsx&amp;sheet=U0&amp;row=6403&amp;col=7&amp;number=0.0783&amp;sourceID=14","0.0783")</f>
        <v>0.0783</v>
      </c>
    </row>
    <row r="6404" spans="1:7">
      <c r="A6404" s="3">
        <v>18</v>
      </c>
      <c r="B6404" s="3">
        <v>8</v>
      </c>
      <c r="C6404" s="3" t="s">
        <v>76</v>
      </c>
      <c r="D6404" s="3">
        <v>3</v>
      </c>
      <c r="E6404" s="3">
        <v>1</v>
      </c>
      <c r="F6404" s="4" t="str">
        <f>HYPERLINK("http://141.218.60.56/~jnz1568/getInfo.php?workbook=18_08.xlsx&amp;sheet=U0&amp;row=6404&amp;col=6&amp;number=3&amp;sourceID=14","3")</f>
        <v>3</v>
      </c>
      <c r="G6404" s="4" t="str">
        <f>HYPERLINK("http://141.218.60.56/~jnz1568/getInfo.php?workbook=18_08.xlsx&amp;sheet=U0&amp;row=6404&amp;col=7&amp;number=0.00678&amp;sourceID=14","0.00678")</f>
        <v>0.00678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HYPERLINK("http://141.218.60.56/~jnz1568/getInfo.php?workbook=18_08.xlsx&amp;sheet=U0&amp;row=6405&amp;col=6&amp;number=3.1&amp;sourceID=14","3.1")</f>
        <v>3.1</v>
      </c>
      <c r="G6405" s="4" t="str">
        <f>HYPERLINK("http://141.218.60.56/~jnz1568/getInfo.php?workbook=18_08.xlsx&amp;sheet=U0&amp;row=6405&amp;col=7&amp;number=0.00678&amp;sourceID=14","0.00678")</f>
        <v>0.00678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HYPERLINK("http://141.218.60.56/~jnz1568/getInfo.php?workbook=18_08.xlsx&amp;sheet=U0&amp;row=6406&amp;col=6&amp;number=3.2&amp;sourceID=14","3.2")</f>
        <v>3.2</v>
      </c>
      <c r="G6406" s="4" t="str">
        <f>HYPERLINK("http://141.218.60.56/~jnz1568/getInfo.php?workbook=18_08.xlsx&amp;sheet=U0&amp;row=6406&amp;col=7&amp;number=0.00678&amp;sourceID=14","0.00678")</f>
        <v>0.00678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HYPERLINK("http://141.218.60.56/~jnz1568/getInfo.php?workbook=18_08.xlsx&amp;sheet=U0&amp;row=6407&amp;col=6&amp;number=3.3&amp;sourceID=14","3.3")</f>
        <v>3.3</v>
      </c>
      <c r="G6407" s="4" t="str">
        <f>HYPERLINK("http://141.218.60.56/~jnz1568/getInfo.php?workbook=18_08.xlsx&amp;sheet=U0&amp;row=6407&amp;col=7&amp;number=0.00678&amp;sourceID=14","0.00678")</f>
        <v>0.00678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HYPERLINK("http://141.218.60.56/~jnz1568/getInfo.php?workbook=18_08.xlsx&amp;sheet=U0&amp;row=6408&amp;col=6&amp;number=3.4&amp;sourceID=14","3.4")</f>
        <v>3.4</v>
      </c>
      <c r="G6408" s="4" t="str">
        <f>HYPERLINK("http://141.218.60.56/~jnz1568/getInfo.php?workbook=18_08.xlsx&amp;sheet=U0&amp;row=6408&amp;col=7&amp;number=0.00678&amp;sourceID=14","0.00678")</f>
        <v>0.00678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HYPERLINK("http://141.218.60.56/~jnz1568/getInfo.php?workbook=18_08.xlsx&amp;sheet=U0&amp;row=6409&amp;col=6&amp;number=3.5&amp;sourceID=14","3.5")</f>
        <v>3.5</v>
      </c>
      <c r="G6409" s="4" t="str">
        <f>HYPERLINK("http://141.218.60.56/~jnz1568/getInfo.php?workbook=18_08.xlsx&amp;sheet=U0&amp;row=6409&amp;col=7&amp;number=0.00678&amp;sourceID=14","0.00678")</f>
        <v>0.00678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HYPERLINK("http://141.218.60.56/~jnz1568/getInfo.php?workbook=18_08.xlsx&amp;sheet=U0&amp;row=6410&amp;col=6&amp;number=3.6&amp;sourceID=14","3.6")</f>
        <v>3.6</v>
      </c>
      <c r="G6410" s="4" t="str">
        <f>HYPERLINK("http://141.218.60.56/~jnz1568/getInfo.php?workbook=18_08.xlsx&amp;sheet=U0&amp;row=6410&amp;col=7&amp;number=0.00678&amp;sourceID=14","0.00678")</f>
        <v>0.00678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HYPERLINK("http://141.218.60.56/~jnz1568/getInfo.php?workbook=18_08.xlsx&amp;sheet=U0&amp;row=6411&amp;col=6&amp;number=3.7&amp;sourceID=14","3.7")</f>
        <v>3.7</v>
      </c>
      <c r="G6411" s="4" t="str">
        <f>HYPERLINK("http://141.218.60.56/~jnz1568/getInfo.php?workbook=18_08.xlsx&amp;sheet=U0&amp;row=6411&amp;col=7&amp;number=0.00678&amp;sourceID=14","0.00678")</f>
        <v>0.00678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HYPERLINK("http://141.218.60.56/~jnz1568/getInfo.php?workbook=18_08.xlsx&amp;sheet=U0&amp;row=6412&amp;col=6&amp;number=3.8&amp;sourceID=14","3.8")</f>
        <v>3.8</v>
      </c>
      <c r="G6412" s="4" t="str">
        <f>HYPERLINK("http://141.218.60.56/~jnz1568/getInfo.php?workbook=18_08.xlsx&amp;sheet=U0&amp;row=6412&amp;col=7&amp;number=0.00677&amp;sourceID=14","0.00677")</f>
        <v>0.00677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HYPERLINK("http://141.218.60.56/~jnz1568/getInfo.php?workbook=18_08.xlsx&amp;sheet=U0&amp;row=6413&amp;col=6&amp;number=3.9&amp;sourceID=14","3.9")</f>
        <v>3.9</v>
      </c>
      <c r="G6413" s="4" t="str">
        <f>HYPERLINK("http://141.218.60.56/~jnz1568/getInfo.php?workbook=18_08.xlsx&amp;sheet=U0&amp;row=6413&amp;col=7&amp;number=0.00677&amp;sourceID=14","0.00677")</f>
        <v>0.00677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HYPERLINK("http://141.218.60.56/~jnz1568/getInfo.php?workbook=18_08.xlsx&amp;sheet=U0&amp;row=6414&amp;col=6&amp;number=4&amp;sourceID=14","4")</f>
        <v>4</v>
      </c>
      <c r="G6414" s="4" t="str">
        <f>HYPERLINK("http://141.218.60.56/~jnz1568/getInfo.php?workbook=18_08.xlsx&amp;sheet=U0&amp;row=6414&amp;col=7&amp;number=0.00677&amp;sourceID=14","0.00677")</f>
        <v>0.00677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HYPERLINK("http://141.218.60.56/~jnz1568/getInfo.php?workbook=18_08.xlsx&amp;sheet=U0&amp;row=6415&amp;col=6&amp;number=4.1&amp;sourceID=14","4.1")</f>
        <v>4.1</v>
      </c>
      <c r="G6415" s="4" t="str">
        <f>HYPERLINK("http://141.218.60.56/~jnz1568/getInfo.php?workbook=18_08.xlsx&amp;sheet=U0&amp;row=6415&amp;col=7&amp;number=0.00677&amp;sourceID=14","0.00677")</f>
        <v>0.00677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HYPERLINK("http://141.218.60.56/~jnz1568/getInfo.php?workbook=18_08.xlsx&amp;sheet=U0&amp;row=6416&amp;col=6&amp;number=4.2&amp;sourceID=14","4.2")</f>
        <v>4.2</v>
      </c>
      <c r="G6416" s="4" t="str">
        <f>HYPERLINK("http://141.218.60.56/~jnz1568/getInfo.php?workbook=18_08.xlsx&amp;sheet=U0&amp;row=6416&amp;col=7&amp;number=0.00677&amp;sourceID=14","0.00677")</f>
        <v>0.00677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HYPERLINK("http://141.218.60.56/~jnz1568/getInfo.php?workbook=18_08.xlsx&amp;sheet=U0&amp;row=6417&amp;col=6&amp;number=4.3&amp;sourceID=14","4.3")</f>
        <v>4.3</v>
      </c>
      <c r="G6417" s="4" t="str">
        <f>HYPERLINK("http://141.218.60.56/~jnz1568/getInfo.php?workbook=18_08.xlsx&amp;sheet=U0&amp;row=6417&amp;col=7&amp;number=0.00676&amp;sourceID=14","0.00676")</f>
        <v>0.00676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HYPERLINK("http://141.218.60.56/~jnz1568/getInfo.php?workbook=18_08.xlsx&amp;sheet=U0&amp;row=6418&amp;col=6&amp;number=4.4&amp;sourceID=14","4.4")</f>
        <v>4.4</v>
      </c>
      <c r="G6418" s="4" t="str">
        <f>HYPERLINK("http://141.218.60.56/~jnz1568/getInfo.php?workbook=18_08.xlsx&amp;sheet=U0&amp;row=6418&amp;col=7&amp;number=0.00676&amp;sourceID=14","0.00676")</f>
        <v>0.00676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HYPERLINK("http://141.218.60.56/~jnz1568/getInfo.php?workbook=18_08.xlsx&amp;sheet=U0&amp;row=6419&amp;col=6&amp;number=4.5&amp;sourceID=14","4.5")</f>
        <v>4.5</v>
      </c>
      <c r="G6419" s="4" t="str">
        <f>HYPERLINK("http://141.218.60.56/~jnz1568/getInfo.php?workbook=18_08.xlsx&amp;sheet=U0&amp;row=6419&amp;col=7&amp;number=0.00675&amp;sourceID=14","0.00675")</f>
        <v>0.00675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HYPERLINK("http://141.218.60.56/~jnz1568/getInfo.php?workbook=18_08.xlsx&amp;sheet=U0&amp;row=6420&amp;col=6&amp;number=4.6&amp;sourceID=14","4.6")</f>
        <v>4.6</v>
      </c>
      <c r="G6420" s="4" t="str">
        <f>HYPERLINK("http://141.218.60.56/~jnz1568/getInfo.php?workbook=18_08.xlsx&amp;sheet=U0&amp;row=6420&amp;col=7&amp;number=0.00675&amp;sourceID=14","0.00675")</f>
        <v>0.00675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HYPERLINK("http://141.218.60.56/~jnz1568/getInfo.php?workbook=18_08.xlsx&amp;sheet=U0&amp;row=6421&amp;col=6&amp;number=4.7&amp;sourceID=14","4.7")</f>
        <v>4.7</v>
      </c>
      <c r="G6421" s="4" t="str">
        <f>HYPERLINK("http://141.218.60.56/~jnz1568/getInfo.php?workbook=18_08.xlsx&amp;sheet=U0&amp;row=6421&amp;col=7&amp;number=0.00674&amp;sourceID=14","0.00674")</f>
        <v>0.00674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HYPERLINK("http://141.218.60.56/~jnz1568/getInfo.php?workbook=18_08.xlsx&amp;sheet=U0&amp;row=6422&amp;col=6&amp;number=4.8&amp;sourceID=14","4.8")</f>
        <v>4.8</v>
      </c>
      <c r="G6422" s="4" t="str">
        <f>HYPERLINK("http://141.218.60.56/~jnz1568/getInfo.php?workbook=18_08.xlsx&amp;sheet=U0&amp;row=6422&amp;col=7&amp;number=0.00673&amp;sourceID=14","0.00673")</f>
        <v>0.00673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HYPERLINK("http://141.218.60.56/~jnz1568/getInfo.php?workbook=18_08.xlsx&amp;sheet=U0&amp;row=6423&amp;col=6&amp;number=4.9&amp;sourceID=14","4.9")</f>
        <v>4.9</v>
      </c>
      <c r="G6423" s="4" t="str">
        <f>HYPERLINK("http://141.218.60.56/~jnz1568/getInfo.php?workbook=18_08.xlsx&amp;sheet=U0&amp;row=6423&amp;col=7&amp;number=0.00671&amp;sourceID=14","0.00671")</f>
        <v>0.00671</v>
      </c>
    </row>
    <row r="6424" spans="1:7">
      <c r="A6424" s="3">
        <v>18</v>
      </c>
      <c r="B6424" s="3">
        <v>8</v>
      </c>
      <c r="C6424" s="3" t="s">
        <v>76</v>
      </c>
      <c r="D6424" s="3">
        <v>4</v>
      </c>
      <c r="E6424" s="3">
        <v>1</v>
      </c>
      <c r="F6424" s="4" t="str">
        <f>HYPERLINK("http://141.218.60.56/~jnz1568/getInfo.php?workbook=18_08.xlsx&amp;sheet=U0&amp;row=6424&amp;col=6&amp;number=3&amp;sourceID=14","3")</f>
        <v>3</v>
      </c>
      <c r="G6424" s="4" t="str">
        <f>HYPERLINK("http://141.218.60.56/~jnz1568/getInfo.php?workbook=18_08.xlsx&amp;sheet=U0&amp;row=6424&amp;col=7&amp;number=0.146&amp;sourceID=14","0.146")</f>
        <v>0.146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HYPERLINK("http://141.218.60.56/~jnz1568/getInfo.php?workbook=18_08.xlsx&amp;sheet=U0&amp;row=6425&amp;col=6&amp;number=3.1&amp;sourceID=14","3.1")</f>
        <v>3.1</v>
      </c>
      <c r="G6425" s="4" t="str">
        <f>HYPERLINK("http://141.218.60.56/~jnz1568/getInfo.php?workbook=18_08.xlsx&amp;sheet=U0&amp;row=6425&amp;col=7&amp;number=0.146&amp;sourceID=14","0.146")</f>
        <v>0.146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HYPERLINK("http://141.218.60.56/~jnz1568/getInfo.php?workbook=18_08.xlsx&amp;sheet=U0&amp;row=6426&amp;col=6&amp;number=3.2&amp;sourceID=14","3.2")</f>
        <v>3.2</v>
      </c>
      <c r="G6426" s="4" t="str">
        <f>HYPERLINK("http://141.218.60.56/~jnz1568/getInfo.php?workbook=18_08.xlsx&amp;sheet=U0&amp;row=6426&amp;col=7&amp;number=0.146&amp;sourceID=14","0.146")</f>
        <v>0.146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HYPERLINK("http://141.218.60.56/~jnz1568/getInfo.php?workbook=18_08.xlsx&amp;sheet=U0&amp;row=6427&amp;col=6&amp;number=3.3&amp;sourceID=14","3.3")</f>
        <v>3.3</v>
      </c>
      <c r="G6427" s="4" t="str">
        <f>HYPERLINK("http://141.218.60.56/~jnz1568/getInfo.php?workbook=18_08.xlsx&amp;sheet=U0&amp;row=6427&amp;col=7&amp;number=0.146&amp;sourceID=14","0.146")</f>
        <v>0.146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HYPERLINK("http://141.218.60.56/~jnz1568/getInfo.php?workbook=18_08.xlsx&amp;sheet=U0&amp;row=6428&amp;col=6&amp;number=3.4&amp;sourceID=14","3.4")</f>
        <v>3.4</v>
      </c>
      <c r="G6428" s="4" t="str">
        <f>HYPERLINK("http://141.218.60.56/~jnz1568/getInfo.php?workbook=18_08.xlsx&amp;sheet=U0&amp;row=6428&amp;col=7&amp;number=0.146&amp;sourceID=14","0.146")</f>
        <v>0.146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HYPERLINK("http://141.218.60.56/~jnz1568/getInfo.php?workbook=18_08.xlsx&amp;sheet=U0&amp;row=6429&amp;col=6&amp;number=3.5&amp;sourceID=14","3.5")</f>
        <v>3.5</v>
      </c>
      <c r="G6429" s="4" t="str">
        <f>HYPERLINK("http://141.218.60.56/~jnz1568/getInfo.php?workbook=18_08.xlsx&amp;sheet=U0&amp;row=6429&amp;col=7&amp;number=0.146&amp;sourceID=14","0.146")</f>
        <v>0.146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HYPERLINK("http://141.218.60.56/~jnz1568/getInfo.php?workbook=18_08.xlsx&amp;sheet=U0&amp;row=6430&amp;col=6&amp;number=3.6&amp;sourceID=14","3.6")</f>
        <v>3.6</v>
      </c>
      <c r="G6430" s="4" t="str">
        <f>HYPERLINK("http://141.218.60.56/~jnz1568/getInfo.php?workbook=18_08.xlsx&amp;sheet=U0&amp;row=6430&amp;col=7&amp;number=0.146&amp;sourceID=14","0.146")</f>
        <v>0.146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HYPERLINK("http://141.218.60.56/~jnz1568/getInfo.php?workbook=18_08.xlsx&amp;sheet=U0&amp;row=6431&amp;col=6&amp;number=3.7&amp;sourceID=14","3.7")</f>
        <v>3.7</v>
      </c>
      <c r="G6431" s="4" t="str">
        <f>HYPERLINK("http://141.218.60.56/~jnz1568/getInfo.php?workbook=18_08.xlsx&amp;sheet=U0&amp;row=6431&amp;col=7&amp;number=0.146&amp;sourceID=14","0.146")</f>
        <v>0.146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HYPERLINK("http://141.218.60.56/~jnz1568/getInfo.php?workbook=18_08.xlsx&amp;sheet=U0&amp;row=6432&amp;col=6&amp;number=3.8&amp;sourceID=14","3.8")</f>
        <v>3.8</v>
      </c>
      <c r="G6432" s="4" t="str">
        <f>HYPERLINK("http://141.218.60.56/~jnz1568/getInfo.php?workbook=18_08.xlsx&amp;sheet=U0&amp;row=6432&amp;col=7&amp;number=0.146&amp;sourceID=14","0.146")</f>
        <v>0.146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HYPERLINK("http://141.218.60.56/~jnz1568/getInfo.php?workbook=18_08.xlsx&amp;sheet=U0&amp;row=6433&amp;col=6&amp;number=3.9&amp;sourceID=14","3.9")</f>
        <v>3.9</v>
      </c>
      <c r="G6433" s="4" t="str">
        <f>HYPERLINK("http://141.218.60.56/~jnz1568/getInfo.php?workbook=18_08.xlsx&amp;sheet=U0&amp;row=6433&amp;col=7&amp;number=0.146&amp;sourceID=14","0.146")</f>
        <v>0.146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HYPERLINK("http://141.218.60.56/~jnz1568/getInfo.php?workbook=18_08.xlsx&amp;sheet=U0&amp;row=6434&amp;col=6&amp;number=4&amp;sourceID=14","4")</f>
        <v>4</v>
      </c>
      <c r="G6434" s="4" t="str">
        <f>HYPERLINK("http://141.218.60.56/~jnz1568/getInfo.php?workbook=18_08.xlsx&amp;sheet=U0&amp;row=6434&amp;col=7&amp;number=0.147&amp;sourceID=14","0.147")</f>
        <v>0.147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HYPERLINK("http://141.218.60.56/~jnz1568/getInfo.php?workbook=18_08.xlsx&amp;sheet=U0&amp;row=6435&amp;col=6&amp;number=4.1&amp;sourceID=14","4.1")</f>
        <v>4.1</v>
      </c>
      <c r="G6435" s="4" t="str">
        <f>HYPERLINK("http://141.218.60.56/~jnz1568/getInfo.php?workbook=18_08.xlsx&amp;sheet=U0&amp;row=6435&amp;col=7&amp;number=0.147&amp;sourceID=14","0.147")</f>
        <v>0.147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HYPERLINK("http://141.218.60.56/~jnz1568/getInfo.php?workbook=18_08.xlsx&amp;sheet=U0&amp;row=6436&amp;col=6&amp;number=4.2&amp;sourceID=14","4.2")</f>
        <v>4.2</v>
      </c>
      <c r="G6436" s="4" t="str">
        <f>HYPERLINK("http://141.218.60.56/~jnz1568/getInfo.php?workbook=18_08.xlsx&amp;sheet=U0&amp;row=6436&amp;col=7&amp;number=0.147&amp;sourceID=14","0.147")</f>
        <v>0.147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HYPERLINK("http://141.218.60.56/~jnz1568/getInfo.php?workbook=18_08.xlsx&amp;sheet=U0&amp;row=6437&amp;col=6&amp;number=4.3&amp;sourceID=14","4.3")</f>
        <v>4.3</v>
      </c>
      <c r="G6437" s="4" t="str">
        <f>HYPERLINK("http://141.218.60.56/~jnz1568/getInfo.php?workbook=18_08.xlsx&amp;sheet=U0&amp;row=6437&amp;col=7&amp;number=0.147&amp;sourceID=14","0.147")</f>
        <v>0.147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HYPERLINK("http://141.218.60.56/~jnz1568/getInfo.php?workbook=18_08.xlsx&amp;sheet=U0&amp;row=6438&amp;col=6&amp;number=4.4&amp;sourceID=14","4.4")</f>
        <v>4.4</v>
      </c>
      <c r="G6438" s="4" t="str">
        <f>HYPERLINK("http://141.218.60.56/~jnz1568/getInfo.php?workbook=18_08.xlsx&amp;sheet=U0&amp;row=6438&amp;col=7&amp;number=0.147&amp;sourceID=14","0.147")</f>
        <v>0.147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HYPERLINK("http://141.218.60.56/~jnz1568/getInfo.php?workbook=18_08.xlsx&amp;sheet=U0&amp;row=6439&amp;col=6&amp;number=4.5&amp;sourceID=14","4.5")</f>
        <v>4.5</v>
      </c>
      <c r="G6439" s="4" t="str">
        <f>HYPERLINK("http://141.218.60.56/~jnz1568/getInfo.php?workbook=18_08.xlsx&amp;sheet=U0&amp;row=6439&amp;col=7&amp;number=0.147&amp;sourceID=14","0.147")</f>
        <v>0.147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HYPERLINK("http://141.218.60.56/~jnz1568/getInfo.php?workbook=18_08.xlsx&amp;sheet=U0&amp;row=6440&amp;col=6&amp;number=4.6&amp;sourceID=14","4.6")</f>
        <v>4.6</v>
      </c>
      <c r="G6440" s="4" t="str">
        <f>HYPERLINK("http://141.218.60.56/~jnz1568/getInfo.php?workbook=18_08.xlsx&amp;sheet=U0&amp;row=6440&amp;col=7&amp;number=0.148&amp;sourceID=14","0.148")</f>
        <v>0.148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HYPERLINK("http://141.218.60.56/~jnz1568/getInfo.php?workbook=18_08.xlsx&amp;sheet=U0&amp;row=6441&amp;col=6&amp;number=4.7&amp;sourceID=14","4.7")</f>
        <v>4.7</v>
      </c>
      <c r="G6441" s="4" t="str">
        <f>HYPERLINK("http://141.218.60.56/~jnz1568/getInfo.php?workbook=18_08.xlsx&amp;sheet=U0&amp;row=6441&amp;col=7&amp;number=0.148&amp;sourceID=14","0.148")</f>
        <v>0.148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HYPERLINK("http://141.218.60.56/~jnz1568/getInfo.php?workbook=18_08.xlsx&amp;sheet=U0&amp;row=6442&amp;col=6&amp;number=4.8&amp;sourceID=14","4.8")</f>
        <v>4.8</v>
      </c>
      <c r="G6442" s="4" t="str">
        <f>HYPERLINK("http://141.218.60.56/~jnz1568/getInfo.php?workbook=18_08.xlsx&amp;sheet=U0&amp;row=6442&amp;col=7&amp;number=0.149&amp;sourceID=14","0.149")</f>
        <v>0.149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HYPERLINK("http://141.218.60.56/~jnz1568/getInfo.php?workbook=18_08.xlsx&amp;sheet=U0&amp;row=6443&amp;col=6&amp;number=4.9&amp;sourceID=14","4.9")</f>
        <v>4.9</v>
      </c>
      <c r="G6443" s="4" t="str">
        <f>HYPERLINK("http://141.218.60.56/~jnz1568/getInfo.php?workbook=18_08.xlsx&amp;sheet=U0&amp;row=6443&amp;col=7&amp;number=0.149&amp;sourceID=14","0.149")</f>
        <v>0.149</v>
      </c>
    </row>
    <row r="6444" spans="1:7">
      <c r="A6444" s="3">
        <v>18</v>
      </c>
      <c r="B6444" s="3">
        <v>8</v>
      </c>
      <c r="C6444" s="3" t="s">
        <v>76</v>
      </c>
      <c r="D6444" s="3">
        <v>5</v>
      </c>
      <c r="E6444" s="3">
        <v>1</v>
      </c>
      <c r="F6444" s="4" t="str">
        <f>HYPERLINK("http://141.218.60.56/~jnz1568/getInfo.php?workbook=18_08.xlsx&amp;sheet=U0&amp;row=6444&amp;col=6&amp;number=3&amp;sourceID=14","3")</f>
        <v>3</v>
      </c>
      <c r="G6444" s="4" t="str">
        <f>HYPERLINK("http://141.218.60.56/~jnz1568/getInfo.php?workbook=18_08.xlsx&amp;sheet=U0&amp;row=6444&amp;col=7&amp;number=0.0125&amp;sourceID=14","0.0125")</f>
        <v>0.0125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HYPERLINK("http://141.218.60.56/~jnz1568/getInfo.php?workbook=18_08.xlsx&amp;sheet=U0&amp;row=6445&amp;col=6&amp;number=3.1&amp;sourceID=14","3.1")</f>
        <v>3.1</v>
      </c>
      <c r="G6445" s="4" t="str">
        <f>HYPERLINK("http://141.218.60.56/~jnz1568/getInfo.php?workbook=18_08.xlsx&amp;sheet=U0&amp;row=6445&amp;col=7&amp;number=0.0125&amp;sourceID=14","0.0125")</f>
        <v>0.0125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HYPERLINK("http://141.218.60.56/~jnz1568/getInfo.php?workbook=18_08.xlsx&amp;sheet=U0&amp;row=6446&amp;col=6&amp;number=3.2&amp;sourceID=14","3.2")</f>
        <v>3.2</v>
      </c>
      <c r="G6446" s="4" t="str">
        <f>HYPERLINK("http://141.218.60.56/~jnz1568/getInfo.php?workbook=18_08.xlsx&amp;sheet=U0&amp;row=6446&amp;col=7&amp;number=0.0125&amp;sourceID=14","0.0125")</f>
        <v>0.0125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HYPERLINK("http://141.218.60.56/~jnz1568/getInfo.php?workbook=18_08.xlsx&amp;sheet=U0&amp;row=6447&amp;col=6&amp;number=3.3&amp;sourceID=14","3.3")</f>
        <v>3.3</v>
      </c>
      <c r="G6447" s="4" t="str">
        <f>HYPERLINK("http://141.218.60.56/~jnz1568/getInfo.php?workbook=18_08.xlsx&amp;sheet=U0&amp;row=6447&amp;col=7&amp;number=0.0125&amp;sourceID=14","0.0125")</f>
        <v>0.0125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HYPERLINK("http://141.218.60.56/~jnz1568/getInfo.php?workbook=18_08.xlsx&amp;sheet=U0&amp;row=6448&amp;col=6&amp;number=3.4&amp;sourceID=14","3.4")</f>
        <v>3.4</v>
      </c>
      <c r="G6448" s="4" t="str">
        <f>HYPERLINK("http://141.218.60.56/~jnz1568/getInfo.php?workbook=18_08.xlsx&amp;sheet=U0&amp;row=6448&amp;col=7&amp;number=0.0125&amp;sourceID=14","0.0125")</f>
        <v>0.0125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HYPERLINK("http://141.218.60.56/~jnz1568/getInfo.php?workbook=18_08.xlsx&amp;sheet=U0&amp;row=6449&amp;col=6&amp;number=3.5&amp;sourceID=14","3.5")</f>
        <v>3.5</v>
      </c>
      <c r="G6449" s="4" t="str">
        <f>HYPERLINK("http://141.218.60.56/~jnz1568/getInfo.php?workbook=18_08.xlsx&amp;sheet=U0&amp;row=6449&amp;col=7&amp;number=0.0125&amp;sourceID=14","0.0125")</f>
        <v>0.0125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HYPERLINK("http://141.218.60.56/~jnz1568/getInfo.php?workbook=18_08.xlsx&amp;sheet=U0&amp;row=6450&amp;col=6&amp;number=3.6&amp;sourceID=14","3.6")</f>
        <v>3.6</v>
      </c>
      <c r="G6450" s="4" t="str">
        <f>HYPERLINK("http://141.218.60.56/~jnz1568/getInfo.php?workbook=18_08.xlsx&amp;sheet=U0&amp;row=6450&amp;col=7&amp;number=0.0125&amp;sourceID=14","0.0125")</f>
        <v>0.0125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HYPERLINK("http://141.218.60.56/~jnz1568/getInfo.php?workbook=18_08.xlsx&amp;sheet=U0&amp;row=6451&amp;col=6&amp;number=3.7&amp;sourceID=14","3.7")</f>
        <v>3.7</v>
      </c>
      <c r="G6451" s="4" t="str">
        <f>HYPERLINK("http://141.218.60.56/~jnz1568/getInfo.php?workbook=18_08.xlsx&amp;sheet=U0&amp;row=6451&amp;col=7&amp;number=0.0125&amp;sourceID=14","0.0125")</f>
        <v>0.0125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HYPERLINK("http://141.218.60.56/~jnz1568/getInfo.php?workbook=18_08.xlsx&amp;sheet=U0&amp;row=6452&amp;col=6&amp;number=3.8&amp;sourceID=14","3.8")</f>
        <v>3.8</v>
      </c>
      <c r="G6452" s="4" t="str">
        <f>HYPERLINK("http://141.218.60.56/~jnz1568/getInfo.php?workbook=18_08.xlsx&amp;sheet=U0&amp;row=6452&amp;col=7&amp;number=0.0125&amp;sourceID=14","0.0125")</f>
        <v>0.0125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HYPERLINK("http://141.218.60.56/~jnz1568/getInfo.php?workbook=18_08.xlsx&amp;sheet=U0&amp;row=6453&amp;col=6&amp;number=3.9&amp;sourceID=14","3.9")</f>
        <v>3.9</v>
      </c>
      <c r="G6453" s="4" t="str">
        <f>HYPERLINK("http://141.218.60.56/~jnz1568/getInfo.php?workbook=18_08.xlsx&amp;sheet=U0&amp;row=6453&amp;col=7&amp;number=0.0125&amp;sourceID=14","0.0125")</f>
        <v>0.0125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HYPERLINK("http://141.218.60.56/~jnz1568/getInfo.php?workbook=18_08.xlsx&amp;sheet=U0&amp;row=6454&amp;col=6&amp;number=4&amp;sourceID=14","4")</f>
        <v>4</v>
      </c>
      <c r="G6454" s="4" t="str">
        <f>HYPERLINK("http://141.218.60.56/~jnz1568/getInfo.php?workbook=18_08.xlsx&amp;sheet=U0&amp;row=6454&amp;col=7&amp;number=0.0125&amp;sourceID=14","0.0125")</f>
        <v>0.0125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HYPERLINK("http://141.218.60.56/~jnz1568/getInfo.php?workbook=18_08.xlsx&amp;sheet=U0&amp;row=6455&amp;col=6&amp;number=4.1&amp;sourceID=14","4.1")</f>
        <v>4.1</v>
      </c>
      <c r="G6455" s="4" t="str">
        <f>HYPERLINK("http://141.218.60.56/~jnz1568/getInfo.php?workbook=18_08.xlsx&amp;sheet=U0&amp;row=6455&amp;col=7&amp;number=0.0125&amp;sourceID=14","0.0125")</f>
        <v>0.0125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HYPERLINK("http://141.218.60.56/~jnz1568/getInfo.php?workbook=18_08.xlsx&amp;sheet=U0&amp;row=6456&amp;col=6&amp;number=4.2&amp;sourceID=14","4.2")</f>
        <v>4.2</v>
      </c>
      <c r="G6456" s="4" t="str">
        <f>HYPERLINK("http://141.218.60.56/~jnz1568/getInfo.php?workbook=18_08.xlsx&amp;sheet=U0&amp;row=6456&amp;col=7&amp;number=0.0125&amp;sourceID=14","0.0125")</f>
        <v>0.0125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HYPERLINK("http://141.218.60.56/~jnz1568/getInfo.php?workbook=18_08.xlsx&amp;sheet=U0&amp;row=6457&amp;col=6&amp;number=4.3&amp;sourceID=14","4.3")</f>
        <v>4.3</v>
      </c>
      <c r="G6457" s="4" t="str">
        <f>HYPERLINK("http://141.218.60.56/~jnz1568/getInfo.php?workbook=18_08.xlsx&amp;sheet=U0&amp;row=6457&amp;col=7&amp;number=0.0125&amp;sourceID=14","0.0125")</f>
        <v>0.0125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HYPERLINK("http://141.218.60.56/~jnz1568/getInfo.php?workbook=18_08.xlsx&amp;sheet=U0&amp;row=6458&amp;col=6&amp;number=4.4&amp;sourceID=14","4.4")</f>
        <v>4.4</v>
      </c>
      <c r="G6458" s="4" t="str">
        <f>HYPERLINK("http://141.218.60.56/~jnz1568/getInfo.php?workbook=18_08.xlsx&amp;sheet=U0&amp;row=6458&amp;col=7&amp;number=0.0124&amp;sourceID=14","0.0124")</f>
        <v>0.0124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HYPERLINK("http://141.218.60.56/~jnz1568/getInfo.php?workbook=18_08.xlsx&amp;sheet=U0&amp;row=6459&amp;col=6&amp;number=4.5&amp;sourceID=14","4.5")</f>
        <v>4.5</v>
      </c>
      <c r="G6459" s="4" t="str">
        <f>HYPERLINK("http://141.218.60.56/~jnz1568/getInfo.php?workbook=18_08.xlsx&amp;sheet=U0&amp;row=6459&amp;col=7&amp;number=0.0124&amp;sourceID=14","0.0124")</f>
        <v>0.0124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HYPERLINK("http://141.218.60.56/~jnz1568/getInfo.php?workbook=18_08.xlsx&amp;sheet=U0&amp;row=6460&amp;col=6&amp;number=4.6&amp;sourceID=14","4.6")</f>
        <v>4.6</v>
      </c>
      <c r="G6460" s="4" t="str">
        <f>HYPERLINK("http://141.218.60.56/~jnz1568/getInfo.php?workbook=18_08.xlsx&amp;sheet=U0&amp;row=6460&amp;col=7&amp;number=0.0124&amp;sourceID=14","0.0124")</f>
        <v>0.0124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HYPERLINK("http://141.218.60.56/~jnz1568/getInfo.php?workbook=18_08.xlsx&amp;sheet=U0&amp;row=6461&amp;col=6&amp;number=4.7&amp;sourceID=14","4.7")</f>
        <v>4.7</v>
      </c>
      <c r="G6461" s="4" t="str">
        <f>HYPERLINK("http://141.218.60.56/~jnz1568/getInfo.php?workbook=18_08.xlsx&amp;sheet=U0&amp;row=6461&amp;col=7&amp;number=0.0124&amp;sourceID=14","0.0124")</f>
        <v>0.0124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HYPERLINK("http://141.218.60.56/~jnz1568/getInfo.php?workbook=18_08.xlsx&amp;sheet=U0&amp;row=6462&amp;col=6&amp;number=4.8&amp;sourceID=14","4.8")</f>
        <v>4.8</v>
      </c>
      <c r="G6462" s="4" t="str">
        <f>HYPERLINK("http://141.218.60.56/~jnz1568/getInfo.php?workbook=18_08.xlsx&amp;sheet=U0&amp;row=6462&amp;col=7&amp;number=0.0124&amp;sourceID=14","0.0124")</f>
        <v>0.0124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HYPERLINK("http://141.218.60.56/~jnz1568/getInfo.php?workbook=18_08.xlsx&amp;sheet=U0&amp;row=6463&amp;col=6&amp;number=4.9&amp;sourceID=14","4.9")</f>
        <v>4.9</v>
      </c>
      <c r="G6463" s="4" t="str">
        <f>HYPERLINK("http://141.218.60.56/~jnz1568/getInfo.php?workbook=18_08.xlsx&amp;sheet=U0&amp;row=6463&amp;col=7&amp;number=0.0124&amp;sourceID=14","0.0124")</f>
        <v>0.0124</v>
      </c>
    </row>
    <row r="6464" spans="1:7">
      <c r="A6464" s="3">
        <v>18</v>
      </c>
      <c r="B6464" s="3">
        <v>8</v>
      </c>
      <c r="C6464" s="3" t="s">
        <v>76</v>
      </c>
      <c r="D6464" s="3">
        <v>6</v>
      </c>
      <c r="E6464" s="3">
        <v>1</v>
      </c>
      <c r="F6464" s="4" t="str">
        <f>HYPERLINK("http://141.218.60.56/~jnz1568/getInfo.php?workbook=18_08.xlsx&amp;sheet=U0&amp;row=6464&amp;col=6&amp;number=3&amp;sourceID=14","3")</f>
        <v>3</v>
      </c>
      <c r="G6464" s="4" t="str">
        <f>HYPERLINK("http://141.218.60.56/~jnz1568/getInfo.php?workbook=18_08.xlsx&amp;sheet=U0&amp;row=6464&amp;col=7&amp;number=0.0179&amp;sourceID=14","0.0179")</f>
        <v>0.0179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HYPERLINK("http://141.218.60.56/~jnz1568/getInfo.php?workbook=18_08.xlsx&amp;sheet=U0&amp;row=6465&amp;col=6&amp;number=3.1&amp;sourceID=14","3.1")</f>
        <v>3.1</v>
      </c>
      <c r="G6465" s="4" t="str">
        <f>HYPERLINK("http://141.218.60.56/~jnz1568/getInfo.php?workbook=18_08.xlsx&amp;sheet=U0&amp;row=6465&amp;col=7&amp;number=0.0179&amp;sourceID=14","0.0179")</f>
        <v>0.0179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HYPERLINK("http://141.218.60.56/~jnz1568/getInfo.php?workbook=18_08.xlsx&amp;sheet=U0&amp;row=6466&amp;col=6&amp;number=3.2&amp;sourceID=14","3.2")</f>
        <v>3.2</v>
      </c>
      <c r="G6466" s="4" t="str">
        <f>HYPERLINK("http://141.218.60.56/~jnz1568/getInfo.php?workbook=18_08.xlsx&amp;sheet=U0&amp;row=6466&amp;col=7&amp;number=0.0179&amp;sourceID=14","0.0179")</f>
        <v>0.0179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HYPERLINK("http://141.218.60.56/~jnz1568/getInfo.php?workbook=18_08.xlsx&amp;sheet=U0&amp;row=6467&amp;col=6&amp;number=3.3&amp;sourceID=14","3.3")</f>
        <v>3.3</v>
      </c>
      <c r="G6467" s="4" t="str">
        <f>HYPERLINK("http://141.218.60.56/~jnz1568/getInfo.php?workbook=18_08.xlsx&amp;sheet=U0&amp;row=6467&amp;col=7&amp;number=0.0179&amp;sourceID=14","0.0179")</f>
        <v>0.0179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HYPERLINK("http://141.218.60.56/~jnz1568/getInfo.php?workbook=18_08.xlsx&amp;sheet=U0&amp;row=6468&amp;col=6&amp;number=3.4&amp;sourceID=14","3.4")</f>
        <v>3.4</v>
      </c>
      <c r="G6468" s="4" t="str">
        <f>HYPERLINK("http://141.218.60.56/~jnz1568/getInfo.php?workbook=18_08.xlsx&amp;sheet=U0&amp;row=6468&amp;col=7&amp;number=0.0179&amp;sourceID=14","0.0179")</f>
        <v>0.0179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HYPERLINK("http://141.218.60.56/~jnz1568/getInfo.php?workbook=18_08.xlsx&amp;sheet=U0&amp;row=6469&amp;col=6&amp;number=3.5&amp;sourceID=14","3.5")</f>
        <v>3.5</v>
      </c>
      <c r="G6469" s="4" t="str">
        <f>HYPERLINK("http://141.218.60.56/~jnz1568/getInfo.php?workbook=18_08.xlsx&amp;sheet=U0&amp;row=6469&amp;col=7&amp;number=0.0179&amp;sourceID=14","0.0179")</f>
        <v>0.0179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HYPERLINK("http://141.218.60.56/~jnz1568/getInfo.php?workbook=18_08.xlsx&amp;sheet=U0&amp;row=6470&amp;col=6&amp;number=3.6&amp;sourceID=14","3.6")</f>
        <v>3.6</v>
      </c>
      <c r="G6470" s="4" t="str">
        <f>HYPERLINK("http://141.218.60.56/~jnz1568/getInfo.php?workbook=18_08.xlsx&amp;sheet=U0&amp;row=6470&amp;col=7&amp;number=0.0179&amp;sourceID=14","0.0179")</f>
        <v>0.0179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HYPERLINK("http://141.218.60.56/~jnz1568/getInfo.php?workbook=18_08.xlsx&amp;sheet=U0&amp;row=6471&amp;col=6&amp;number=3.7&amp;sourceID=14","3.7")</f>
        <v>3.7</v>
      </c>
      <c r="G6471" s="4" t="str">
        <f>HYPERLINK("http://141.218.60.56/~jnz1568/getInfo.php?workbook=18_08.xlsx&amp;sheet=U0&amp;row=6471&amp;col=7&amp;number=0.0179&amp;sourceID=14","0.0179")</f>
        <v>0.0179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HYPERLINK("http://141.218.60.56/~jnz1568/getInfo.php?workbook=18_08.xlsx&amp;sheet=U0&amp;row=6472&amp;col=6&amp;number=3.8&amp;sourceID=14","3.8")</f>
        <v>3.8</v>
      </c>
      <c r="G6472" s="4" t="str">
        <f>HYPERLINK("http://141.218.60.56/~jnz1568/getInfo.php?workbook=18_08.xlsx&amp;sheet=U0&amp;row=6472&amp;col=7&amp;number=0.0179&amp;sourceID=14","0.0179")</f>
        <v>0.0179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HYPERLINK("http://141.218.60.56/~jnz1568/getInfo.php?workbook=18_08.xlsx&amp;sheet=U0&amp;row=6473&amp;col=6&amp;number=3.9&amp;sourceID=14","3.9")</f>
        <v>3.9</v>
      </c>
      <c r="G6473" s="4" t="str">
        <f>HYPERLINK("http://141.218.60.56/~jnz1568/getInfo.php?workbook=18_08.xlsx&amp;sheet=U0&amp;row=6473&amp;col=7&amp;number=0.0179&amp;sourceID=14","0.0179")</f>
        <v>0.0179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HYPERLINK("http://141.218.60.56/~jnz1568/getInfo.php?workbook=18_08.xlsx&amp;sheet=U0&amp;row=6474&amp;col=6&amp;number=4&amp;sourceID=14","4")</f>
        <v>4</v>
      </c>
      <c r="G6474" s="4" t="str">
        <f>HYPERLINK("http://141.218.60.56/~jnz1568/getInfo.php?workbook=18_08.xlsx&amp;sheet=U0&amp;row=6474&amp;col=7&amp;number=0.0179&amp;sourceID=14","0.0179")</f>
        <v>0.0179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HYPERLINK("http://141.218.60.56/~jnz1568/getInfo.php?workbook=18_08.xlsx&amp;sheet=U0&amp;row=6475&amp;col=6&amp;number=4.1&amp;sourceID=14","4.1")</f>
        <v>4.1</v>
      </c>
      <c r="G6475" s="4" t="str">
        <f>HYPERLINK("http://141.218.60.56/~jnz1568/getInfo.php?workbook=18_08.xlsx&amp;sheet=U0&amp;row=6475&amp;col=7&amp;number=0.0178&amp;sourceID=14","0.0178")</f>
        <v>0.0178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HYPERLINK("http://141.218.60.56/~jnz1568/getInfo.php?workbook=18_08.xlsx&amp;sheet=U0&amp;row=6476&amp;col=6&amp;number=4.2&amp;sourceID=14","4.2")</f>
        <v>4.2</v>
      </c>
      <c r="G6476" s="4" t="str">
        <f>HYPERLINK("http://141.218.60.56/~jnz1568/getInfo.php?workbook=18_08.xlsx&amp;sheet=U0&amp;row=6476&amp;col=7&amp;number=0.0178&amp;sourceID=14","0.0178")</f>
        <v>0.0178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HYPERLINK("http://141.218.60.56/~jnz1568/getInfo.php?workbook=18_08.xlsx&amp;sheet=U0&amp;row=6477&amp;col=6&amp;number=4.3&amp;sourceID=14","4.3")</f>
        <v>4.3</v>
      </c>
      <c r="G6477" s="4" t="str">
        <f>HYPERLINK("http://141.218.60.56/~jnz1568/getInfo.php?workbook=18_08.xlsx&amp;sheet=U0&amp;row=6477&amp;col=7&amp;number=0.0178&amp;sourceID=14","0.0178")</f>
        <v>0.0178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HYPERLINK("http://141.218.60.56/~jnz1568/getInfo.php?workbook=18_08.xlsx&amp;sheet=U0&amp;row=6478&amp;col=6&amp;number=4.4&amp;sourceID=14","4.4")</f>
        <v>4.4</v>
      </c>
      <c r="G6478" s="4" t="str">
        <f>HYPERLINK("http://141.218.60.56/~jnz1568/getInfo.php?workbook=18_08.xlsx&amp;sheet=U0&amp;row=6478&amp;col=7&amp;number=0.0178&amp;sourceID=14","0.0178")</f>
        <v>0.0178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HYPERLINK("http://141.218.60.56/~jnz1568/getInfo.php?workbook=18_08.xlsx&amp;sheet=U0&amp;row=6479&amp;col=6&amp;number=4.5&amp;sourceID=14","4.5")</f>
        <v>4.5</v>
      </c>
      <c r="G6479" s="4" t="str">
        <f>HYPERLINK("http://141.218.60.56/~jnz1568/getInfo.php?workbook=18_08.xlsx&amp;sheet=U0&amp;row=6479&amp;col=7&amp;number=0.0178&amp;sourceID=14","0.0178")</f>
        <v>0.0178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HYPERLINK("http://141.218.60.56/~jnz1568/getInfo.php?workbook=18_08.xlsx&amp;sheet=U0&amp;row=6480&amp;col=6&amp;number=4.6&amp;sourceID=14","4.6")</f>
        <v>4.6</v>
      </c>
      <c r="G6480" s="4" t="str">
        <f>HYPERLINK("http://141.218.60.56/~jnz1568/getInfo.php?workbook=18_08.xlsx&amp;sheet=U0&amp;row=6480&amp;col=7&amp;number=0.0177&amp;sourceID=14","0.0177")</f>
        <v>0.0177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HYPERLINK("http://141.218.60.56/~jnz1568/getInfo.php?workbook=18_08.xlsx&amp;sheet=U0&amp;row=6481&amp;col=6&amp;number=4.7&amp;sourceID=14","4.7")</f>
        <v>4.7</v>
      </c>
      <c r="G6481" s="4" t="str">
        <f>HYPERLINK("http://141.218.60.56/~jnz1568/getInfo.php?workbook=18_08.xlsx&amp;sheet=U0&amp;row=6481&amp;col=7&amp;number=0.0177&amp;sourceID=14","0.0177")</f>
        <v>0.0177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HYPERLINK("http://141.218.60.56/~jnz1568/getInfo.php?workbook=18_08.xlsx&amp;sheet=U0&amp;row=6482&amp;col=6&amp;number=4.8&amp;sourceID=14","4.8")</f>
        <v>4.8</v>
      </c>
      <c r="G6482" s="4" t="str">
        <f>HYPERLINK("http://141.218.60.56/~jnz1568/getInfo.php?workbook=18_08.xlsx&amp;sheet=U0&amp;row=6482&amp;col=7&amp;number=0.0177&amp;sourceID=14","0.0177")</f>
        <v>0.0177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HYPERLINK("http://141.218.60.56/~jnz1568/getInfo.php?workbook=18_08.xlsx&amp;sheet=U0&amp;row=6483&amp;col=6&amp;number=4.9&amp;sourceID=14","4.9")</f>
        <v>4.9</v>
      </c>
      <c r="G6483" s="4" t="str">
        <f>HYPERLINK("http://141.218.60.56/~jnz1568/getInfo.php?workbook=18_08.xlsx&amp;sheet=U0&amp;row=6483&amp;col=7&amp;number=0.0176&amp;sourceID=14","0.0176")</f>
        <v>0.0176</v>
      </c>
    </row>
    <row r="6484" spans="1:7">
      <c r="A6484" s="3">
        <v>18</v>
      </c>
      <c r="B6484" s="3">
        <v>8</v>
      </c>
      <c r="C6484" s="3" t="s">
        <v>76</v>
      </c>
      <c r="D6484" s="3">
        <v>7</v>
      </c>
      <c r="E6484" s="3">
        <v>1</v>
      </c>
      <c r="F6484" s="4" t="str">
        <f>HYPERLINK("http://141.218.60.56/~jnz1568/getInfo.php?workbook=18_08.xlsx&amp;sheet=U0&amp;row=6484&amp;col=6&amp;number=3&amp;sourceID=14","3")</f>
        <v>3</v>
      </c>
      <c r="G6484" s="4" t="str">
        <f>HYPERLINK("http://141.218.60.56/~jnz1568/getInfo.php?workbook=18_08.xlsx&amp;sheet=U0&amp;row=6484&amp;col=7&amp;number=0.0186&amp;sourceID=14","0.0186")</f>
        <v>0.0186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HYPERLINK("http://141.218.60.56/~jnz1568/getInfo.php?workbook=18_08.xlsx&amp;sheet=U0&amp;row=6485&amp;col=6&amp;number=3.1&amp;sourceID=14","3.1")</f>
        <v>3.1</v>
      </c>
      <c r="G6485" s="4" t="str">
        <f>HYPERLINK("http://141.218.60.56/~jnz1568/getInfo.php?workbook=18_08.xlsx&amp;sheet=U0&amp;row=6485&amp;col=7&amp;number=0.0186&amp;sourceID=14","0.0186")</f>
        <v>0.0186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HYPERLINK("http://141.218.60.56/~jnz1568/getInfo.php?workbook=18_08.xlsx&amp;sheet=U0&amp;row=6486&amp;col=6&amp;number=3.2&amp;sourceID=14","3.2")</f>
        <v>3.2</v>
      </c>
      <c r="G6486" s="4" t="str">
        <f>HYPERLINK("http://141.218.60.56/~jnz1568/getInfo.php?workbook=18_08.xlsx&amp;sheet=U0&amp;row=6486&amp;col=7&amp;number=0.0186&amp;sourceID=14","0.0186")</f>
        <v>0.0186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HYPERLINK("http://141.218.60.56/~jnz1568/getInfo.php?workbook=18_08.xlsx&amp;sheet=U0&amp;row=6487&amp;col=6&amp;number=3.3&amp;sourceID=14","3.3")</f>
        <v>3.3</v>
      </c>
      <c r="G6487" s="4" t="str">
        <f>HYPERLINK("http://141.218.60.56/~jnz1568/getInfo.php?workbook=18_08.xlsx&amp;sheet=U0&amp;row=6487&amp;col=7&amp;number=0.0186&amp;sourceID=14","0.0186")</f>
        <v>0.0186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HYPERLINK("http://141.218.60.56/~jnz1568/getInfo.php?workbook=18_08.xlsx&amp;sheet=U0&amp;row=6488&amp;col=6&amp;number=3.4&amp;sourceID=14","3.4")</f>
        <v>3.4</v>
      </c>
      <c r="G6488" s="4" t="str">
        <f>HYPERLINK("http://141.218.60.56/~jnz1568/getInfo.php?workbook=18_08.xlsx&amp;sheet=U0&amp;row=6488&amp;col=7&amp;number=0.0186&amp;sourceID=14","0.0186")</f>
        <v>0.0186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HYPERLINK("http://141.218.60.56/~jnz1568/getInfo.php?workbook=18_08.xlsx&amp;sheet=U0&amp;row=6489&amp;col=6&amp;number=3.5&amp;sourceID=14","3.5")</f>
        <v>3.5</v>
      </c>
      <c r="G6489" s="4" t="str">
        <f>HYPERLINK("http://141.218.60.56/~jnz1568/getInfo.php?workbook=18_08.xlsx&amp;sheet=U0&amp;row=6489&amp;col=7&amp;number=0.0186&amp;sourceID=14","0.0186")</f>
        <v>0.0186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HYPERLINK("http://141.218.60.56/~jnz1568/getInfo.php?workbook=18_08.xlsx&amp;sheet=U0&amp;row=6490&amp;col=6&amp;number=3.6&amp;sourceID=14","3.6")</f>
        <v>3.6</v>
      </c>
      <c r="G6490" s="4" t="str">
        <f>HYPERLINK("http://141.218.60.56/~jnz1568/getInfo.php?workbook=18_08.xlsx&amp;sheet=U0&amp;row=6490&amp;col=7&amp;number=0.0186&amp;sourceID=14","0.0186")</f>
        <v>0.0186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HYPERLINK("http://141.218.60.56/~jnz1568/getInfo.php?workbook=18_08.xlsx&amp;sheet=U0&amp;row=6491&amp;col=6&amp;number=3.7&amp;sourceID=14","3.7")</f>
        <v>3.7</v>
      </c>
      <c r="G6491" s="4" t="str">
        <f>HYPERLINK("http://141.218.60.56/~jnz1568/getInfo.php?workbook=18_08.xlsx&amp;sheet=U0&amp;row=6491&amp;col=7&amp;number=0.0186&amp;sourceID=14","0.0186")</f>
        <v>0.0186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HYPERLINK("http://141.218.60.56/~jnz1568/getInfo.php?workbook=18_08.xlsx&amp;sheet=U0&amp;row=6492&amp;col=6&amp;number=3.8&amp;sourceID=14","3.8")</f>
        <v>3.8</v>
      </c>
      <c r="G6492" s="4" t="str">
        <f>HYPERLINK("http://141.218.60.56/~jnz1568/getInfo.php?workbook=18_08.xlsx&amp;sheet=U0&amp;row=6492&amp;col=7&amp;number=0.0185&amp;sourceID=14","0.0185")</f>
        <v>0.0185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HYPERLINK("http://141.218.60.56/~jnz1568/getInfo.php?workbook=18_08.xlsx&amp;sheet=U0&amp;row=6493&amp;col=6&amp;number=3.9&amp;sourceID=14","3.9")</f>
        <v>3.9</v>
      </c>
      <c r="G6493" s="4" t="str">
        <f>HYPERLINK("http://141.218.60.56/~jnz1568/getInfo.php?workbook=18_08.xlsx&amp;sheet=U0&amp;row=6493&amp;col=7&amp;number=0.0185&amp;sourceID=14","0.0185")</f>
        <v>0.0185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HYPERLINK("http://141.218.60.56/~jnz1568/getInfo.php?workbook=18_08.xlsx&amp;sheet=U0&amp;row=6494&amp;col=6&amp;number=4&amp;sourceID=14","4")</f>
        <v>4</v>
      </c>
      <c r="G6494" s="4" t="str">
        <f>HYPERLINK("http://141.218.60.56/~jnz1568/getInfo.php?workbook=18_08.xlsx&amp;sheet=U0&amp;row=6494&amp;col=7&amp;number=0.0185&amp;sourceID=14","0.0185")</f>
        <v>0.0185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HYPERLINK("http://141.218.60.56/~jnz1568/getInfo.php?workbook=18_08.xlsx&amp;sheet=U0&amp;row=6495&amp;col=6&amp;number=4.1&amp;sourceID=14","4.1")</f>
        <v>4.1</v>
      </c>
      <c r="G6495" s="4" t="str">
        <f>HYPERLINK("http://141.218.60.56/~jnz1568/getInfo.php?workbook=18_08.xlsx&amp;sheet=U0&amp;row=6495&amp;col=7&amp;number=0.0185&amp;sourceID=14","0.0185")</f>
        <v>0.0185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HYPERLINK("http://141.218.60.56/~jnz1568/getInfo.php?workbook=18_08.xlsx&amp;sheet=U0&amp;row=6496&amp;col=6&amp;number=4.2&amp;sourceID=14","4.2")</f>
        <v>4.2</v>
      </c>
      <c r="G6496" s="4" t="str">
        <f>HYPERLINK("http://141.218.60.56/~jnz1568/getInfo.php?workbook=18_08.xlsx&amp;sheet=U0&amp;row=6496&amp;col=7&amp;number=0.0185&amp;sourceID=14","0.0185")</f>
        <v>0.0185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HYPERLINK("http://141.218.60.56/~jnz1568/getInfo.php?workbook=18_08.xlsx&amp;sheet=U0&amp;row=6497&amp;col=6&amp;number=4.3&amp;sourceID=14","4.3")</f>
        <v>4.3</v>
      </c>
      <c r="G6497" s="4" t="str">
        <f>HYPERLINK("http://141.218.60.56/~jnz1568/getInfo.php?workbook=18_08.xlsx&amp;sheet=U0&amp;row=6497&amp;col=7&amp;number=0.0185&amp;sourceID=14","0.0185")</f>
        <v>0.0185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HYPERLINK("http://141.218.60.56/~jnz1568/getInfo.php?workbook=18_08.xlsx&amp;sheet=U0&amp;row=6498&amp;col=6&amp;number=4.4&amp;sourceID=14","4.4")</f>
        <v>4.4</v>
      </c>
      <c r="G6498" s="4" t="str">
        <f>HYPERLINK("http://141.218.60.56/~jnz1568/getInfo.php?workbook=18_08.xlsx&amp;sheet=U0&amp;row=6498&amp;col=7&amp;number=0.0185&amp;sourceID=14","0.0185")</f>
        <v>0.0185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HYPERLINK("http://141.218.60.56/~jnz1568/getInfo.php?workbook=18_08.xlsx&amp;sheet=U0&amp;row=6499&amp;col=6&amp;number=4.5&amp;sourceID=14","4.5")</f>
        <v>4.5</v>
      </c>
      <c r="G6499" s="4" t="str">
        <f>HYPERLINK("http://141.218.60.56/~jnz1568/getInfo.php?workbook=18_08.xlsx&amp;sheet=U0&amp;row=6499&amp;col=7&amp;number=0.0185&amp;sourceID=14","0.0185")</f>
        <v>0.0185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HYPERLINK("http://141.218.60.56/~jnz1568/getInfo.php?workbook=18_08.xlsx&amp;sheet=U0&amp;row=6500&amp;col=6&amp;number=4.6&amp;sourceID=14","4.6")</f>
        <v>4.6</v>
      </c>
      <c r="G6500" s="4" t="str">
        <f>HYPERLINK("http://141.218.60.56/~jnz1568/getInfo.php?workbook=18_08.xlsx&amp;sheet=U0&amp;row=6500&amp;col=7&amp;number=0.0185&amp;sourceID=14","0.0185")</f>
        <v>0.0185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HYPERLINK("http://141.218.60.56/~jnz1568/getInfo.php?workbook=18_08.xlsx&amp;sheet=U0&amp;row=6501&amp;col=6&amp;number=4.7&amp;sourceID=14","4.7")</f>
        <v>4.7</v>
      </c>
      <c r="G6501" s="4" t="str">
        <f>HYPERLINK("http://141.218.60.56/~jnz1568/getInfo.php?workbook=18_08.xlsx&amp;sheet=U0&amp;row=6501&amp;col=7&amp;number=0.0185&amp;sourceID=14","0.0185")</f>
        <v>0.0185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HYPERLINK("http://141.218.60.56/~jnz1568/getInfo.php?workbook=18_08.xlsx&amp;sheet=U0&amp;row=6502&amp;col=6&amp;number=4.8&amp;sourceID=14","4.8")</f>
        <v>4.8</v>
      </c>
      <c r="G6502" s="4" t="str">
        <f>HYPERLINK("http://141.218.60.56/~jnz1568/getInfo.php?workbook=18_08.xlsx&amp;sheet=U0&amp;row=6502&amp;col=7&amp;number=0.0184&amp;sourceID=14","0.0184")</f>
        <v>0.0184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HYPERLINK("http://141.218.60.56/~jnz1568/getInfo.php?workbook=18_08.xlsx&amp;sheet=U0&amp;row=6503&amp;col=6&amp;number=4.9&amp;sourceID=14","4.9")</f>
        <v>4.9</v>
      </c>
      <c r="G6503" s="4" t="str">
        <f>HYPERLINK("http://141.218.60.56/~jnz1568/getInfo.php?workbook=18_08.xlsx&amp;sheet=U0&amp;row=6503&amp;col=7&amp;number=0.0184&amp;sourceID=14","0.0184")</f>
        <v>0.0184</v>
      </c>
    </row>
    <row r="6504" spans="1:7">
      <c r="A6504" s="3">
        <v>18</v>
      </c>
      <c r="B6504" s="3">
        <v>8</v>
      </c>
      <c r="C6504" s="3" t="s">
        <v>76</v>
      </c>
      <c r="D6504" s="3">
        <v>8</v>
      </c>
      <c r="E6504" s="3">
        <v>1</v>
      </c>
      <c r="F6504" s="4" t="str">
        <f>HYPERLINK("http://141.218.60.56/~jnz1568/getInfo.php?workbook=18_08.xlsx&amp;sheet=U0&amp;row=6504&amp;col=6&amp;number=3&amp;sourceID=14","3")</f>
        <v>3</v>
      </c>
      <c r="G6504" s="4" t="str">
        <f>HYPERLINK("http://141.218.60.56/~jnz1568/getInfo.php?workbook=18_08.xlsx&amp;sheet=U0&amp;row=6504&amp;col=7&amp;number=0.00184&amp;sourceID=14","0.00184")</f>
        <v>0.00184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HYPERLINK("http://141.218.60.56/~jnz1568/getInfo.php?workbook=18_08.xlsx&amp;sheet=U0&amp;row=6505&amp;col=6&amp;number=3.1&amp;sourceID=14","3.1")</f>
        <v>3.1</v>
      </c>
      <c r="G6505" s="4" t="str">
        <f>HYPERLINK("http://141.218.60.56/~jnz1568/getInfo.php?workbook=18_08.xlsx&amp;sheet=U0&amp;row=6505&amp;col=7&amp;number=0.00184&amp;sourceID=14","0.00184")</f>
        <v>0.00184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HYPERLINK("http://141.218.60.56/~jnz1568/getInfo.php?workbook=18_08.xlsx&amp;sheet=U0&amp;row=6506&amp;col=6&amp;number=3.2&amp;sourceID=14","3.2")</f>
        <v>3.2</v>
      </c>
      <c r="G6506" s="4" t="str">
        <f>HYPERLINK("http://141.218.60.56/~jnz1568/getInfo.php?workbook=18_08.xlsx&amp;sheet=U0&amp;row=6506&amp;col=7&amp;number=0.00184&amp;sourceID=14","0.00184")</f>
        <v>0.00184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HYPERLINK("http://141.218.60.56/~jnz1568/getInfo.php?workbook=18_08.xlsx&amp;sheet=U0&amp;row=6507&amp;col=6&amp;number=3.3&amp;sourceID=14","3.3")</f>
        <v>3.3</v>
      </c>
      <c r="G6507" s="4" t="str">
        <f>HYPERLINK("http://141.218.60.56/~jnz1568/getInfo.php?workbook=18_08.xlsx&amp;sheet=U0&amp;row=6507&amp;col=7&amp;number=0.00184&amp;sourceID=14","0.00184")</f>
        <v>0.00184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HYPERLINK("http://141.218.60.56/~jnz1568/getInfo.php?workbook=18_08.xlsx&amp;sheet=U0&amp;row=6508&amp;col=6&amp;number=3.4&amp;sourceID=14","3.4")</f>
        <v>3.4</v>
      </c>
      <c r="G6508" s="4" t="str">
        <f>HYPERLINK("http://141.218.60.56/~jnz1568/getInfo.php?workbook=18_08.xlsx&amp;sheet=U0&amp;row=6508&amp;col=7&amp;number=0.00184&amp;sourceID=14","0.00184")</f>
        <v>0.00184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HYPERLINK("http://141.218.60.56/~jnz1568/getInfo.php?workbook=18_08.xlsx&amp;sheet=U0&amp;row=6509&amp;col=6&amp;number=3.5&amp;sourceID=14","3.5")</f>
        <v>3.5</v>
      </c>
      <c r="G6509" s="4" t="str">
        <f>HYPERLINK("http://141.218.60.56/~jnz1568/getInfo.php?workbook=18_08.xlsx&amp;sheet=U0&amp;row=6509&amp;col=7&amp;number=0.00184&amp;sourceID=14","0.00184")</f>
        <v>0.00184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HYPERLINK("http://141.218.60.56/~jnz1568/getInfo.php?workbook=18_08.xlsx&amp;sheet=U0&amp;row=6510&amp;col=6&amp;number=3.6&amp;sourceID=14","3.6")</f>
        <v>3.6</v>
      </c>
      <c r="G6510" s="4" t="str">
        <f>HYPERLINK("http://141.218.60.56/~jnz1568/getInfo.php?workbook=18_08.xlsx&amp;sheet=U0&amp;row=6510&amp;col=7&amp;number=0.00184&amp;sourceID=14","0.00184")</f>
        <v>0.00184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HYPERLINK("http://141.218.60.56/~jnz1568/getInfo.php?workbook=18_08.xlsx&amp;sheet=U0&amp;row=6511&amp;col=6&amp;number=3.7&amp;sourceID=14","3.7")</f>
        <v>3.7</v>
      </c>
      <c r="G6511" s="4" t="str">
        <f>HYPERLINK("http://141.218.60.56/~jnz1568/getInfo.php?workbook=18_08.xlsx&amp;sheet=U0&amp;row=6511&amp;col=7&amp;number=0.00184&amp;sourceID=14","0.00184")</f>
        <v>0.00184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HYPERLINK("http://141.218.60.56/~jnz1568/getInfo.php?workbook=18_08.xlsx&amp;sheet=U0&amp;row=6512&amp;col=6&amp;number=3.8&amp;sourceID=14","3.8")</f>
        <v>3.8</v>
      </c>
      <c r="G6512" s="4" t="str">
        <f>HYPERLINK("http://141.218.60.56/~jnz1568/getInfo.php?workbook=18_08.xlsx&amp;sheet=U0&amp;row=6512&amp;col=7&amp;number=0.00184&amp;sourceID=14","0.00184")</f>
        <v>0.00184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HYPERLINK("http://141.218.60.56/~jnz1568/getInfo.php?workbook=18_08.xlsx&amp;sheet=U0&amp;row=6513&amp;col=6&amp;number=3.9&amp;sourceID=14","3.9")</f>
        <v>3.9</v>
      </c>
      <c r="G6513" s="4" t="str">
        <f>HYPERLINK("http://141.218.60.56/~jnz1568/getInfo.php?workbook=18_08.xlsx&amp;sheet=U0&amp;row=6513&amp;col=7&amp;number=0.00184&amp;sourceID=14","0.00184")</f>
        <v>0.00184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HYPERLINK("http://141.218.60.56/~jnz1568/getInfo.php?workbook=18_08.xlsx&amp;sheet=U0&amp;row=6514&amp;col=6&amp;number=4&amp;sourceID=14","4")</f>
        <v>4</v>
      </c>
      <c r="G6514" s="4" t="str">
        <f>HYPERLINK("http://141.218.60.56/~jnz1568/getInfo.php?workbook=18_08.xlsx&amp;sheet=U0&amp;row=6514&amp;col=7&amp;number=0.00184&amp;sourceID=14","0.00184")</f>
        <v>0.00184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HYPERLINK("http://141.218.60.56/~jnz1568/getInfo.php?workbook=18_08.xlsx&amp;sheet=U0&amp;row=6515&amp;col=6&amp;number=4.1&amp;sourceID=14","4.1")</f>
        <v>4.1</v>
      </c>
      <c r="G6515" s="4" t="str">
        <f>HYPERLINK("http://141.218.60.56/~jnz1568/getInfo.php?workbook=18_08.xlsx&amp;sheet=U0&amp;row=6515&amp;col=7&amp;number=0.00184&amp;sourceID=14","0.00184")</f>
        <v>0.00184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HYPERLINK("http://141.218.60.56/~jnz1568/getInfo.php?workbook=18_08.xlsx&amp;sheet=U0&amp;row=6516&amp;col=6&amp;number=4.2&amp;sourceID=14","4.2")</f>
        <v>4.2</v>
      </c>
      <c r="G6516" s="4" t="str">
        <f>HYPERLINK("http://141.218.60.56/~jnz1568/getInfo.php?workbook=18_08.xlsx&amp;sheet=U0&amp;row=6516&amp;col=7&amp;number=0.00184&amp;sourceID=14","0.00184")</f>
        <v>0.00184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HYPERLINK("http://141.218.60.56/~jnz1568/getInfo.php?workbook=18_08.xlsx&amp;sheet=U0&amp;row=6517&amp;col=6&amp;number=4.3&amp;sourceID=14","4.3")</f>
        <v>4.3</v>
      </c>
      <c r="G6517" s="4" t="str">
        <f>HYPERLINK("http://141.218.60.56/~jnz1568/getInfo.php?workbook=18_08.xlsx&amp;sheet=U0&amp;row=6517&amp;col=7&amp;number=0.00183&amp;sourceID=14","0.00183")</f>
        <v>0.00183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HYPERLINK("http://141.218.60.56/~jnz1568/getInfo.php?workbook=18_08.xlsx&amp;sheet=U0&amp;row=6518&amp;col=6&amp;number=4.4&amp;sourceID=14","4.4")</f>
        <v>4.4</v>
      </c>
      <c r="G6518" s="4" t="str">
        <f>HYPERLINK("http://141.218.60.56/~jnz1568/getInfo.php?workbook=18_08.xlsx&amp;sheet=U0&amp;row=6518&amp;col=7&amp;number=0.00183&amp;sourceID=14","0.00183")</f>
        <v>0.00183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HYPERLINK("http://141.218.60.56/~jnz1568/getInfo.php?workbook=18_08.xlsx&amp;sheet=U0&amp;row=6519&amp;col=6&amp;number=4.5&amp;sourceID=14","4.5")</f>
        <v>4.5</v>
      </c>
      <c r="G6519" s="4" t="str">
        <f>HYPERLINK("http://141.218.60.56/~jnz1568/getInfo.php?workbook=18_08.xlsx&amp;sheet=U0&amp;row=6519&amp;col=7&amp;number=0.00183&amp;sourceID=14","0.00183")</f>
        <v>0.00183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HYPERLINK("http://141.218.60.56/~jnz1568/getInfo.php?workbook=18_08.xlsx&amp;sheet=U0&amp;row=6520&amp;col=6&amp;number=4.6&amp;sourceID=14","4.6")</f>
        <v>4.6</v>
      </c>
      <c r="G6520" s="4" t="str">
        <f>HYPERLINK("http://141.218.60.56/~jnz1568/getInfo.php?workbook=18_08.xlsx&amp;sheet=U0&amp;row=6520&amp;col=7&amp;number=0.00182&amp;sourceID=14","0.00182")</f>
        <v>0.00182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HYPERLINK("http://141.218.60.56/~jnz1568/getInfo.php?workbook=18_08.xlsx&amp;sheet=U0&amp;row=6521&amp;col=6&amp;number=4.7&amp;sourceID=14","4.7")</f>
        <v>4.7</v>
      </c>
      <c r="G6521" s="4" t="str">
        <f>HYPERLINK("http://141.218.60.56/~jnz1568/getInfo.php?workbook=18_08.xlsx&amp;sheet=U0&amp;row=6521&amp;col=7&amp;number=0.00182&amp;sourceID=14","0.00182")</f>
        <v>0.00182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HYPERLINK("http://141.218.60.56/~jnz1568/getInfo.php?workbook=18_08.xlsx&amp;sheet=U0&amp;row=6522&amp;col=6&amp;number=4.8&amp;sourceID=14","4.8")</f>
        <v>4.8</v>
      </c>
      <c r="G6522" s="4" t="str">
        <f>HYPERLINK("http://141.218.60.56/~jnz1568/getInfo.php?workbook=18_08.xlsx&amp;sheet=U0&amp;row=6522&amp;col=7&amp;number=0.00181&amp;sourceID=14","0.00181")</f>
        <v>0.00181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HYPERLINK("http://141.218.60.56/~jnz1568/getInfo.php?workbook=18_08.xlsx&amp;sheet=U0&amp;row=6523&amp;col=6&amp;number=4.9&amp;sourceID=14","4.9")</f>
        <v>4.9</v>
      </c>
      <c r="G6523" s="4" t="str">
        <f>HYPERLINK("http://141.218.60.56/~jnz1568/getInfo.php?workbook=18_08.xlsx&amp;sheet=U0&amp;row=6523&amp;col=7&amp;number=0.0018&amp;sourceID=14","0.0018")</f>
        <v>0.0018</v>
      </c>
    </row>
    <row r="6524" spans="1:7">
      <c r="A6524" s="3">
        <v>18</v>
      </c>
      <c r="B6524" s="3">
        <v>8</v>
      </c>
      <c r="C6524" s="3" t="s">
        <v>76</v>
      </c>
      <c r="D6524" s="3">
        <v>9</v>
      </c>
      <c r="E6524" s="3">
        <v>1</v>
      </c>
      <c r="F6524" s="4" t="str">
        <f>HYPERLINK("http://141.218.60.56/~jnz1568/getInfo.php?workbook=18_08.xlsx&amp;sheet=U0&amp;row=6524&amp;col=6&amp;number=3&amp;sourceID=14","3")</f>
        <v>3</v>
      </c>
      <c r="G6524" s="4" t="str">
        <f>HYPERLINK("http://141.218.60.56/~jnz1568/getInfo.php?workbook=18_08.xlsx&amp;sheet=U0&amp;row=6524&amp;col=7&amp;number=0.00636&amp;sourceID=14","0.00636")</f>
        <v>0.00636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HYPERLINK("http://141.218.60.56/~jnz1568/getInfo.php?workbook=18_08.xlsx&amp;sheet=U0&amp;row=6525&amp;col=6&amp;number=3.1&amp;sourceID=14","3.1")</f>
        <v>3.1</v>
      </c>
      <c r="G6525" s="4" t="str">
        <f>HYPERLINK("http://141.218.60.56/~jnz1568/getInfo.php?workbook=18_08.xlsx&amp;sheet=U0&amp;row=6525&amp;col=7&amp;number=0.00636&amp;sourceID=14","0.00636")</f>
        <v>0.00636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HYPERLINK("http://141.218.60.56/~jnz1568/getInfo.php?workbook=18_08.xlsx&amp;sheet=U0&amp;row=6526&amp;col=6&amp;number=3.2&amp;sourceID=14","3.2")</f>
        <v>3.2</v>
      </c>
      <c r="G6526" s="4" t="str">
        <f>HYPERLINK("http://141.218.60.56/~jnz1568/getInfo.php?workbook=18_08.xlsx&amp;sheet=U0&amp;row=6526&amp;col=7&amp;number=0.00636&amp;sourceID=14","0.00636")</f>
        <v>0.00636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HYPERLINK("http://141.218.60.56/~jnz1568/getInfo.php?workbook=18_08.xlsx&amp;sheet=U0&amp;row=6527&amp;col=6&amp;number=3.3&amp;sourceID=14","3.3")</f>
        <v>3.3</v>
      </c>
      <c r="G6527" s="4" t="str">
        <f>HYPERLINK("http://141.218.60.56/~jnz1568/getInfo.php?workbook=18_08.xlsx&amp;sheet=U0&amp;row=6527&amp;col=7&amp;number=0.00636&amp;sourceID=14","0.00636")</f>
        <v>0.00636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HYPERLINK("http://141.218.60.56/~jnz1568/getInfo.php?workbook=18_08.xlsx&amp;sheet=U0&amp;row=6528&amp;col=6&amp;number=3.4&amp;sourceID=14","3.4")</f>
        <v>3.4</v>
      </c>
      <c r="G6528" s="4" t="str">
        <f>HYPERLINK("http://141.218.60.56/~jnz1568/getInfo.php?workbook=18_08.xlsx&amp;sheet=U0&amp;row=6528&amp;col=7&amp;number=0.00636&amp;sourceID=14","0.00636")</f>
        <v>0.00636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HYPERLINK("http://141.218.60.56/~jnz1568/getInfo.php?workbook=18_08.xlsx&amp;sheet=U0&amp;row=6529&amp;col=6&amp;number=3.5&amp;sourceID=14","3.5")</f>
        <v>3.5</v>
      </c>
      <c r="G6529" s="4" t="str">
        <f>HYPERLINK("http://141.218.60.56/~jnz1568/getInfo.php?workbook=18_08.xlsx&amp;sheet=U0&amp;row=6529&amp;col=7&amp;number=0.00636&amp;sourceID=14","0.00636")</f>
        <v>0.00636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HYPERLINK("http://141.218.60.56/~jnz1568/getInfo.php?workbook=18_08.xlsx&amp;sheet=U0&amp;row=6530&amp;col=6&amp;number=3.6&amp;sourceID=14","3.6")</f>
        <v>3.6</v>
      </c>
      <c r="G6530" s="4" t="str">
        <f>HYPERLINK("http://141.218.60.56/~jnz1568/getInfo.php?workbook=18_08.xlsx&amp;sheet=U0&amp;row=6530&amp;col=7&amp;number=0.00636&amp;sourceID=14","0.00636")</f>
        <v>0.00636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HYPERLINK("http://141.218.60.56/~jnz1568/getInfo.php?workbook=18_08.xlsx&amp;sheet=U0&amp;row=6531&amp;col=6&amp;number=3.7&amp;sourceID=14","3.7")</f>
        <v>3.7</v>
      </c>
      <c r="G6531" s="4" t="str">
        <f>HYPERLINK("http://141.218.60.56/~jnz1568/getInfo.php?workbook=18_08.xlsx&amp;sheet=U0&amp;row=6531&amp;col=7&amp;number=0.00636&amp;sourceID=14","0.00636")</f>
        <v>0.00636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HYPERLINK("http://141.218.60.56/~jnz1568/getInfo.php?workbook=18_08.xlsx&amp;sheet=U0&amp;row=6532&amp;col=6&amp;number=3.8&amp;sourceID=14","3.8")</f>
        <v>3.8</v>
      </c>
      <c r="G6532" s="4" t="str">
        <f>HYPERLINK("http://141.218.60.56/~jnz1568/getInfo.php?workbook=18_08.xlsx&amp;sheet=U0&amp;row=6532&amp;col=7&amp;number=0.00636&amp;sourceID=14","0.00636")</f>
        <v>0.00636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HYPERLINK("http://141.218.60.56/~jnz1568/getInfo.php?workbook=18_08.xlsx&amp;sheet=U0&amp;row=6533&amp;col=6&amp;number=3.9&amp;sourceID=14","3.9")</f>
        <v>3.9</v>
      </c>
      <c r="G6533" s="4" t="str">
        <f>HYPERLINK("http://141.218.60.56/~jnz1568/getInfo.php?workbook=18_08.xlsx&amp;sheet=U0&amp;row=6533&amp;col=7&amp;number=0.00635&amp;sourceID=14","0.00635")</f>
        <v>0.00635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HYPERLINK("http://141.218.60.56/~jnz1568/getInfo.php?workbook=18_08.xlsx&amp;sheet=U0&amp;row=6534&amp;col=6&amp;number=4&amp;sourceID=14","4")</f>
        <v>4</v>
      </c>
      <c r="G6534" s="4" t="str">
        <f>HYPERLINK("http://141.218.60.56/~jnz1568/getInfo.php?workbook=18_08.xlsx&amp;sheet=U0&amp;row=6534&amp;col=7&amp;number=0.00635&amp;sourceID=14","0.00635")</f>
        <v>0.00635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HYPERLINK("http://141.218.60.56/~jnz1568/getInfo.php?workbook=18_08.xlsx&amp;sheet=U0&amp;row=6535&amp;col=6&amp;number=4.1&amp;sourceID=14","4.1")</f>
        <v>4.1</v>
      </c>
      <c r="G6535" s="4" t="str">
        <f>HYPERLINK("http://141.218.60.56/~jnz1568/getInfo.php?workbook=18_08.xlsx&amp;sheet=U0&amp;row=6535&amp;col=7&amp;number=0.00635&amp;sourceID=14","0.00635")</f>
        <v>0.00635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HYPERLINK("http://141.218.60.56/~jnz1568/getInfo.php?workbook=18_08.xlsx&amp;sheet=U0&amp;row=6536&amp;col=6&amp;number=4.2&amp;sourceID=14","4.2")</f>
        <v>4.2</v>
      </c>
      <c r="G6536" s="4" t="str">
        <f>HYPERLINK("http://141.218.60.56/~jnz1568/getInfo.php?workbook=18_08.xlsx&amp;sheet=U0&amp;row=6536&amp;col=7&amp;number=0.00635&amp;sourceID=14","0.00635")</f>
        <v>0.00635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HYPERLINK("http://141.218.60.56/~jnz1568/getInfo.php?workbook=18_08.xlsx&amp;sheet=U0&amp;row=6537&amp;col=6&amp;number=4.3&amp;sourceID=14","4.3")</f>
        <v>4.3</v>
      </c>
      <c r="G6537" s="4" t="str">
        <f>HYPERLINK("http://141.218.60.56/~jnz1568/getInfo.php?workbook=18_08.xlsx&amp;sheet=U0&amp;row=6537&amp;col=7&amp;number=0.00635&amp;sourceID=14","0.00635")</f>
        <v>0.00635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HYPERLINK("http://141.218.60.56/~jnz1568/getInfo.php?workbook=18_08.xlsx&amp;sheet=U0&amp;row=6538&amp;col=6&amp;number=4.4&amp;sourceID=14","4.4")</f>
        <v>4.4</v>
      </c>
      <c r="G6538" s="4" t="str">
        <f>HYPERLINK("http://141.218.60.56/~jnz1568/getInfo.php?workbook=18_08.xlsx&amp;sheet=U0&amp;row=6538&amp;col=7&amp;number=0.00634&amp;sourceID=14","0.00634")</f>
        <v>0.00634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HYPERLINK("http://141.218.60.56/~jnz1568/getInfo.php?workbook=18_08.xlsx&amp;sheet=U0&amp;row=6539&amp;col=6&amp;number=4.5&amp;sourceID=14","4.5")</f>
        <v>4.5</v>
      </c>
      <c r="G6539" s="4" t="str">
        <f>HYPERLINK("http://141.218.60.56/~jnz1568/getInfo.php?workbook=18_08.xlsx&amp;sheet=U0&amp;row=6539&amp;col=7&amp;number=0.00634&amp;sourceID=14","0.00634")</f>
        <v>0.00634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HYPERLINK("http://141.218.60.56/~jnz1568/getInfo.php?workbook=18_08.xlsx&amp;sheet=U0&amp;row=6540&amp;col=6&amp;number=4.6&amp;sourceID=14","4.6")</f>
        <v>4.6</v>
      </c>
      <c r="G6540" s="4" t="str">
        <f>HYPERLINK("http://141.218.60.56/~jnz1568/getInfo.php?workbook=18_08.xlsx&amp;sheet=U0&amp;row=6540&amp;col=7&amp;number=0.00633&amp;sourceID=14","0.00633")</f>
        <v>0.00633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HYPERLINK("http://141.218.60.56/~jnz1568/getInfo.php?workbook=18_08.xlsx&amp;sheet=U0&amp;row=6541&amp;col=6&amp;number=4.7&amp;sourceID=14","4.7")</f>
        <v>4.7</v>
      </c>
      <c r="G6541" s="4" t="str">
        <f>HYPERLINK("http://141.218.60.56/~jnz1568/getInfo.php?workbook=18_08.xlsx&amp;sheet=U0&amp;row=6541&amp;col=7&amp;number=0.00633&amp;sourceID=14","0.00633")</f>
        <v>0.00633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HYPERLINK("http://141.218.60.56/~jnz1568/getInfo.php?workbook=18_08.xlsx&amp;sheet=U0&amp;row=6542&amp;col=6&amp;number=4.8&amp;sourceID=14","4.8")</f>
        <v>4.8</v>
      </c>
      <c r="G6542" s="4" t="str">
        <f>HYPERLINK("http://141.218.60.56/~jnz1568/getInfo.php?workbook=18_08.xlsx&amp;sheet=U0&amp;row=6542&amp;col=7&amp;number=0.00632&amp;sourceID=14","0.00632")</f>
        <v>0.00632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HYPERLINK("http://141.218.60.56/~jnz1568/getInfo.php?workbook=18_08.xlsx&amp;sheet=U0&amp;row=6543&amp;col=6&amp;number=4.9&amp;sourceID=14","4.9")</f>
        <v>4.9</v>
      </c>
      <c r="G6543" s="4" t="str">
        <f>HYPERLINK("http://141.218.60.56/~jnz1568/getInfo.php?workbook=18_08.xlsx&amp;sheet=U0&amp;row=6543&amp;col=7&amp;number=0.00631&amp;sourceID=14","0.00631")</f>
        <v>0.00631</v>
      </c>
    </row>
    <row r="6544" spans="1:7">
      <c r="A6544" s="3">
        <v>18</v>
      </c>
      <c r="B6544" s="3">
        <v>8</v>
      </c>
      <c r="C6544" s="3" t="s">
        <v>77</v>
      </c>
      <c r="D6544" s="3">
        <v>0</v>
      </c>
      <c r="E6544" s="3">
        <v>1</v>
      </c>
      <c r="F6544" s="4" t="str">
        <f>HYPERLINK("http://141.218.60.56/~jnz1568/getInfo.php?workbook=18_08.xlsx&amp;sheet=U0&amp;row=6544&amp;col=6&amp;number=3&amp;sourceID=14","3")</f>
        <v>3</v>
      </c>
      <c r="G6544" s="4" t="str">
        <f>HYPERLINK("http://141.218.60.56/~jnz1568/getInfo.php?workbook=18_08.xlsx&amp;sheet=U0&amp;row=6544&amp;col=7&amp;number=0.00955&amp;sourceID=14","0.00955")</f>
        <v>0.00955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HYPERLINK("http://141.218.60.56/~jnz1568/getInfo.php?workbook=18_08.xlsx&amp;sheet=U0&amp;row=6545&amp;col=6&amp;number=3.1&amp;sourceID=14","3.1")</f>
        <v>3.1</v>
      </c>
      <c r="G6545" s="4" t="str">
        <f>HYPERLINK("http://141.218.60.56/~jnz1568/getInfo.php?workbook=18_08.xlsx&amp;sheet=U0&amp;row=6545&amp;col=7&amp;number=0.00955&amp;sourceID=14","0.00955")</f>
        <v>0.00955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HYPERLINK("http://141.218.60.56/~jnz1568/getInfo.php?workbook=18_08.xlsx&amp;sheet=U0&amp;row=6546&amp;col=6&amp;number=3.2&amp;sourceID=14","3.2")</f>
        <v>3.2</v>
      </c>
      <c r="G6546" s="4" t="str">
        <f>HYPERLINK("http://141.218.60.56/~jnz1568/getInfo.php?workbook=18_08.xlsx&amp;sheet=U0&amp;row=6546&amp;col=7&amp;number=0.00955&amp;sourceID=14","0.00955")</f>
        <v>0.00955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HYPERLINK("http://141.218.60.56/~jnz1568/getInfo.php?workbook=18_08.xlsx&amp;sheet=U0&amp;row=6547&amp;col=6&amp;number=3.3&amp;sourceID=14","3.3")</f>
        <v>3.3</v>
      </c>
      <c r="G6547" s="4" t="str">
        <f>HYPERLINK("http://141.218.60.56/~jnz1568/getInfo.php?workbook=18_08.xlsx&amp;sheet=U0&amp;row=6547&amp;col=7&amp;number=0.00955&amp;sourceID=14","0.00955")</f>
        <v>0.00955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HYPERLINK("http://141.218.60.56/~jnz1568/getInfo.php?workbook=18_08.xlsx&amp;sheet=U0&amp;row=6548&amp;col=6&amp;number=3.4&amp;sourceID=14","3.4")</f>
        <v>3.4</v>
      </c>
      <c r="G6548" s="4" t="str">
        <f>HYPERLINK("http://141.218.60.56/~jnz1568/getInfo.php?workbook=18_08.xlsx&amp;sheet=U0&amp;row=6548&amp;col=7&amp;number=0.00955&amp;sourceID=14","0.00955")</f>
        <v>0.00955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HYPERLINK("http://141.218.60.56/~jnz1568/getInfo.php?workbook=18_08.xlsx&amp;sheet=U0&amp;row=6549&amp;col=6&amp;number=3.5&amp;sourceID=14","3.5")</f>
        <v>3.5</v>
      </c>
      <c r="G6549" s="4" t="str">
        <f>HYPERLINK("http://141.218.60.56/~jnz1568/getInfo.php?workbook=18_08.xlsx&amp;sheet=U0&amp;row=6549&amp;col=7&amp;number=0.00955&amp;sourceID=14","0.00955")</f>
        <v>0.00955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HYPERLINK("http://141.218.60.56/~jnz1568/getInfo.php?workbook=18_08.xlsx&amp;sheet=U0&amp;row=6550&amp;col=6&amp;number=3.6&amp;sourceID=14","3.6")</f>
        <v>3.6</v>
      </c>
      <c r="G6550" s="4" t="str">
        <f>HYPERLINK("http://141.218.60.56/~jnz1568/getInfo.php?workbook=18_08.xlsx&amp;sheet=U0&amp;row=6550&amp;col=7&amp;number=0.00955&amp;sourceID=14","0.00955")</f>
        <v>0.00955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HYPERLINK("http://141.218.60.56/~jnz1568/getInfo.php?workbook=18_08.xlsx&amp;sheet=U0&amp;row=6551&amp;col=6&amp;number=3.7&amp;sourceID=14","3.7")</f>
        <v>3.7</v>
      </c>
      <c r="G6551" s="4" t="str">
        <f>HYPERLINK("http://141.218.60.56/~jnz1568/getInfo.php?workbook=18_08.xlsx&amp;sheet=U0&amp;row=6551&amp;col=7&amp;number=0.00954&amp;sourceID=14","0.00954")</f>
        <v>0.00954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HYPERLINK("http://141.218.60.56/~jnz1568/getInfo.php?workbook=18_08.xlsx&amp;sheet=U0&amp;row=6552&amp;col=6&amp;number=3.8&amp;sourceID=14","3.8")</f>
        <v>3.8</v>
      </c>
      <c r="G6552" s="4" t="str">
        <f>HYPERLINK("http://141.218.60.56/~jnz1568/getInfo.php?workbook=18_08.xlsx&amp;sheet=U0&amp;row=6552&amp;col=7&amp;number=0.00954&amp;sourceID=14","0.00954")</f>
        <v>0.00954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HYPERLINK("http://141.218.60.56/~jnz1568/getInfo.php?workbook=18_08.xlsx&amp;sheet=U0&amp;row=6553&amp;col=6&amp;number=3.9&amp;sourceID=14","3.9")</f>
        <v>3.9</v>
      </c>
      <c r="G6553" s="4" t="str">
        <f>HYPERLINK("http://141.218.60.56/~jnz1568/getInfo.php?workbook=18_08.xlsx&amp;sheet=U0&amp;row=6553&amp;col=7&amp;number=0.00954&amp;sourceID=14","0.00954")</f>
        <v>0.00954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HYPERLINK("http://141.218.60.56/~jnz1568/getInfo.php?workbook=18_08.xlsx&amp;sheet=U0&amp;row=6554&amp;col=6&amp;number=4&amp;sourceID=14","4")</f>
        <v>4</v>
      </c>
      <c r="G6554" s="4" t="str">
        <f>HYPERLINK("http://141.218.60.56/~jnz1568/getInfo.php?workbook=18_08.xlsx&amp;sheet=U0&amp;row=6554&amp;col=7&amp;number=0.00954&amp;sourceID=14","0.00954")</f>
        <v>0.00954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HYPERLINK("http://141.218.60.56/~jnz1568/getInfo.php?workbook=18_08.xlsx&amp;sheet=U0&amp;row=6555&amp;col=6&amp;number=4.1&amp;sourceID=14","4.1")</f>
        <v>4.1</v>
      </c>
      <c r="G6555" s="4" t="str">
        <f>HYPERLINK("http://141.218.60.56/~jnz1568/getInfo.php?workbook=18_08.xlsx&amp;sheet=U0&amp;row=6555&amp;col=7&amp;number=0.00953&amp;sourceID=14","0.00953")</f>
        <v>0.00953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HYPERLINK("http://141.218.60.56/~jnz1568/getInfo.php?workbook=18_08.xlsx&amp;sheet=U0&amp;row=6556&amp;col=6&amp;number=4.2&amp;sourceID=14","4.2")</f>
        <v>4.2</v>
      </c>
      <c r="G6556" s="4" t="str">
        <f>HYPERLINK("http://141.218.60.56/~jnz1568/getInfo.php?workbook=18_08.xlsx&amp;sheet=U0&amp;row=6556&amp;col=7&amp;number=0.00953&amp;sourceID=14","0.00953")</f>
        <v>0.00953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HYPERLINK("http://141.218.60.56/~jnz1568/getInfo.php?workbook=18_08.xlsx&amp;sheet=U0&amp;row=6557&amp;col=6&amp;number=4.3&amp;sourceID=14","4.3")</f>
        <v>4.3</v>
      </c>
      <c r="G6557" s="4" t="str">
        <f>HYPERLINK("http://141.218.60.56/~jnz1568/getInfo.php?workbook=18_08.xlsx&amp;sheet=U0&amp;row=6557&amp;col=7&amp;number=0.00952&amp;sourceID=14","0.00952")</f>
        <v>0.00952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HYPERLINK("http://141.218.60.56/~jnz1568/getInfo.php?workbook=18_08.xlsx&amp;sheet=U0&amp;row=6558&amp;col=6&amp;number=4.4&amp;sourceID=14","4.4")</f>
        <v>4.4</v>
      </c>
      <c r="G6558" s="4" t="str">
        <f>HYPERLINK("http://141.218.60.56/~jnz1568/getInfo.php?workbook=18_08.xlsx&amp;sheet=U0&amp;row=6558&amp;col=7&amp;number=0.00951&amp;sourceID=14","0.00951")</f>
        <v>0.00951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HYPERLINK("http://141.218.60.56/~jnz1568/getInfo.php?workbook=18_08.xlsx&amp;sheet=U0&amp;row=6559&amp;col=6&amp;number=4.5&amp;sourceID=14","4.5")</f>
        <v>4.5</v>
      </c>
      <c r="G6559" s="4" t="str">
        <f>HYPERLINK("http://141.218.60.56/~jnz1568/getInfo.php?workbook=18_08.xlsx&amp;sheet=U0&amp;row=6559&amp;col=7&amp;number=0.0095&amp;sourceID=14","0.0095")</f>
        <v>0.0095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HYPERLINK("http://141.218.60.56/~jnz1568/getInfo.php?workbook=18_08.xlsx&amp;sheet=U0&amp;row=6560&amp;col=6&amp;number=4.6&amp;sourceID=14","4.6")</f>
        <v>4.6</v>
      </c>
      <c r="G6560" s="4" t="str">
        <f>HYPERLINK("http://141.218.60.56/~jnz1568/getInfo.php?workbook=18_08.xlsx&amp;sheet=U0&amp;row=6560&amp;col=7&amp;number=0.00949&amp;sourceID=14","0.00949")</f>
        <v>0.00949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HYPERLINK("http://141.218.60.56/~jnz1568/getInfo.php?workbook=18_08.xlsx&amp;sheet=U0&amp;row=6561&amp;col=6&amp;number=4.7&amp;sourceID=14","4.7")</f>
        <v>4.7</v>
      </c>
      <c r="G6561" s="4" t="str">
        <f>HYPERLINK("http://141.218.60.56/~jnz1568/getInfo.php?workbook=18_08.xlsx&amp;sheet=U0&amp;row=6561&amp;col=7&amp;number=0.00948&amp;sourceID=14","0.00948")</f>
        <v>0.00948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HYPERLINK("http://141.218.60.56/~jnz1568/getInfo.php?workbook=18_08.xlsx&amp;sheet=U0&amp;row=6562&amp;col=6&amp;number=4.8&amp;sourceID=14","4.8")</f>
        <v>4.8</v>
      </c>
      <c r="G6562" s="4" t="str">
        <f>HYPERLINK("http://141.218.60.56/~jnz1568/getInfo.php?workbook=18_08.xlsx&amp;sheet=U0&amp;row=6562&amp;col=7&amp;number=0.00946&amp;sourceID=14","0.00946")</f>
        <v>0.00946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HYPERLINK("http://141.218.60.56/~jnz1568/getInfo.php?workbook=18_08.xlsx&amp;sheet=U0&amp;row=6563&amp;col=6&amp;number=4.9&amp;sourceID=14","4.9")</f>
        <v>4.9</v>
      </c>
      <c r="G6563" s="4" t="str">
        <f>HYPERLINK("http://141.218.60.56/~jnz1568/getInfo.php?workbook=18_08.xlsx&amp;sheet=U0&amp;row=6563&amp;col=7&amp;number=0.00943&amp;sourceID=14","0.00943")</f>
        <v>0.00943</v>
      </c>
    </row>
    <row r="6564" spans="1:7">
      <c r="A6564" s="3">
        <v>18</v>
      </c>
      <c r="B6564" s="3">
        <v>8</v>
      </c>
      <c r="C6564" s="3" t="s">
        <v>77</v>
      </c>
      <c r="D6564" s="3">
        <v>1</v>
      </c>
      <c r="E6564" s="3">
        <v>1</v>
      </c>
      <c r="F6564" s="4" t="str">
        <f>HYPERLINK("http://141.218.60.56/~jnz1568/getInfo.php?workbook=18_08.xlsx&amp;sheet=U0&amp;row=6564&amp;col=6&amp;number=3&amp;sourceID=14","3")</f>
        <v>3</v>
      </c>
      <c r="G6564" s="4" t="str">
        <f>HYPERLINK("http://141.218.60.56/~jnz1568/getInfo.php?workbook=18_08.xlsx&amp;sheet=U0&amp;row=6564&amp;col=7&amp;number=0.0319&amp;sourceID=14","0.0319")</f>
        <v>0.0319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HYPERLINK("http://141.218.60.56/~jnz1568/getInfo.php?workbook=18_08.xlsx&amp;sheet=U0&amp;row=6565&amp;col=6&amp;number=3.1&amp;sourceID=14","3.1")</f>
        <v>3.1</v>
      </c>
      <c r="G6565" s="4" t="str">
        <f>HYPERLINK("http://141.218.60.56/~jnz1568/getInfo.php?workbook=18_08.xlsx&amp;sheet=U0&amp;row=6565&amp;col=7&amp;number=0.0319&amp;sourceID=14","0.0319")</f>
        <v>0.0319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HYPERLINK("http://141.218.60.56/~jnz1568/getInfo.php?workbook=18_08.xlsx&amp;sheet=U0&amp;row=6566&amp;col=6&amp;number=3.2&amp;sourceID=14","3.2")</f>
        <v>3.2</v>
      </c>
      <c r="G6566" s="4" t="str">
        <f>HYPERLINK("http://141.218.60.56/~jnz1568/getInfo.php?workbook=18_08.xlsx&amp;sheet=U0&amp;row=6566&amp;col=7&amp;number=0.0319&amp;sourceID=14","0.0319")</f>
        <v>0.0319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HYPERLINK("http://141.218.60.56/~jnz1568/getInfo.php?workbook=18_08.xlsx&amp;sheet=U0&amp;row=6567&amp;col=6&amp;number=3.3&amp;sourceID=14","3.3")</f>
        <v>3.3</v>
      </c>
      <c r="G6567" s="4" t="str">
        <f>HYPERLINK("http://141.218.60.56/~jnz1568/getInfo.php?workbook=18_08.xlsx&amp;sheet=U0&amp;row=6567&amp;col=7&amp;number=0.0319&amp;sourceID=14","0.0319")</f>
        <v>0.0319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HYPERLINK("http://141.218.60.56/~jnz1568/getInfo.php?workbook=18_08.xlsx&amp;sheet=U0&amp;row=6568&amp;col=6&amp;number=3.4&amp;sourceID=14","3.4")</f>
        <v>3.4</v>
      </c>
      <c r="G6568" s="4" t="str">
        <f>HYPERLINK("http://141.218.60.56/~jnz1568/getInfo.php?workbook=18_08.xlsx&amp;sheet=U0&amp;row=6568&amp;col=7&amp;number=0.0319&amp;sourceID=14","0.0319")</f>
        <v>0.0319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HYPERLINK("http://141.218.60.56/~jnz1568/getInfo.php?workbook=18_08.xlsx&amp;sheet=U0&amp;row=6569&amp;col=6&amp;number=3.5&amp;sourceID=14","3.5")</f>
        <v>3.5</v>
      </c>
      <c r="G6569" s="4" t="str">
        <f>HYPERLINK("http://141.218.60.56/~jnz1568/getInfo.php?workbook=18_08.xlsx&amp;sheet=U0&amp;row=6569&amp;col=7&amp;number=0.0319&amp;sourceID=14","0.0319")</f>
        <v>0.0319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HYPERLINK("http://141.218.60.56/~jnz1568/getInfo.php?workbook=18_08.xlsx&amp;sheet=U0&amp;row=6570&amp;col=6&amp;number=3.6&amp;sourceID=14","3.6")</f>
        <v>3.6</v>
      </c>
      <c r="G6570" s="4" t="str">
        <f>HYPERLINK("http://141.218.60.56/~jnz1568/getInfo.php?workbook=18_08.xlsx&amp;sheet=U0&amp;row=6570&amp;col=7&amp;number=0.0319&amp;sourceID=14","0.0319")</f>
        <v>0.0319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HYPERLINK("http://141.218.60.56/~jnz1568/getInfo.php?workbook=18_08.xlsx&amp;sheet=U0&amp;row=6571&amp;col=6&amp;number=3.7&amp;sourceID=14","3.7")</f>
        <v>3.7</v>
      </c>
      <c r="G6571" s="4" t="str">
        <f>HYPERLINK("http://141.218.60.56/~jnz1568/getInfo.php?workbook=18_08.xlsx&amp;sheet=U0&amp;row=6571&amp;col=7&amp;number=0.0319&amp;sourceID=14","0.0319")</f>
        <v>0.0319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HYPERLINK("http://141.218.60.56/~jnz1568/getInfo.php?workbook=18_08.xlsx&amp;sheet=U0&amp;row=6572&amp;col=6&amp;number=3.8&amp;sourceID=14","3.8")</f>
        <v>3.8</v>
      </c>
      <c r="G6572" s="4" t="str">
        <f>HYPERLINK("http://141.218.60.56/~jnz1568/getInfo.php?workbook=18_08.xlsx&amp;sheet=U0&amp;row=6572&amp;col=7&amp;number=0.0319&amp;sourceID=14","0.0319")</f>
        <v>0.0319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HYPERLINK("http://141.218.60.56/~jnz1568/getInfo.php?workbook=18_08.xlsx&amp;sheet=U0&amp;row=6573&amp;col=6&amp;number=3.9&amp;sourceID=14","3.9")</f>
        <v>3.9</v>
      </c>
      <c r="G6573" s="4" t="str">
        <f>HYPERLINK("http://141.218.60.56/~jnz1568/getInfo.php?workbook=18_08.xlsx&amp;sheet=U0&amp;row=6573&amp;col=7&amp;number=0.0319&amp;sourceID=14","0.0319")</f>
        <v>0.0319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HYPERLINK("http://141.218.60.56/~jnz1568/getInfo.php?workbook=18_08.xlsx&amp;sheet=U0&amp;row=6574&amp;col=6&amp;number=4&amp;sourceID=14","4")</f>
        <v>4</v>
      </c>
      <c r="G6574" s="4" t="str">
        <f>HYPERLINK("http://141.218.60.56/~jnz1568/getInfo.php?workbook=18_08.xlsx&amp;sheet=U0&amp;row=6574&amp;col=7&amp;number=0.0319&amp;sourceID=14","0.0319")</f>
        <v>0.0319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HYPERLINK("http://141.218.60.56/~jnz1568/getInfo.php?workbook=18_08.xlsx&amp;sheet=U0&amp;row=6575&amp;col=6&amp;number=4.1&amp;sourceID=14","4.1")</f>
        <v>4.1</v>
      </c>
      <c r="G6575" s="4" t="str">
        <f>HYPERLINK("http://141.218.60.56/~jnz1568/getInfo.php?workbook=18_08.xlsx&amp;sheet=U0&amp;row=6575&amp;col=7&amp;number=0.032&amp;sourceID=14","0.032")</f>
        <v>0.032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HYPERLINK("http://141.218.60.56/~jnz1568/getInfo.php?workbook=18_08.xlsx&amp;sheet=U0&amp;row=6576&amp;col=6&amp;number=4.2&amp;sourceID=14","4.2")</f>
        <v>4.2</v>
      </c>
      <c r="G6576" s="4" t="str">
        <f>HYPERLINK("http://141.218.60.56/~jnz1568/getInfo.php?workbook=18_08.xlsx&amp;sheet=U0&amp;row=6576&amp;col=7&amp;number=0.032&amp;sourceID=14","0.032")</f>
        <v>0.032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HYPERLINK("http://141.218.60.56/~jnz1568/getInfo.php?workbook=18_08.xlsx&amp;sheet=U0&amp;row=6577&amp;col=6&amp;number=4.3&amp;sourceID=14","4.3")</f>
        <v>4.3</v>
      </c>
      <c r="G6577" s="4" t="str">
        <f>HYPERLINK("http://141.218.60.56/~jnz1568/getInfo.php?workbook=18_08.xlsx&amp;sheet=U0&amp;row=6577&amp;col=7&amp;number=0.032&amp;sourceID=14","0.032")</f>
        <v>0.032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HYPERLINK("http://141.218.60.56/~jnz1568/getInfo.php?workbook=18_08.xlsx&amp;sheet=U0&amp;row=6578&amp;col=6&amp;number=4.4&amp;sourceID=14","4.4")</f>
        <v>4.4</v>
      </c>
      <c r="G6578" s="4" t="str">
        <f>HYPERLINK("http://141.218.60.56/~jnz1568/getInfo.php?workbook=18_08.xlsx&amp;sheet=U0&amp;row=6578&amp;col=7&amp;number=0.032&amp;sourceID=14","0.032")</f>
        <v>0.032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HYPERLINK("http://141.218.60.56/~jnz1568/getInfo.php?workbook=18_08.xlsx&amp;sheet=U0&amp;row=6579&amp;col=6&amp;number=4.5&amp;sourceID=14","4.5")</f>
        <v>4.5</v>
      </c>
      <c r="G6579" s="4" t="str">
        <f>HYPERLINK("http://141.218.60.56/~jnz1568/getInfo.php?workbook=18_08.xlsx&amp;sheet=U0&amp;row=6579&amp;col=7&amp;number=0.0321&amp;sourceID=14","0.0321")</f>
        <v>0.0321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HYPERLINK("http://141.218.60.56/~jnz1568/getInfo.php?workbook=18_08.xlsx&amp;sheet=U0&amp;row=6580&amp;col=6&amp;number=4.6&amp;sourceID=14","4.6")</f>
        <v>4.6</v>
      </c>
      <c r="G6580" s="4" t="str">
        <f>HYPERLINK("http://141.218.60.56/~jnz1568/getInfo.php?workbook=18_08.xlsx&amp;sheet=U0&amp;row=6580&amp;col=7&amp;number=0.0321&amp;sourceID=14","0.0321")</f>
        <v>0.0321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HYPERLINK("http://141.218.60.56/~jnz1568/getInfo.php?workbook=18_08.xlsx&amp;sheet=U0&amp;row=6581&amp;col=6&amp;number=4.7&amp;sourceID=14","4.7")</f>
        <v>4.7</v>
      </c>
      <c r="G6581" s="4" t="str">
        <f>HYPERLINK("http://141.218.60.56/~jnz1568/getInfo.php?workbook=18_08.xlsx&amp;sheet=U0&amp;row=6581&amp;col=7&amp;number=0.0322&amp;sourceID=14","0.0322")</f>
        <v>0.0322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HYPERLINK("http://141.218.60.56/~jnz1568/getInfo.php?workbook=18_08.xlsx&amp;sheet=U0&amp;row=6582&amp;col=6&amp;number=4.8&amp;sourceID=14","4.8")</f>
        <v>4.8</v>
      </c>
      <c r="G6582" s="4" t="str">
        <f>HYPERLINK("http://141.218.60.56/~jnz1568/getInfo.php?workbook=18_08.xlsx&amp;sheet=U0&amp;row=6582&amp;col=7&amp;number=0.0323&amp;sourceID=14","0.0323")</f>
        <v>0.0323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HYPERLINK("http://141.218.60.56/~jnz1568/getInfo.php?workbook=18_08.xlsx&amp;sheet=U0&amp;row=6583&amp;col=6&amp;number=4.9&amp;sourceID=14","4.9")</f>
        <v>4.9</v>
      </c>
      <c r="G6583" s="4" t="str">
        <f>HYPERLINK("http://141.218.60.56/~jnz1568/getInfo.php?workbook=18_08.xlsx&amp;sheet=U0&amp;row=6583&amp;col=7&amp;number=0.0323&amp;sourceID=14","0.0323")</f>
        <v>0.0323</v>
      </c>
    </row>
    <row r="6584" spans="1:7">
      <c r="A6584" s="3">
        <v>18</v>
      </c>
      <c r="B6584" s="3">
        <v>8</v>
      </c>
      <c r="C6584" s="3" t="s">
        <v>77</v>
      </c>
      <c r="D6584" s="3">
        <v>2</v>
      </c>
      <c r="E6584" s="3">
        <v>1</v>
      </c>
      <c r="F6584" s="4" t="str">
        <f>HYPERLINK("http://141.218.60.56/~jnz1568/getInfo.php?workbook=18_08.xlsx&amp;sheet=U0&amp;row=6584&amp;col=6&amp;number=3&amp;sourceID=14","3")</f>
        <v>3</v>
      </c>
      <c r="G6584" s="4" t="str">
        <f>HYPERLINK("http://141.218.60.56/~jnz1568/getInfo.php?workbook=18_08.xlsx&amp;sheet=U0&amp;row=6584&amp;col=7&amp;number=0.0145&amp;sourceID=14","0.0145")</f>
        <v>0.0145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HYPERLINK("http://141.218.60.56/~jnz1568/getInfo.php?workbook=18_08.xlsx&amp;sheet=U0&amp;row=6585&amp;col=6&amp;number=3.1&amp;sourceID=14","3.1")</f>
        <v>3.1</v>
      </c>
      <c r="G6585" s="4" t="str">
        <f>HYPERLINK("http://141.218.60.56/~jnz1568/getInfo.php?workbook=18_08.xlsx&amp;sheet=U0&amp;row=6585&amp;col=7&amp;number=0.0145&amp;sourceID=14","0.0145")</f>
        <v>0.0145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HYPERLINK("http://141.218.60.56/~jnz1568/getInfo.php?workbook=18_08.xlsx&amp;sheet=U0&amp;row=6586&amp;col=6&amp;number=3.2&amp;sourceID=14","3.2")</f>
        <v>3.2</v>
      </c>
      <c r="G6586" s="4" t="str">
        <f>HYPERLINK("http://141.218.60.56/~jnz1568/getInfo.php?workbook=18_08.xlsx&amp;sheet=U0&amp;row=6586&amp;col=7&amp;number=0.0145&amp;sourceID=14","0.0145")</f>
        <v>0.0145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HYPERLINK("http://141.218.60.56/~jnz1568/getInfo.php?workbook=18_08.xlsx&amp;sheet=U0&amp;row=6587&amp;col=6&amp;number=3.3&amp;sourceID=14","3.3")</f>
        <v>3.3</v>
      </c>
      <c r="G6587" s="4" t="str">
        <f>HYPERLINK("http://141.218.60.56/~jnz1568/getInfo.php?workbook=18_08.xlsx&amp;sheet=U0&amp;row=6587&amp;col=7&amp;number=0.0145&amp;sourceID=14","0.0145")</f>
        <v>0.0145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HYPERLINK("http://141.218.60.56/~jnz1568/getInfo.php?workbook=18_08.xlsx&amp;sheet=U0&amp;row=6588&amp;col=6&amp;number=3.4&amp;sourceID=14","3.4")</f>
        <v>3.4</v>
      </c>
      <c r="G6588" s="4" t="str">
        <f>HYPERLINK("http://141.218.60.56/~jnz1568/getInfo.php?workbook=18_08.xlsx&amp;sheet=U0&amp;row=6588&amp;col=7&amp;number=0.0145&amp;sourceID=14","0.0145")</f>
        <v>0.0145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HYPERLINK("http://141.218.60.56/~jnz1568/getInfo.php?workbook=18_08.xlsx&amp;sheet=U0&amp;row=6589&amp;col=6&amp;number=3.5&amp;sourceID=14","3.5")</f>
        <v>3.5</v>
      </c>
      <c r="G6589" s="4" t="str">
        <f>HYPERLINK("http://141.218.60.56/~jnz1568/getInfo.php?workbook=18_08.xlsx&amp;sheet=U0&amp;row=6589&amp;col=7&amp;number=0.0145&amp;sourceID=14","0.0145")</f>
        <v>0.0145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HYPERLINK("http://141.218.60.56/~jnz1568/getInfo.php?workbook=18_08.xlsx&amp;sheet=U0&amp;row=6590&amp;col=6&amp;number=3.6&amp;sourceID=14","3.6")</f>
        <v>3.6</v>
      </c>
      <c r="G6590" s="4" t="str">
        <f>HYPERLINK("http://141.218.60.56/~jnz1568/getInfo.php?workbook=18_08.xlsx&amp;sheet=U0&amp;row=6590&amp;col=7&amp;number=0.0145&amp;sourceID=14","0.0145")</f>
        <v>0.0145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HYPERLINK("http://141.218.60.56/~jnz1568/getInfo.php?workbook=18_08.xlsx&amp;sheet=U0&amp;row=6591&amp;col=6&amp;number=3.7&amp;sourceID=14","3.7")</f>
        <v>3.7</v>
      </c>
      <c r="G6591" s="4" t="str">
        <f>HYPERLINK("http://141.218.60.56/~jnz1568/getInfo.php?workbook=18_08.xlsx&amp;sheet=U0&amp;row=6591&amp;col=7&amp;number=0.0145&amp;sourceID=14","0.0145")</f>
        <v>0.0145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HYPERLINK("http://141.218.60.56/~jnz1568/getInfo.php?workbook=18_08.xlsx&amp;sheet=U0&amp;row=6592&amp;col=6&amp;number=3.8&amp;sourceID=14","3.8")</f>
        <v>3.8</v>
      </c>
      <c r="G6592" s="4" t="str">
        <f>HYPERLINK("http://141.218.60.56/~jnz1568/getInfo.php?workbook=18_08.xlsx&amp;sheet=U0&amp;row=6592&amp;col=7&amp;number=0.0145&amp;sourceID=14","0.0145")</f>
        <v>0.0145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HYPERLINK("http://141.218.60.56/~jnz1568/getInfo.php?workbook=18_08.xlsx&amp;sheet=U0&amp;row=6593&amp;col=6&amp;number=3.9&amp;sourceID=14","3.9")</f>
        <v>3.9</v>
      </c>
      <c r="G6593" s="4" t="str">
        <f>HYPERLINK("http://141.218.60.56/~jnz1568/getInfo.php?workbook=18_08.xlsx&amp;sheet=U0&amp;row=6593&amp;col=7&amp;number=0.0145&amp;sourceID=14","0.0145")</f>
        <v>0.0145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HYPERLINK("http://141.218.60.56/~jnz1568/getInfo.php?workbook=18_08.xlsx&amp;sheet=U0&amp;row=6594&amp;col=6&amp;number=4&amp;sourceID=14","4")</f>
        <v>4</v>
      </c>
      <c r="G6594" s="4" t="str">
        <f>HYPERLINK("http://141.218.60.56/~jnz1568/getInfo.php?workbook=18_08.xlsx&amp;sheet=U0&amp;row=6594&amp;col=7&amp;number=0.0145&amp;sourceID=14","0.0145")</f>
        <v>0.0145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HYPERLINK("http://141.218.60.56/~jnz1568/getInfo.php?workbook=18_08.xlsx&amp;sheet=U0&amp;row=6595&amp;col=6&amp;number=4.1&amp;sourceID=14","4.1")</f>
        <v>4.1</v>
      </c>
      <c r="G6595" s="4" t="str">
        <f>HYPERLINK("http://141.218.60.56/~jnz1568/getInfo.php?workbook=18_08.xlsx&amp;sheet=U0&amp;row=6595&amp;col=7&amp;number=0.0145&amp;sourceID=14","0.0145")</f>
        <v>0.0145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HYPERLINK("http://141.218.60.56/~jnz1568/getInfo.php?workbook=18_08.xlsx&amp;sheet=U0&amp;row=6596&amp;col=6&amp;number=4.2&amp;sourceID=14","4.2")</f>
        <v>4.2</v>
      </c>
      <c r="G6596" s="4" t="str">
        <f>HYPERLINK("http://141.218.60.56/~jnz1568/getInfo.php?workbook=18_08.xlsx&amp;sheet=U0&amp;row=6596&amp;col=7&amp;number=0.0145&amp;sourceID=14","0.0145")</f>
        <v>0.0145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HYPERLINK("http://141.218.60.56/~jnz1568/getInfo.php?workbook=18_08.xlsx&amp;sheet=U0&amp;row=6597&amp;col=6&amp;number=4.3&amp;sourceID=14","4.3")</f>
        <v>4.3</v>
      </c>
      <c r="G6597" s="4" t="str">
        <f>HYPERLINK("http://141.218.60.56/~jnz1568/getInfo.php?workbook=18_08.xlsx&amp;sheet=U0&amp;row=6597&amp;col=7&amp;number=0.0145&amp;sourceID=14","0.0145")</f>
        <v>0.0145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HYPERLINK("http://141.218.60.56/~jnz1568/getInfo.php?workbook=18_08.xlsx&amp;sheet=U0&amp;row=6598&amp;col=6&amp;number=4.4&amp;sourceID=14","4.4")</f>
        <v>4.4</v>
      </c>
      <c r="G6598" s="4" t="str">
        <f>HYPERLINK("http://141.218.60.56/~jnz1568/getInfo.php?workbook=18_08.xlsx&amp;sheet=U0&amp;row=6598&amp;col=7&amp;number=0.0145&amp;sourceID=14","0.0145")</f>
        <v>0.0145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HYPERLINK("http://141.218.60.56/~jnz1568/getInfo.php?workbook=18_08.xlsx&amp;sheet=U0&amp;row=6599&amp;col=6&amp;number=4.5&amp;sourceID=14","4.5")</f>
        <v>4.5</v>
      </c>
      <c r="G6599" s="4" t="str">
        <f>HYPERLINK("http://141.218.60.56/~jnz1568/getInfo.php?workbook=18_08.xlsx&amp;sheet=U0&amp;row=6599&amp;col=7&amp;number=0.0145&amp;sourceID=14","0.0145")</f>
        <v>0.0145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HYPERLINK("http://141.218.60.56/~jnz1568/getInfo.php?workbook=18_08.xlsx&amp;sheet=U0&amp;row=6600&amp;col=6&amp;number=4.6&amp;sourceID=14","4.6")</f>
        <v>4.6</v>
      </c>
      <c r="G6600" s="4" t="str">
        <f>HYPERLINK("http://141.218.60.56/~jnz1568/getInfo.php?workbook=18_08.xlsx&amp;sheet=U0&amp;row=6600&amp;col=7&amp;number=0.0145&amp;sourceID=14","0.0145")</f>
        <v>0.0145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HYPERLINK("http://141.218.60.56/~jnz1568/getInfo.php?workbook=18_08.xlsx&amp;sheet=U0&amp;row=6601&amp;col=6&amp;number=4.7&amp;sourceID=14","4.7")</f>
        <v>4.7</v>
      </c>
      <c r="G6601" s="4" t="str">
        <f>HYPERLINK("http://141.218.60.56/~jnz1568/getInfo.php?workbook=18_08.xlsx&amp;sheet=U0&amp;row=6601&amp;col=7&amp;number=0.0145&amp;sourceID=14","0.0145")</f>
        <v>0.0145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HYPERLINK("http://141.218.60.56/~jnz1568/getInfo.php?workbook=18_08.xlsx&amp;sheet=U0&amp;row=6602&amp;col=6&amp;number=4.8&amp;sourceID=14","4.8")</f>
        <v>4.8</v>
      </c>
      <c r="G6602" s="4" t="str">
        <f>HYPERLINK("http://141.218.60.56/~jnz1568/getInfo.php?workbook=18_08.xlsx&amp;sheet=U0&amp;row=6602&amp;col=7&amp;number=0.0144&amp;sourceID=14","0.0144")</f>
        <v>0.0144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HYPERLINK("http://141.218.60.56/~jnz1568/getInfo.php?workbook=18_08.xlsx&amp;sheet=U0&amp;row=6603&amp;col=6&amp;number=4.9&amp;sourceID=14","4.9")</f>
        <v>4.9</v>
      </c>
      <c r="G6603" s="4" t="str">
        <f>HYPERLINK("http://141.218.60.56/~jnz1568/getInfo.php?workbook=18_08.xlsx&amp;sheet=U0&amp;row=6603&amp;col=7&amp;number=0.0144&amp;sourceID=14","0.0144")</f>
        <v>0.0144</v>
      </c>
    </row>
    <row r="6604" spans="1:7">
      <c r="A6604" s="3">
        <v>18</v>
      </c>
      <c r="B6604" s="3">
        <v>8</v>
      </c>
      <c r="C6604" s="3" t="s">
        <v>77</v>
      </c>
      <c r="D6604" s="3">
        <v>3</v>
      </c>
      <c r="E6604" s="3">
        <v>1</v>
      </c>
      <c r="F6604" s="4" t="str">
        <f>HYPERLINK("http://141.218.60.56/~jnz1568/getInfo.php?workbook=18_08.xlsx&amp;sheet=U0&amp;row=6604&amp;col=6&amp;number=3&amp;sourceID=14","3")</f>
        <v>3</v>
      </c>
      <c r="G6604" s="4" t="str">
        <f>HYPERLINK("http://141.218.60.56/~jnz1568/getInfo.php?workbook=18_08.xlsx&amp;sheet=U0&amp;row=6604&amp;col=7&amp;number=0.00546&amp;sourceID=14","0.00546")</f>
        <v>0.00546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HYPERLINK("http://141.218.60.56/~jnz1568/getInfo.php?workbook=18_08.xlsx&amp;sheet=U0&amp;row=6605&amp;col=6&amp;number=3.1&amp;sourceID=14","3.1")</f>
        <v>3.1</v>
      </c>
      <c r="G6605" s="4" t="str">
        <f>HYPERLINK("http://141.218.60.56/~jnz1568/getInfo.php?workbook=18_08.xlsx&amp;sheet=U0&amp;row=6605&amp;col=7&amp;number=0.00546&amp;sourceID=14","0.00546")</f>
        <v>0.00546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HYPERLINK("http://141.218.60.56/~jnz1568/getInfo.php?workbook=18_08.xlsx&amp;sheet=U0&amp;row=6606&amp;col=6&amp;number=3.2&amp;sourceID=14","3.2")</f>
        <v>3.2</v>
      </c>
      <c r="G6606" s="4" t="str">
        <f>HYPERLINK("http://141.218.60.56/~jnz1568/getInfo.php?workbook=18_08.xlsx&amp;sheet=U0&amp;row=6606&amp;col=7&amp;number=0.00546&amp;sourceID=14","0.00546")</f>
        <v>0.00546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HYPERLINK("http://141.218.60.56/~jnz1568/getInfo.php?workbook=18_08.xlsx&amp;sheet=U0&amp;row=6607&amp;col=6&amp;number=3.3&amp;sourceID=14","3.3")</f>
        <v>3.3</v>
      </c>
      <c r="G6607" s="4" t="str">
        <f>HYPERLINK("http://141.218.60.56/~jnz1568/getInfo.php?workbook=18_08.xlsx&amp;sheet=U0&amp;row=6607&amp;col=7&amp;number=0.00546&amp;sourceID=14","0.00546")</f>
        <v>0.00546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HYPERLINK("http://141.218.60.56/~jnz1568/getInfo.php?workbook=18_08.xlsx&amp;sheet=U0&amp;row=6608&amp;col=6&amp;number=3.4&amp;sourceID=14","3.4")</f>
        <v>3.4</v>
      </c>
      <c r="G6608" s="4" t="str">
        <f>HYPERLINK("http://141.218.60.56/~jnz1568/getInfo.php?workbook=18_08.xlsx&amp;sheet=U0&amp;row=6608&amp;col=7&amp;number=0.00546&amp;sourceID=14","0.00546")</f>
        <v>0.00546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HYPERLINK("http://141.218.60.56/~jnz1568/getInfo.php?workbook=18_08.xlsx&amp;sheet=U0&amp;row=6609&amp;col=6&amp;number=3.5&amp;sourceID=14","3.5")</f>
        <v>3.5</v>
      </c>
      <c r="G6609" s="4" t="str">
        <f>HYPERLINK("http://141.218.60.56/~jnz1568/getInfo.php?workbook=18_08.xlsx&amp;sheet=U0&amp;row=6609&amp;col=7&amp;number=0.00546&amp;sourceID=14","0.00546")</f>
        <v>0.00546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HYPERLINK("http://141.218.60.56/~jnz1568/getInfo.php?workbook=18_08.xlsx&amp;sheet=U0&amp;row=6610&amp;col=6&amp;number=3.6&amp;sourceID=14","3.6")</f>
        <v>3.6</v>
      </c>
      <c r="G6610" s="4" t="str">
        <f>HYPERLINK("http://141.218.60.56/~jnz1568/getInfo.php?workbook=18_08.xlsx&amp;sheet=U0&amp;row=6610&amp;col=7&amp;number=0.00546&amp;sourceID=14","0.00546")</f>
        <v>0.00546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HYPERLINK("http://141.218.60.56/~jnz1568/getInfo.php?workbook=18_08.xlsx&amp;sheet=U0&amp;row=6611&amp;col=6&amp;number=3.7&amp;sourceID=14","3.7")</f>
        <v>3.7</v>
      </c>
      <c r="G6611" s="4" t="str">
        <f>HYPERLINK("http://141.218.60.56/~jnz1568/getInfo.php?workbook=18_08.xlsx&amp;sheet=U0&amp;row=6611&amp;col=7&amp;number=0.00546&amp;sourceID=14","0.00546")</f>
        <v>0.00546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HYPERLINK("http://141.218.60.56/~jnz1568/getInfo.php?workbook=18_08.xlsx&amp;sheet=U0&amp;row=6612&amp;col=6&amp;number=3.8&amp;sourceID=14","3.8")</f>
        <v>3.8</v>
      </c>
      <c r="G6612" s="4" t="str">
        <f>HYPERLINK("http://141.218.60.56/~jnz1568/getInfo.php?workbook=18_08.xlsx&amp;sheet=U0&amp;row=6612&amp;col=7&amp;number=0.00546&amp;sourceID=14","0.00546")</f>
        <v>0.00546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HYPERLINK("http://141.218.60.56/~jnz1568/getInfo.php?workbook=18_08.xlsx&amp;sheet=U0&amp;row=6613&amp;col=6&amp;number=3.9&amp;sourceID=14","3.9")</f>
        <v>3.9</v>
      </c>
      <c r="G6613" s="4" t="str">
        <f>HYPERLINK("http://141.218.60.56/~jnz1568/getInfo.php?workbook=18_08.xlsx&amp;sheet=U0&amp;row=6613&amp;col=7&amp;number=0.00545&amp;sourceID=14","0.00545")</f>
        <v>0.00545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HYPERLINK("http://141.218.60.56/~jnz1568/getInfo.php?workbook=18_08.xlsx&amp;sheet=U0&amp;row=6614&amp;col=6&amp;number=4&amp;sourceID=14","4")</f>
        <v>4</v>
      </c>
      <c r="G6614" s="4" t="str">
        <f>HYPERLINK("http://141.218.60.56/~jnz1568/getInfo.php?workbook=18_08.xlsx&amp;sheet=U0&amp;row=6614&amp;col=7&amp;number=0.00545&amp;sourceID=14","0.00545")</f>
        <v>0.00545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HYPERLINK("http://141.218.60.56/~jnz1568/getInfo.php?workbook=18_08.xlsx&amp;sheet=U0&amp;row=6615&amp;col=6&amp;number=4.1&amp;sourceID=14","4.1")</f>
        <v>4.1</v>
      </c>
      <c r="G6615" s="4" t="str">
        <f>HYPERLINK("http://141.218.60.56/~jnz1568/getInfo.php?workbook=18_08.xlsx&amp;sheet=U0&amp;row=6615&amp;col=7&amp;number=0.00545&amp;sourceID=14","0.00545")</f>
        <v>0.00545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HYPERLINK("http://141.218.60.56/~jnz1568/getInfo.php?workbook=18_08.xlsx&amp;sheet=U0&amp;row=6616&amp;col=6&amp;number=4.2&amp;sourceID=14","4.2")</f>
        <v>4.2</v>
      </c>
      <c r="G6616" s="4" t="str">
        <f>HYPERLINK("http://141.218.60.56/~jnz1568/getInfo.php?workbook=18_08.xlsx&amp;sheet=U0&amp;row=6616&amp;col=7&amp;number=0.00544&amp;sourceID=14","0.00544")</f>
        <v>0.00544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HYPERLINK("http://141.218.60.56/~jnz1568/getInfo.php?workbook=18_08.xlsx&amp;sheet=U0&amp;row=6617&amp;col=6&amp;number=4.3&amp;sourceID=14","4.3")</f>
        <v>4.3</v>
      </c>
      <c r="G6617" s="4" t="str">
        <f>HYPERLINK("http://141.218.60.56/~jnz1568/getInfo.php?workbook=18_08.xlsx&amp;sheet=U0&amp;row=6617&amp;col=7&amp;number=0.00544&amp;sourceID=14","0.00544")</f>
        <v>0.00544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HYPERLINK("http://141.218.60.56/~jnz1568/getInfo.php?workbook=18_08.xlsx&amp;sheet=U0&amp;row=6618&amp;col=6&amp;number=4.4&amp;sourceID=14","4.4")</f>
        <v>4.4</v>
      </c>
      <c r="G6618" s="4" t="str">
        <f>HYPERLINK("http://141.218.60.56/~jnz1568/getInfo.php?workbook=18_08.xlsx&amp;sheet=U0&amp;row=6618&amp;col=7&amp;number=0.00543&amp;sourceID=14","0.00543")</f>
        <v>0.00543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HYPERLINK("http://141.218.60.56/~jnz1568/getInfo.php?workbook=18_08.xlsx&amp;sheet=U0&amp;row=6619&amp;col=6&amp;number=4.5&amp;sourceID=14","4.5")</f>
        <v>4.5</v>
      </c>
      <c r="G6619" s="4" t="str">
        <f>HYPERLINK("http://141.218.60.56/~jnz1568/getInfo.php?workbook=18_08.xlsx&amp;sheet=U0&amp;row=6619&amp;col=7&amp;number=0.00543&amp;sourceID=14","0.00543")</f>
        <v>0.00543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HYPERLINK("http://141.218.60.56/~jnz1568/getInfo.php?workbook=18_08.xlsx&amp;sheet=U0&amp;row=6620&amp;col=6&amp;number=4.6&amp;sourceID=14","4.6")</f>
        <v>4.6</v>
      </c>
      <c r="G6620" s="4" t="str">
        <f>HYPERLINK("http://141.218.60.56/~jnz1568/getInfo.php?workbook=18_08.xlsx&amp;sheet=U0&amp;row=6620&amp;col=7&amp;number=0.00542&amp;sourceID=14","0.00542")</f>
        <v>0.00542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HYPERLINK("http://141.218.60.56/~jnz1568/getInfo.php?workbook=18_08.xlsx&amp;sheet=U0&amp;row=6621&amp;col=6&amp;number=4.7&amp;sourceID=14","4.7")</f>
        <v>4.7</v>
      </c>
      <c r="G6621" s="4" t="str">
        <f>HYPERLINK("http://141.218.60.56/~jnz1568/getInfo.php?workbook=18_08.xlsx&amp;sheet=U0&amp;row=6621&amp;col=7&amp;number=0.00541&amp;sourceID=14","0.00541")</f>
        <v>0.00541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HYPERLINK("http://141.218.60.56/~jnz1568/getInfo.php?workbook=18_08.xlsx&amp;sheet=U0&amp;row=6622&amp;col=6&amp;number=4.8&amp;sourceID=14","4.8")</f>
        <v>4.8</v>
      </c>
      <c r="G6622" s="4" t="str">
        <f>HYPERLINK("http://141.218.60.56/~jnz1568/getInfo.php?workbook=18_08.xlsx&amp;sheet=U0&amp;row=6622&amp;col=7&amp;number=0.00539&amp;sourceID=14","0.00539")</f>
        <v>0.00539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HYPERLINK("http://141.218.60.56/~jnz1568/getInfo.php?workbook=18_08.xlsx&amp;sheet=U0&amp;row=6623&amp;col=6&amp;number=4.9&amp;sourceID=14","4.9")</f>
        <v>4.9</v>
      </c>
      <c r="G6623" s="4" t="str">
        <f>HYPERLINK("http://141.218.60.56/~jnz1568/getInfo.php?workbook=18_08.xlsx&amp;sheet=U0&amp;row=6623&amp;col=7&amp;number=0.00537&amp;sourceID=14","0.00537")</f>
        <v>0.00537</v>
      </c>
    </row>
    <row r="6624" spans="1:7">
      <c r="A6624" s="3">
        <v>18</v>
      </c>
      <c r="B6624" s="3">
        <v>8</v>
      </c>
      <c r="C6624" s="3" t="s">
        <v>77</v>
      </c>
      <c r="D6624" s="3">
        <v>4</v>
      </c>
      <c r="E6624" s="3">
        <v>1</v>
      </c>
      <c r="F6624" s="4" t="str">
        <f>HYPERLINK("http://141.218.60.56/~jnz1568/getInfo.php?workbook=18_08.xlsx&amp;sheet=U0&amp;row=6624&amp;col=6&amp;number=3&amp;sourceID=14","3")</f>
        <v>3</v>
      </c>
      <c r="G6624" s="4" t="str">
        <f>HYPERLINK("http://141.218.60.56/~jnz1568/getInfo.php?workbook=18_08.xlsx&amp;sheet=U0&amp;row=6624&amp;col=7&amp;number=0.101&amp;sourceID=14","0.101")</f>
        <v>0.101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HYPERLINK("http://141.218.60.56/~jnz1568/getInfo.php?workbook=18_08.xlsx&amp;sheet=U0&amp;row=6625&amp;col=6&amp;number=3.1&amp;sourceID=14","3.1")</f>
        <v>3.1</v>
      </c>
      <c r="G6625" s="4" t="str">
        <f>HYPERLINK("http://141.218.60.56/~jnz1568/getInfo.php?workbook=18_08.xlsx&amp;sheet=U0&amp;row=6625&amp;col=7&amp;number=0.101&amp;sourceID=14","0.101")</f>
        <v>0.101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HYPERLINK("http://141.218.60.56/~jnz1568/getInfo.php?workbook=18_08.xlsx&amp;sheet=U0&amp;row=6626&amp;col=6&amp;number=3.2&amp;sourceID=14","3.2")</f>
        <v>3.2</v>
      </c>
      <c r="G6626" s="4" t="str">
        <f>HYPERLINK("http://141.218.60.56/~jnz1568/getInfo.php?workbook=18_08.xlsx&amp;sheet=U0&amp;row=6626&amp;col=7&amp;number=0.101&amp;sourceID=14","0.101")</f>
        <v>0.101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HYPERLINK("http://141.218.60.56/~jnz1568/getInfo.php?workbook=18_08.xlsx&amp;sheet=U0&amp;row=6627&amp;col=6&amp;number=3.3&amp;sourceID=14","3.3")</f>
        <v>3.3</v>
      </c>
      <c r="G6627" s="4" t="str">
        <f>HYPERLINK("http://141.218.60.56/~jnz1568/getInfo.php?workbook=18_08.xlsx&amp;sheet=U0&amp;row=6627&amp;col=7&amp;number=0.101&amp;sourceID=14","0.101")</f>
        <v>0.101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HYPERLINK("http://141.218.60.56/~jnz1568/getInfo.php?workbook=18_08.xlsx&amp;sheet=U0&amp;row=6628&amp;col=6&amp;number=3.4&amp;sourceID=14","3.4")</f>
        <v>3.4</v>
      </c>
      <c r="G6628" s="4" t="str">
        <f>HYPERLINK("http://141.218.60.56/~jnz1568/getInfo.php?workbook=18_08.xlsx&amp;sheet=U0&amp;row=6628&amp;col=7&amp;number=0.101&amp;sourceID=14","0.101")</f>
        <v>0.101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HYPERLINK("http://141.218.60.56/~jnz1568/getInfo.php?workbook=18_08.xlsx&amp;sheet=U0&amp;row=6629&amp;col=6&amp;number=3.5&amp;sourceID=14","3.5")</f>
        <v>3.5</v>
      </c>
      <c r="G6629" s="4" t="str">
        <f>HYPERLINK("http://141.218.60.56/~jnz1568/getInfo.php?workbook=18_08.xlsx&amp;sheet=U0&amp;row=6629&amp;col=7&amp;number=0.101&amp;sourceID=14","0.101")</f>
        <v>0.101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HYPERLINK("http://141.218.60.56/~jnz1568/getInfo.php?workbook=18_08.xlsx&amp;sheet=U0&amp;row=6630&amp;col=6&amp;number=3.6&amp;sourceID=14","3.6")</f>
        <v>3.6</v>
      </c>
      <c r="G6630" s="4" t="str">
        <f>HYPERLINK("http://141.218.60.56/~jnz1568/getInfo.php?workbook=18_08.xlsx&amp;sheet=U0&amp;row=6630&amp;col=7&amp;number=0.101&amp;sourceID=14","0.101")</f>
        <v>0.101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HYPERLINK("http://141.218.60.56/~jnz1568/getInfo.php?workbook=18_08.xlsx&amp;sheet=U0&amp;row=6631&amp;col=6&amp;number=3.7&amp;sourceID=14","3.7")</f>
        <v>3.7</v>
      </c>
      <c r="G6631" s="4" t="str">
        <f>HYPERLINK("http://141.218.60.56/~jnz1568/getInfo.php?workbook=18_08.xlsx&amp;sheet=U0&amp;row=6631&amp;col=7&amp;number=0.101&amp;sourceID=14","0.101")</f>
        <v>0.101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HYPERLINK("http://141.218.60.56/~jnz1568/getInfo.php?workbook=18_08.xlsx&amp;sheet=U0&amp;row=6632&amp;col=6&amp;number=3.8&amp;sourceID=14","3.8")</f>
        <v>3.8</v>
      </c>
      <c r="G6632" s="4" t="str">
        <f>HYPERLINK("http://141.218.60.56/~jnz1568/getInfo.php?workbook=18_08.xlsx&amp;sheet=U0&amp;row=6632&amp;col=7&amp;number=0.101&amp;sourceID=14","0.101")</f>
        <v>0.101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HYPERLINK("http://141.218.60.56/~jnz1568/getInfo.php?workbook=18_08.xlsx&amp;sheet=U0&amp;row=6633&amp;col=6&amp;number=3.9&amp;sourceID=14","3.9")</f>
        <v>3.9</v>
      </c>
      <c r="G6633" s="4" t="str">
        <f>HYPERLINK("http://141.218.60.56/~jnz1568/getInfo.php?workbook=18_08.xlsx&amp;sheet=U0&amp;row=6633&amp;col=7&amp;number=0.101&amp;sourceID=14","0.101")</f>
        <v>0.101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HYPERLINK("http://141.218.60.56/~jnz1568/getInfo.php?workbook=18_08.xlsx&amp;sheet=U0&amp;row=6634&amp;col=6&amp;number=4&amp;sourceID=14","4")</f>
        <v>4</v>
      </c>
      <c r="G6634" s="4" t="str">
        <f>HYPERLINK("http://141.218.60.56/~jnz1568/getInfo.php?workbook=18_08.xlsx&amp;sheet=U0&amp;row=6634&amp;col=7&amp;number=0.101&amp;sourceID=14","0.101")</f>
        <v>0.101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HYPERLINK("http://141.218.60.56/~jnz1568/getInfo.php?workbook=18_08.xlsx&amp;sheet=U0&amp;row=6635&amp;col=6&amp;number=4.1&amp;sourceID=14","4.1")</f>
        <v>4.1</v>
      </c>
      <c r="G6635" s="4" t="str">
        <f>HYPERLINK("http://141.218.60.56/~jnz1568/getInfo.php?workbook=18_08.xlsx&amp;sheet=U0&amp;row=6635&amp;col=7&amp;number=0.101&amp;sourceID=14","0.101")</f>
        <v>0.101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HYPERLINK("http://141.218.60.56/~jnz1568/getInfo.php?workbook=18_08.xlsx&amp;sheet=U0&amp;row=6636&amp;col=6&amp;number=4.2&amp;sourceID=14","4.2")</f>
        <v>4.2</v>
      </c>
      <c r="G6636" s="4" t="str">
        <f>HYPERLINK("http://141.218.60.56/~jnz1568/getInfo.php?workbook=18_08.xlsx&amp;sheet=U0&amp;row=6636&amp;col=7&amp;number=0.102&amp;sourceID=14","0.102")</f>
        <v>0.102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HYPERLINK("http://141.218.60.56/~jnz1568/getInfo.php?workbook=18_08.xlsx&amp;sheet=U0&amp;row=6637&amp;col=6&amp;number=4.3&amp;sourceID=14","4.3")</f>
        <v>4.3</v>
      </c>
      <c r="G6637" s="4" t="str">
        <f>HYPERLINK("http://141.218.60.56/~jnz1568/getInfo.php?workbook=18_08.xlsx&amp;sheet=U0&amp;row=6637&amp;col=7&amp;number=0.102&amp;sourceID=14","0.102")</f>
        <v>0.102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HYPERLINK("http://141.218.60.56/~jnz1568/getInfo.php?workbook=18_08.xlsx&amp;sheet=U0&amp;row=6638&amp;col=6&amp;number=4.4&amp;sourceID=14","4.4")</f>
        <v>4.4</v>
      </c>
      <c r="G6638" s="4" t="str">
        <f>HYPERLINK("http://141.218.60.56/~jnz1568/getInfo.php?workbook=18_08.xlsx&amp;sheet=U0&amp;row=6638&amp;col=7&amp;number=0.102&amp;sourceID=14","0.102")</f>
        <v>0.102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HYPERLINK("http://141.218.60.56/~jnz1568/getInfo.php?workbook=18_08.xlsx&amp;sheet=U0&amp;row=6639&amp;col=6&amp;number=4.5&amp;sourceID=14","4.5")</f>
        <v>4.5</v>
      </c>
      <c r="G6639" s="4" t="str">
        <f>HYPERLINK("http://141.218.60.56/~jnz1568/getInfo.php?workbook=18_08.xlsx&amp;sheet=U0&amp;row=6639&amp;col=7&amp;number=0.102&amp;sourceID=14","0.102")</f>
        <v>0.102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HYPERLINK("http://141.218.60.56/~jnz1568/getInfo.php?workbook=18_08.xlsx&amp;sheet=U0&amp;row=6640&amp;col=6&amp;number=4.6&amp;sourceID=14","4.6")</f>
        <v>4.6</v>
      </c>
      <c r="G6640" s="4" t="str">
        <f>HYPERLINK("http://141.218.60.56/~jnz1568/getInfo.php?workbook=18_08.xlsx&amp;sheet=U0&amp;row=6640&amp;col=7&amp;number=0.102&amp;sourceID=14","0.102")</f>
        <v>0.102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HYPERLINK("http://141.218.60.56/~jnz1568/getInfo.php?workbook=18_08.xlsx&amp;sheet=U0&amp;row=6641&amp;col=6&amp;number=4.7&amp;sourceID=14","4.7")</f>
        <v>4.7</v>
      </c>
      <c r="G6641" s="4" t="str">
        <f>HYPERLINK("http://141.218.60.56/~jnz1568/getInfo.php?workbook=18_08.xlsx&amp;sheet=U0&amp;row=6641&amp;col=7&amp;number=0.102&amp;sourceID=14","0.102")</f>
        <v>0.102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HYPERLINK("http://141.218.60.56/~jnz1568/getInfo.php?workbook=18_08.xlsx&amp;sheet=U0&amp;row=6642&amp;col=6&amp;number=4.8&amp;sourceID=14","4.8")</f>
        <v>4.8</v>
      </c>
      <c r="G6642" s="4" t="str">
        <f>HYPERLINK("http://141.218.60.56/~jnz1568/getInfo.php?workbook=18_08.xlsx&amp;sheet=U0&amp;row=6642&amp;col=7&amp;number=0.103&amp;sourceID=14","0.103")</f>
        <v>0.103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HYPERLINK("http://141.218.60.56/~jnz1568/getInfo.php?workbook=18_08.xlsx&amp;sheet=U0&amp;row=6643&amp;col=6&amp;number=4.9&amp;sourceID=14","4.9")</f>
        <v>4.9</v>
      </c>
      <c r="G6643" s="4" t="str">
        <f>HYPERLINK("http://141.218.60.56/~jnz1568/getInfo.php?workbook=18_08.xlsx&amp;sheet=U0&amp;row=6643&amp;col=7&amp;number=0.103&amp;sourceID=14","0.103")</f>
        <v>0.103</v>
      </c>
    </row>
    <row r="6644" spans="1:7">
      <c r="A6644" s="3">
        <v>18</v>
      </c>
      <c r="B6644" s="3">
        <v>8</v>
      </c>
      <c r="C6644" s="3" t="s">
        <v>77</v>
      </c>
      <c r="D6644" s="3">
        <v>5</v>
      </c>
      <c r="E6644" s="3">
        <v>1</v>
      </c>
      <c r="F6644" s="4" t="str">
        <f>HYPERLINK("http://141.218.60.56/~jnz1568/getInfo.php?workbook=18_08.xlsx&amp;sheet=U0&amp;row=6644&amp;col=6&amp;number=3&amp;sourceID=14","3")</f>
        <v>3</v>
      </c>
      <c r="G6644" s="4" t="str">
        <f>HYPERLINK("http://141.218.60.56/~jnz1568/getInfo.php?workbook=18_08.xlsx&amp;sheet=U0&amp;row=6644&amp;col=7&amp;number=0.256&amp;sourceID=14","0.256")</f>
        <v>0.256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HYPERLINK("http://141.218.60.56/~jnz1568/getInfo.php?workbook=18_08.xlsx&amp;sheet=U0&amp;row=6645&amp;col=6&amp;number=3.1&amp;sourceID=14","3.1")</f>
        <v>3.1</v>
      </c>
      <c r="G6645" s="4" t="str">
        <f>HYPERLINK("http://141.218.60.56/~jnz1568/getInfo.php?workbook=18_08.xlsx&amp;sheet=U0&amp;row=6645&amp;col=7&amp;number=0.256&amp;sourceID=14","0.256")</f>
        <v>0.256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HYPERLINK("http://141.218.60.56/~jnz1568/getInfo.php?workbook=18_08.xlsx&amp;sheet=U0&amp;row=6646&amp;col=6&amp;number=3.2&amp;sourceID=14","3.2")</f>
        <v>3.2</v>
      </c>
      <c r="G6646" s="4" t="str">
        <f>HYPERLINK("http://141.218.60.56/~jnz1568/getInfo.php?workbook=18_08.xlsx&amp;sheet=U0&amp;row=6646&amp;col=7&amp;number=0.256&amp;sourceID=14","0.256")</f>
        <v>0.256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HYPERLINK("http://141.218.60.56/~jnz1568/getInfo.php?workbook=18_08.xlsx&amp;sheet=U0&amp;row=6647&amp;col=6&amp;number=3.3&amp;sourceID=14","3.3")</f>
        <v>3.3</v>
      </c>
      <c r="G6647" s="4" t="str">
        <f>HYPERLINK("http://141.218.60.56/~jnz1568/getInfo.php?workbook=18_08.xlsx&amp;sheet=U0&amp;row=6647&amp;col=7&amp;number=0.256&amp;sourceID=14","0.256")</f>
        <v>0.256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HYPERLINK("http://141.218.60.56/~jnz1568/getInfo.php?workbook=18_08.xlsx&amp;sheet=U0&amp;row=6648&amp;col=6&amp;number=3.4&amp;sourceID=14","3.4")</f>
        <v>3.4</v>
      </c>
      <c r="G6648" s="4" t="str">
        <f>HYPERLINK("http://141.218.60.56/~jnz1568/getInfo.php?workbook=18_08.xlsx&amp;sheet=U0&amp;row=6648&amp;col=7&amp;number=0.256&amp;sourceID=14","0.256")</f>
        <v>0.256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HYPERLINK("http://141.218.60.56/~jnz1568/getInfo.php?workbook=18_08.xlsx&amp;sheet=U0&amp;row=6649&amp;col=6&amp;number=3.5&amp;sourceID=14","3.5")</f>
        <v>3.5</v>
      </c>
      <c r="G6649" s="4" t="str">
        <f>HYPERLINK("http://141.218.60.56/~jnz1568/getInfo.php?workbook=18_08.xlsx&amp;sheet=U0&amp;row=6649&amp;col=7&amp;number=0.256&amp;sourceID=14","0.256")</f>
        <v>0.256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HYPERLINK("http://141.218.60.56/~jnz1568/getInfo.php?workbook=18_08.xlsx&amp;sheet=U0&amp;row=6650&amp;col=6&amp;number=3.6&amp;sourceID=14","3.6")</f>
        <v>3.6</v>
      </c>
      <c r="G6650" s="4" t="str">
        <f>HYPERLINK("http://141.218.60.56/~jnz1568/getInfo.php?workbook=18_08.xlsx&amp;sheet=U0&amp;row=6650&amp;col=7&amp;number=0.257&amp;sourceID=14","0.257")</f>
        <v>0.257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HYPERLINK("http://141.218.60.56/~jnz1568/getInfo.php?workbook=18_08.xlsx&amp;sheet=U0&amp;row=6651&amp;col=6&amp;number=3.7&amp;sourceID=14","3.7")</f>
        <v>3.7</v>
      </c>
      <c r="G6651" s="4" t="str">
        <f>HYPERLINK("http://141.218.60.56/~jnz1568/getInfo.php?workbook=18_08.xlsx&amp;sheet=U0&amp;row=6651&amp;col=7&amp;number=0.257&amp;sourceID=14","0.257")</f>
        <v>0.257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HYPERLINK("http://141.218.60.56/~jnz1568/getInfo.php?workbook=18_08.xlsx&amp;sheet=U0&amp;row=6652&amp;col=6&amp;number=3.8&amp;sourceID=14","3.8")</f>
        <v>3.8</v>
      </c>
      <c r="G6652" s="4" t="str">
        <f>HYPERLINK("http://141.218.60.56/~jnz1568/getInfo.php?workbook=18_08.xlsx&amp;sheet=U0&amp;row=6652&amp;col=7&amp;number=0.257&amp;sourceID=14","0.257")</f>
        <v>0.257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HYPERLINK("http://141.218.60.56/~jnz1568/getInfo.php?workbook=18_08.xlsx&amp;sheet=U0&amp;row=6653&amp;col=6&amp;number=3.9&amp;sourceID=14","3.9")</f>
        <v>3.9</v>
      </c>
      <c r="G6653" s="4" t="str">
        <f>HYPERLINK("http://141.218.60.56/~jnz1568/getInfo.php?workbook=18_08.xlsx&amp;sheet=U0&amp;row=6653&amp;col=7&amp;number=0.257&amp;sourceID=14","0.257")</f>
        <v>0.257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HYPERLINK("http://141.218.60.56/~jnz1568/getInfo.php?workbook=18_08.xlsx&amp;sheet=U0&amp;row=6654&amp;col=6&amp;number=4&amp;sourceID=14","4")</f>
        <v>4</v>
      </c>
      <c r="G6654" s="4" t="str">
        <f>HYPERLINK("http://141.218.60.56/~jnz1568/getInfo.php?workbook=18_08.xlsx&amp;sheet=U0&amp;row=6654&amp;col=7&amp;number=0.257&amp;sourceID=14","0.257")</f>
        <v>0.257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HYPERLINK("http://141.218.60.56/~jnz1568/getInfo.php?workbook=18_08.xlsx&amp;sheet=U0&amp;row=6655&amp;col=6&amp;number=4.1&amp;sourceID=14","4.1")</f>
        <v>4.1</v>
      </c>
      <c r="G6655" s="4" t="str">
        <f>HYPERLINK("http://141.218.60.56/~jnz1568/getInfo.php?workbook=18_08.xlsx&amp;sheet=U0&amp;row=6655&amp;col=7&amp;number=0.257&amp;sourceID=14","0.257")</f>
        <v>0.257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HYPERLINK("http://141.218.60.56/~jnz1568/getInfo.php?workbook=18_08.xlsx&amp;sheet=U0&amp;row=6656&amp;col=6&amp;number=4.2&amp;sourceID=14","4.2")</f>
        <v>4.2</v>
      </c>
      <c r="G6656" s="4" t="str">
        <f>HYPERLINK("http://141.218.60.56/~jnz1568/getInfo.php?workbook=18_08.xlsx&amp;sheet=U0&amp;row=6656&amp;col=7&amp;number=0.257&amp;sourceID=14","0.257")</f>
        <v>0.257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HYPERLINK("http://141.218.60.56/~jnz1568/getInfo.php?workbook=18_08.xlsx&amp;sheet=U0&amp;row=6657&amp;col=6&amp;number=4.3&amp;sourceID=14","4.3")</f>
        <v>4.3</v>
      </c>
      <c r="G6657" s="4" t="str">
        <f>HYPERLINK("http://141.218.60.56/~jnz1568/getInfo.php?workbook=18_08.xlsx&amp;sheet=U0&amp;row=6657&amp;col=7&amp;number=0.258&amp;sourceID=14","0.258")</f>
        <v>0.258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HYPERLINK("http://141.218.60.56/~jnz1568/getInfo.php?workbook=18_08.xlsx&amp;sheet=U0&amp;row=6658&amp;col=6&amp;number=4.4&amp;sourceID=14","4.4")</f>
        <v>4.4</v>
      </c>
      <c r="G6658" s="4" t="str">
        <f>HYPERLINK("http://141.218.60.56/~jnz1568/getInfo.php?workbook=18_08.xlsx&amp;sheet=U0&amp;row=6658&amp;col=7&amp;number=0.258&amp;sourceID=14","0.258")</f>
        <v>0.258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HYPERLINK("http://141.218.60.56/~jnz1568/getInfo.php?workbook=18_08.xlsx&amp;sheet=U0&amp;row=6659&amp;col=6&amp;number=4.5&amp;sourceID=14","4.5")</f>
        <v>4.5</v>
      </c>
      <c r="G6659" s="4" t="str">
        <f>HYPERLINK("http://141.218.60.56/~jnz1568/getInfo.php?workbook=18_08.xlsx&amp;sheet=U0&amp;row=6659&amp;col=7&amp;number=0.259&amp;sourceID=14","0.259")</f>
        <v>0.259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HYPERLINK("http://141.218.60.56/~jnz1568/getInfo.php?workbook=18_08.xlsx&amp;sheet=U0&amp;row=6660&amp;col=6&amp;number=4.6&amp;sourceID=14","4.6")</f>
        <v>4.6</v>
      </c>
      <c r="G6660" s="4" t="str">
        <f>HYPERLINK("http://141.218.60.56/~jnz1568/getInfo.php?workbook=18_08.xlsx&amp;sheet=U0&amp;row=6660&amp;col=7&amp;number=0.259&amp;sourceID=14","0.259")</f>
        <v>0.259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HYPERLINK("http://141.218.60.56/~jnz1568/getInfo.php?workbook=18_08.xlsx&amp;sheet=U0&amp;row=6661&amp;col=6&amp;number=4.7&amp;sourceID=14","4.7")</f>
        <v>4.7</v>
      </c>
      <c r="G6661" s="4" t="str">
        <f>HYPERLINK("http://141.218.60.56/~jnz1568/getInfo.php?workbook=18_08.xlsx&amp;sheet=U0&amp;row=6661&amp;col=7&amp;number=0.26&amp;sourceID=14","0.26")</f>
        <v>0.26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HYPERLINK("http://141.218.60.56/~jnz1568/getInfo.php?workbook=18_08.xlsx&amp;sheet=U0&amp;row=6662&amp;col=6&amp;number=4.8&amp;sourceID=14","4.8")</f>
        <v>4.8</v>
      </c>
      <c r="G6662" s="4" t="str">
        <f>HYPERLINK("http://141.218.60.56/~jnz1568/getInfo.php?workbook=18_08.xlsx&amp;sheet=U0&amp;row=6662&amp;col=7&amp;number=0.261&amp;sourceID=14","0.261")</f>
        <v>0.261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HYPERLINK("http://141.218.60.56/~jnz1568/getInfo.php?workbook=18_08.xlsx&amp;sheet=U0&amp;row=6663&amp;col=6&amp;number=4.9&amp;sourceID=14","4.9")</f>
        <v>4.9</v>
      </c>
      <c r="G6663" s="4" t="str">
        <f>HYPERLINK("http://141.218.60.56/~jnz1568/getInfo.php?workbook=18_08.xlsx&amp;sheet=U0&amp;row=6663&amp;col=7&amp;number=0.262&amp;sourceID=14","0.262")</f>
        <v>0.262</v>
      </c>
    </row>
    <row r="6664" spans="1:7">
      <c r="A6664" s="3">
        <v>18</v>
      </c>
      <c r="B6664" s="3">
        <v>8</v>
      </c>
      <c r="C6664" s="3" t="s">
        <v>77</v>
      </c>
      <c r="D6664" s="3">
        <v>6</v>
      </c>
      <c r="E6664" s="3">
        <v>1</v>
      </c>
      <c r="F6664" s="4" t="str">
        <f>HYPERLINK("http://141.218.60.56/~jnz1568/getInfo.php?workbook=18_08.xlsx&amp;sheet=U0&amp;row=6664&amp;col=6&amp;number=3&amp;sourceID=14","3")</f>
        <v>3</v>
      </c>
      <c r="G6664" s="4" t="str">
        <f>HYPERLINK("http://141.218.60.56/~jnz1568/getInfo.php?workbook=18_08.xlsx&amp;sheet=U0&amp;row=6664&amp;col=7&amp;number=0.00828&amp;sourceID=14","0.00828")</f>
        <v>0.00828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HYPERLINK("http://141.218.60.56/~jnz1568/getInfo.php?workbook=18_08.xlsx&amp;sheet=U0&amp;row=6665&amp;col=6&amp;number=3.1&amp;sourceID=14","3.1")</f>
        <v>3.1</v>
      </c>
      <c r="G6665" s="4" t="str">
        <f>HYPERLINK("http://141.218.60.56/~jnz1568/getInfo.php?workbook=18_08.xlsx&amp;sheet=U0&amp;row=6665&amp;col=7&amp;number=0.00828&amp;sourceID=14","0.00828")</f>
        <v>0.00828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HYPERLINK("http://141.218.60.56/~jnz1568/getInfo.php?workbook=18_08.xlsx&amp;sheet=U0&amp;row=6666&amp;col=6&amp;number=3.2&amp;sourceID=14","3.2")</f>
        <v>3.2</v>
      </c>
      <c r="G6666" s="4" t="str">
        <f>HYPERLINK("http://141.218.60.56/~jnz1568/getInfo.php?workbook=18_08.xlsx&amp;sheet=U0&amp;row=6666&amp;col=7&amp;number=0.00828&amp;sourceID=14","0.00828")</f>
        <v>0.00828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HYPERLINK("http://141.218.60.56/~jnz1568/getInfo.php?workbook=18_08.xlsx&amp;sheet=U0&amp;row=6667&amp;col=6&amp;number=3.3&amp;sourceID=14","3.3")</f>
        <v>3.3</v>
      </c>
      <c r="G6667" s="4" t="str">
        <f>HYPERLINK("http://141.218.60.56/~jnz1568/getInfo.php?workbook=18_08.xlsx&amp;sheet=U0&amp;row=6667&amp;col=7&amp;number=0.00828&amp;sourceID=14","0.00828")</f>
        <v>0.00828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HYPERLINK("http://141.218.60.56/~jnz1568/getInfo.php?workbook=18_08.xlsx&amp;sheet=U0&amp;row=6668&amp;col=6&amp;number=3.4&amp;sourceID=14","3.4")</f>
        <v>3.4</v>
      </c>
      <c r="G6668" s="4" t="str">
        <f>HYPERLINK("http://141.218.60.56/~jnz1568/getInfo.php?workbook=18_08.xlsx&amp;sheet=U0&amp;row=6668&amp;col=7&amp;number=0.00828&amp;sourceID=14","0.00828")</f>
        <v>0.00828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HYPERLINK("http://141.218.60.56/~jnz1568/getInfo.php?workbook=18_08.xlsx&amp;sheet=U0&amp;row=6669&amp;col=6&amp;number=3.5&amp;sourceID=14","3.5")</f>
        <v>3.5</v>
      </c>
      <c r="G6669" s="4" t="str">
        <f>HYPERLINK("http://141.218.60.56/~jnz1568/getInfo.php?workbook=18_08.xlsx&amp;sheet=U0&amp;row=6669&amp;col=7&amp;number=0.00828&amp;sourceID=14","0.00828")</f>
        <v>0.00828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HYPERLINK("http://141.218.60.56/~jnz1568/getInfo.php?workbook=18_08.xlsx&amp;sheet=U0&amp;row=6670&amp;col=6&amp;number=3.6&amp;sourceID=14","3.6")</f>
        <v>3.6</v>
      </c>
      <c r="G6670" s="4" t="str">
        <f>HYPERLINK("http://141.218.60.56/~jnz1568/getInfo.php?workbook=18_08.xlsx&amp;sheet=U0&amp;row=6670&amp;col=7&amp;number=0.00828&amp;sourceID=14","0.00828")</f>
        <v>0.00828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HYPERLINK("http://141.218.60.56/~jnz1568/getInfo.php?workbook=18_08.xlsx&amp;sheet=U0&amp;row=6671&amp;col=6&amp;number=3.7&amp;sourceID=14","3.7")</f>
        <v>3.7</v>
      </c>
      <c r="G6671" s="4" t="str">
        <f>HYPERLINK("http://141.218.60.56/~jnz1568/getInfo.php?workbook=18_08.xlsx&amp;sheet=U0&amp;row=6671&amp;col=7&amp;number=0.00828&amp;sourceID=14","0.00828")</f>
        <v>0.00828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HYPERLINK("http://141.218.60.56/~jnz1568/getInfo.php?workbook=18_08.xlsx&amp;sheet=U0&amp;row=6672&amp;col=6&amp;number=3.8&amp;sourceID=14","3.8")</f>
        <v>3.8</v>
      </c>
      <c r="G6672" s="4" t="str">
        <f>HYPERLINK("http://141.218.60.56/~jnz1568/getInfo.php?workbook=18_08.xlsx&amp;sheet=U0&amp;row=6672&amp;col=7&amp;number=0.00828&amp;sourceID=14","0.00828")</f>
        <v>0.00828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HYPERLINK("http://141.218.60.56/~jnz1568/getInfo.php?workbook=18_08.xlsx&amp;sheet=U0&amp;row=6673&amp;col=6&amp;number=3.9&amp;sourceID=14","3.9")</f>
        <v>3.9</v>
      </c>
      <c r="G6673" s="4" t="str">
        <f>HYPERLINK("http://141.218.60.56/~jnz1568/getInfo.php?workbook=18_08.xlsx&amp;sheet=U0&amp;row=6673&amp;col=7&amp;number=0.00829&amp;sourceID=14","0.00829")</f>
        <v>0.00829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HYPERLINK("http://141.218.60.56/~jnz1568/getInfo.php?workbook=18_08.xlsx&amp;sheet=U0&amp;row=6674&amp;col=6&amp;number=4&amp;sourceID=14","4")</f>
        <v>4</v>
      </c>
      <c r="G6674" s="4" t="str">
        <f>HYPERLINK("http://141.218.60.56/~jnz1568/getInfo.php?workbook=18_08.xlsx&amp;sheet=U0&amp;row=6674&amp;col=7&amp;number=0.00829&amp;sourceID=14","0.00829")</f>
        <v>0.00829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HYPERLINK("http://141.218.60.56/~jnz1568/getInfo.php?workbook=18_08.xlsx&amp;sheet=U0&amp;row=6675&amp;col=6&amp;number=4.1&amp;sourceID=14","4.1")</f>
        <v>4.1</v>
      </c>
      <c r="G6675" s="4" t="str">
        <f>HYPERLINK("http://141.218.60.56/~jnz1568/getInfo.php?workbook=18_08.xlsx&amp;sheet=U0&amp;row=6675&amp;col=7&amp;number=0.00829&amp;sourceID=14","0.00829")</f>
        <v>0.00829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HYPERLINK("http://141.218.60.56/~jnz1568/getInfo.php?workbook=18_08.xlsx&amp;sheet=U0&amp;row=6676&amp;col=6&amp;number=4.2&amp;sourceID=14","4.2")</f>
        <v>4.2</v>
      </c>
      <c r="G6676" s="4" t="str">
        <f>HYPERLINK("http://141.218.60.56/~jnz1568/getInfo.php?workbook=18_08.xlsx&amp;sheet=U0&amp;row=6676&amp;col=7&amp;number=0.0083&amp;sourceID=14","0.0083")</f>
        <v>0.0083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HYPERLINK("http://141.218.60.56/~jnz1568/getInfo.php?workbook=18_08.xlsx&amp;sheet=U0&amp;row=6677&amp;col=6&amp;number=4.3&amp;sourceID=14","4.3")</f>
        <v>4.3</v>
      </c>
      <c r="G6677" s="4" t="str">
        <f>HYPERLINK("http://141.218.60.56/~jnz1568/getInfo.php?workbook=18_08.xlsx&amp;sheet=U0&amp;row=6677&amp;col=7&amp;number=0.00831&amp;sourceID=14","0.00831")</f>
        <v>0.00831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HYPERLINK("http://141.218.60.56/~jnz1568/getInfo.php?workbook=18_08.xlsx&amp;sheet=U0&amp;row=6678&amp;col=6&amp;number=4.4&amp;sourceID=14","4.4")</f>
        <v>4.4</v>
      </c>
      <c r="G6678" s="4" t="str">
        <f>HYPERLINK("http://141.218.60.56/~jnz1568/getInfo.php?workbook=18_08.xlsx&amp;sheet=U0&amp;row=6678&amp;col=7&amp;number=0.00831&amp;sourceID=14","0.00831")</f>
        <v>0.00831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HYPERLINK("http://141.218.60.56/~jnz1568/getInfo.php?workbook=18_08.xlsx&amp;sheet=U0&amp;row=6679&amp;col=6&amp;number=4.5&amp;sourceID=14","4.5")</f>
        <v>4.5</v>
      </c>
      <c r="G6679" s="4" t="str">
        <f>HYPERLINK("http://141.218.60.56/~jnz1568/getInfo.php?workbook=18_08.xlsx&amp;sheet=U0&amp;row=6679&amp;col=7&amp;number=0.00832&amp;sourceID=14","0.00832")</f>
        <v>0.00832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HYPERLINK("http://141.218.60.56/~jnz1568/getInfo.php?workbook=18_08.xlsx&amp;sheet=U0&amp;row=6680&amp;col=6&amp;number=4.6&amp;sourceID=14","4.6")</f>
        <v>4.6</v>
      </c>
      <c r="G6680" s="4" t="str">
        <f>HYPERLINK("http://141.218.60.56/~jnz1568/getInfo.php?workbook=18_08.xlsx&amp;sheet=U0&amp;row=6680&amp;col=7&amp;number=0.00833&amp;sourceID=14","0.00833")</f>
        <v>0.00833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HYPERLINK("http://141.218.60.56/~jnz1568/getInfo.php?workbook=18_08.xlsx&amp;sheet=U0&amp;row=6681&amp;col=6&amp;number=4.7&amp;sourceID=14","4.7")</f>
        <v>4.7</v>
      </c>
      <c r="G6681" s="4" t="str">
        <f>HYPERLINK("http://141.218.60.56/~jnz1568/getInfo.php?workbook=18_08.xlsx&amp;sheet=U0&amp;row=6681&amp;col=7&amp;number=0.00835&amp;sourceID=14","0.00835")</f>
        <v>0.00835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HYPERLINK("http://141.218.60.56/~jnz1568/getInfo.php?workbook=18_08.xlsx&amp;sheet=U0&amp;row=6682&amp;col=6&amp;number=4.8&amp;sourceID=14","4.8")</f>
        <v>4.8</v>
      </c>
      <c r="G6682" s="4" t="str">
        <f>HYPERLINK("http://141.218.60.56/~jnz1568/getInfo.php?workbook=18_08.xlsx&amp;sheet=U0&amp;row=6682&amp;col=7&amp;number=0.00837&amp;sourceID=14","0.00837")</f>
        <v>0.00837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HYPERLINK("http://141.218.60.56/~jnz1568/getInfo.php?workbook=18_08.xlsx&amp;sheet=U0&amp;row=6683&amp;col=6&amp;number=4.9&amp;sourceID=14","4.9")</f>
        <v>4.9</v>
      </c>
      <c r="G6683" s="4" t="str">
        <f>HYPERLINK("http://141.218.60.56/~jnz1568/getInfo.php?workbook=18_08.xlsx&amp;sheet=U0&amp;row=6683&amp;col=7&amp;number=0.00839&amp;sourceID=14","0.00839")</f>
        <v>0.00839</v>
      </c>
    </row>
    <row r="6684" spans="1:7">
      <c r="A6684" s="3">
        <v>18</v>
      </c>
      <c r="B6684" s="3">
        <v>8</v>
      </c>
      <c r="C6684" s="3">
        <v>5</v>
      </c>
      <c r="D6684" s="3">
        <v>6</v>
      </c>
      <c r="E6684" s="3">
        <v>1</v>
      </c>
      <c r="F6684" s="4" t="str">
        <f>HYPERLINK("http://141.218.60.56/~jnz1568/getInfo.php?workbook=18_08.xlsx&amp;sheet=U0&amp;row=6684&amp;col=6&amp;number=3&amp;sourceID=14","3")</f>
        <v>3</v>
      </c>
      <c r="G6684" s="4" t="str">
        <f>HYPERLINK("http://141.218.60.56/~jnz1568/getInfo.php?workbook=18_08.xlsx&amp;sheet=U0&amp;row=6684&amp;col=7&amp;number=0.00843&amp;sourceID=14","0.00843")</f>
        <v>0.00843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HYPERLINK("http://141.218.60.56/~jnz1568/getInfo.php?workbook=18_08.xlsx&amp;sheet=U0&amp;row=6685&amp;col=6&amp;number=3.1&amp;sourceID=14","3.1")</f>
        <v>3.1</v>
      </c>
      <c r="G6685" s="4" t="str">
        <f>HYPERLINK("http://141.218.60.56/~jnz1568/getInfo.php?workbook=18_08.xlsx&amp;sheet=U0&amp;row=6685&amp;col=7&amp;number=0.00843&amp;sourceID=14","0.00843")</f>
        <v>0.00843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HYPERLINK("http://141.218.60.56/~jnz1568/getInfo.php?workbook=18_08.xlsx&amp;sheet=U0&amp;row=6686&amp;col=6&amp;number=3.2&amp;sourceID=14","3.2")</f>
        <v>3.2</v>
      </c>
      <c r="G6686" s="4" t="str">
        <f>HYPERLINK("http://141.218.60.56/~jnz1568/getInfo.php?workbook=18_08.xlsx&amp;sheet=U0&amp;row=6686&amp;col=7&amp;number=0.00843&amp;sourceID=14","0.00843")</f>
        <v>0.00843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HYPERLINK("http://141.218.60.56/~jnz1568/getInfo.php?workbook=18_08.xlsx&amp;sheet=U0&amp;row=6687&amp;col=6&amp;number=3.3&amp;sourceID=14","3.3")</f>
        <v>3.3</v>
      </c>
      <c r="G6687" s="4" t="str">
        <f>HYPERLINK("http://141.218.60.56/~jnz1568/getInfo.php?workbook=18_08.xlsx&amp;sheet=U0&amp;row=6687&amp;col=7&amp;number=0.00843&amp;sourceID=14","0.00843")</f>
        <v>0.00843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HYPERLINK("http://141.218.60.56/~jnz1568/getInfo.php?workbook=18_08.xlsx&amp;sheet=U0&amp;row=6688&amp;col=6&amp;number=3.4&amp;sourceID=14","3.4")</f>
        <v>3.4</v>
      </c>
      <c r="G6688" s="4" t="str">
        <f>HYPERLINK("http://141.218.60.56/~jnz1568/getInfo.php?workbook=18_08.xlsx&amp;sheet=U0&amp;row=6688&amp;col=7&amp;number=0.00843&amp;sourceID=14","0.00843")</f>
        <v>0.00843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HYPERLINK("http://141.218.60.56/~jnz1568/getInfo.php?workbook=18_08.xlsx&amp;sheet=U0&amp;row=6689&amp;col=6&amp;number=3.5&amp;sourceID=14","3.5")</f>
        <v>3.5</v>
      </c>
      <c r="G6689" s="4" t="str">
        <f>HYPERLINK("http://141.218.60.56/~jnz1568/getInfo.php?workbook=18_08.xlsx&amp;sheet=U0&amp;row=6689&amp;col=7&amp;number=0.00842&amp;sourceID=14","0.00842")</f>
        <v>0.00842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HYPERLINK("http://141.218.60.56/~jnz1568/getInfo.php?workbook=18_08.xlsx&amp;sheet=U0&amp;row=6690&amp;col=6&amp;number=3.6&amp;sourceID=14","3.6")</f>
        <v>3.6</v>
      </c>
      <c r="G6690" s="4" t="str">
        <f>HYPERLINK("http://141.218.60.56/~jnz1568/getInfo.php?workbook=18_08.xlsx&amp;sheet=U0&amp;row=6690&amp;col=7&amp;number=0.00842&amp;sourceID=14","0.00842")</f>
        <v>0.00842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HYPERLINK("http://141.218.60.56/~jnz1568/getInfo.php?workbook=18_08.xlsx&amp;sheet=U0&amp;row=6691&amp;col=6&amp;number=3.7&amp;sourceID=14","3.7")</f>
        <v>3.7</v>
      </c>
      <c r="G6691" s="4" t="str">
        <f>HYPERLINK("http://141.218.60.56/~jnz1568/getInfo.php?workbook=18_08.xlsx&amp;sheet=U0&amp;row=6691&amp;col=7&amp;number=0.00842&amp;sourceID=14","0.00842")</f>
        <v>0.00842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HYPERLINK("http://141.218.60.56/~jnz1568/getInfo.php?workbook=18_08.xlsx&amp;sheet=U0&amp;row=6692&amp;col=6&amp;number=3.8&amp;sourceID=14","3.8")</f>
        <v>3.8</v>
      </c>
      <c r="G6692" s="4" t="str">
        <f>HYPERLINK("http://141.218.60.56/~jnz1568/getInfo.php?workbook=18_08.xlsx&amp;sheet=U0&amp;row=6692&amp;col=7&amp;number=0.00842&amp;sourceID=14","0.00842")</f>
        <v>0.00842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HYPERLINK("http://141.218.60.56/~jnz1568/getInfo.php?workbook=18_08.xlsx&amp;sheet=U0&amp;row=6693&amp;col=6&amp;number=3.9&amp;sourceID=14","3.9")</f>
        <v>3.9</v>
      </c>
      <c r="G6693" s="4" t="str">
        <f>HYPERLINK("http://141.218.60.56/~jnz1568/getInfo.php?workbook=18_08.xlsx&amp;sheet=U0&amp;row=6693&amp;col=7&amp;number=0.00842&amp;sourceID=14","0.00842")</f>
        <v>0.00842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HYPERLINK("http://141.218.60.56/~jnz1568/getInfo.php?workbook=18_08.xlsx&amp;sheet=U0&amp;row=6694&amp;col=6&amp;number=4&amp;sourceID=14","4")</f>
        <v>4</v>
      </c>
      <c r="G6694" s="4" t="str">
        <f>HYPERLINK("http://141.218.60.56/~jnz1568/getInfo.php?workbook=18_08.xlsx&amp;sheet=U0&amp;row=6694&amp;col=7&amp;number=0.00842&amp;sourceID=14","0.00842")</f>
        <v>0.00842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HYPERLINK("http://141.218.60.56/~jnz1568/getInfo.php?workbook=18_08.xlsx&amp;sheet=U0&amp;row=6695&amp;col=6&amp;number=4.1&amp;sourceID=14","4.1")</f>
        <v>4.1</v>
      </c>
      <c r="G6695" s="4" t="str">
        <f>HYPERLINK("http://141.218.60.56/~jnz1568/getInfo.php?workbook=18_08.xlsx&amp;sheet=U0&amp;row=6695&amp;col=7&amp;number=0.00842&amp;sourceID=14","0.00842")</f>
        <v>0.00842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HYPERLINK("http://141.218.60.56/~jnz1568/getInfo.php?workbook=18_08.xlsx&amp;sheet=U0&amp;row=6696&amp;col=6&amp;number=4.2&amp;sourceID=14","4.2")</f>
        <v>4.2</v>
      </c>
      <c r="G6696" s="4" t="str">
        <f>HYPERLINK("http://141.218.60.56/~jnz1568/getInfo.php?workbook=18_08.xlsx&amp;sheet=U0&amp;row=6696&amp;col=7&amp;number=0.00841&amp;sourceID=14","0.00841")</f>
        <v>0.00841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HYPERLINK("http://141.218.60.56/~jnz1568/getInfo.php?workbook=18_08.xlsx&amp;sheet=U0&amp;row=6697&amp;col=6&amp;number=4.3&amp;sourceID=14","4.3")</f>
        <v>4.3</v>
      </c>
      <c r="G6697" s="4" t="str">
        <f>HYPERLINK("http://141.218.60.56/~jnz1568/getInfo.php?workbook=18_08.xlsx&amp;sheet=U0&amp;row=6697&amp;col=7&amp;number=0.00841&amp;sourceID=14","0.00841")</f>
        <v>0.00841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HYPERLINK("http://141.218.60.56/~jnz1568/getInfo.php?workbook=18_08.xlsx&amp;sheet=U0&amp;row=6698&amp;col=6&amp;number=4.4&amp;sourceID=14","4.4")</f>
        <v>4.4</v>
      </c>
      <c r="G6698" s="4" t="str">
        <f>HYPERLINK("http://141.218.60.56/~jnz1568/getInfo.php?workbook=18_08.xlsx&amp;sheet=U0&amp;row=6698&amp;col=7&amp;number=0.0084&amp;sourceID=14","0.0084")</f>
        <v>0.0084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HYPERLINK("http://141.218.60.56/~jnz1568/getInfo.php?workbook=18_08.xlsx&amp;sheet=U0&amp;row=6699&amp;col=6&amp;number=4.5&amp;sourceID=14","4.5")</f>
        <v>4.5</v>
      </c>
      <c r="G6699" s="4" t="str">
        <f>HYPERLINK("http://141.218.60.56/~jnz1568/getInfo.php?workbook=18_08.xlsx&amp;sheet=U0&amp;row=6699&amp;col=7&amp;number=0.0084&amp;sourceID=14","0.0084")</f>
        <v>0.0084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HYPERLINK("http://141.218.60.56/~jnz1568/getInfo.php?workbook=18_08.xlsx&amp;sheet=U0&amp;row=6700&amp;col=6&amp;number=4.6&amp;sourceID=14","4.6")</f>
        <v>4.6</v>
      </c>
      <c r="G6700" s="4" t="str">
        <f>HYPERLINK("http://141.218.60.56/~jnz1568/getInfo.php?workbook=18_08.xlsx&amp;sheet=U0&amp;row=6700&amp;col=7&amp;number=0.00839&amp;sourceID=14","0.00839")</f>
        <v>0.00839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HYPERLINK("http://141.218.60.56/~jnz1568/getInfo.php?workbook=18_08.xlsx&amp;sheet=U0&amp;row=6701&amp;col=6&amp;number=4.7&amp;sourceID=14","4.7")</f>
        <v>4.7</v>
      </c>
      <c r="G6701" s="4" t="str">
        <f>HYPERLINK("http://141.218.60.56/~jnz1568/getInfo.php?workbook=18_08.xlsx&amp;sheet=U0&amp;row=6701&amp;col=7&amp;number=0.00838&amp;sourceID=14","0.00838")</f>
        <v>0.00838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HYPERLINK("http://141.218.60.56/~jnz1568/getInfo.php?workbook=18_08.xlsx&amp;sheet=U0&amp;row=6702&amp;col=6&amp;number=4.8&amp;sourceID=14","4.8")</f>
        <v>4.8</v>
      </c>
      <c r="G6702" s="4" t="str">
        <f>HYPERLINK("http://141.218.60.56/~jnz1568/getInfo.php?workbook=18_08.xlsx&amp;sheet=U0&amp;row=6702&amp;col=7&amp;number=0.00837&amp;sourceID=14","0.00837")</f>
        <v>0.00837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HYPERLINK("http://141.218.60.56/~jnz1568/getInfo.php?workbook=18_08.xlsx&amp;sheet=U0&amp;row=6703&amp;col=6&amp;number=4.9&amp;sourceID=14","4.9")</f>
        <v>4.9</v>
      </c>
      <c r="G6703" s="4" t="str">
        <f>HYPERLINK("http://141.218.60.56/~jnz1568/getInfo.php?workbook=18_08.xlsx&amp;sheet=U0&amp;row=6703&amp;col=7&amp;number=0.00835&amp;sourceID=14","0.00835")</f>
        <v>0.00835</v>
      </c>
    </row>
    <row r="6704" spans="1:7">
      <c r="A6704" s="3">
        <v>18</v>
      </c>
      <c r="B6704" s="3">
        <v>8</v>
      </c>
      <c r="C6704" s="3">
        <v>5</v>
      </c>
      <c r="D6704" s="3">
        <v>7</v>
      </c>
      <c r="E6704" s="3">
        <v>1</v>
      </c>
      <c r="F6704" s="4" t="str">
        <f>HYPERLINK("http://141.218.60.56/~jnz1568/getInfo.php?workbook=18_08.xlsx&amp;sheet=U0&amp;row=6704&amp;col=6&amp;number=3&amp;sourceID=14","3")</f>
        <v>3</v>
      </c>
      <c r="G6704" s="4" t="str">
        <f>HYPERLINK("http://141.218.60.56/~jnz1568/getInfo.php?workbook=18_08.xlsx&amp;sheet=U0&amp;row=6704&amp;col=7&amp;number=0.0107&amp;sourceID=14","0.0107")</f>
        <v>0.0107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HYPERLINK("http://141.218.60.56/~jnz1568/getInfo.php?workbook=18_08.xlsx&amp;sheet=U0&amp;row=6705&amp;col=6&amp;number=3.1&amp;sourceID=14","3.1")</f>
        <v>3.1</v>
      </c>
      <c r="G6705" s="4" t="str">
        <f>HYPERLINK("http://141.218.60.56/~jnz1568/getInfo.php?workbook=18_08.xlsx&amp;sheet=U0&amp;row=6705&amp;col=7&amp;number=0.0107&amp;sourceID=14","0.0107")</f>
        <v>0.0107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HYPERLINK("http://141.218.60.56/~jnz1568/getInfo.php?workbook=18_08.xlsx&amp;sheet=U0&amp;row=6706&amp;col=6&amp;number=3.2&amp;sourceID=14","3.2")</f>
        <v>3.2</v>
      </c>
      <c r="G6706" s="4" t="str">
        <f>HYPERLINK("http://141.218.60.56/~jnz1568/getInfo.php?workbook=18_08.xlsx&amp;sheet=U0&amp;row=6706&amp;col=7&amp;number=0.0107&amp;sourceID=14","0.0107")</f>
        <v>0.0107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HYPERLINK("http://141.218.60.56/~jnz1568/getInfo.php?workbook=18_08.xlsx&amp;sheet=U0&amp;row=6707&amp;col=6&amp;number=3.3&amp;sourceID=14","3.3")</f>
        <v>3.3</v>
      </c>
      <c r="G6707" s="4" t="str">
        <f>HYPERLINK("http://141.218.60.56/~jnz1568/getInfo.php?workbook=18_08.xlsx&amp;sheet=U0&amp;row=6707&amp;col=7&amp;number=0.0107&amp;sourceID=14","0.0107")</f>
        <v>0.0107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HYPERLINK("http://141.218.60.56/~jnz1568/getInfo.php?workbook=18_08.xlsx&amp;sheet=U0&amp;row=6708&amp;col=6&amp;number=3.4&amp;sourceID=14","3.4")</f>
        <v>3.4</v>
      </c>
      <c r="G6708" s="4" t="str">
        <f>HYPERLINK("http://141.218.60.56/~jnz1568/getInfo.php?workbook=18_08.xlsx&amp;sheet=U0&amp;row=6708&amp;col=7&amp;number=0.0107&amp;sourceID=14","0.0107")</f>
        <v>0.0107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HYPERLINK("http://141.218.60.56/~jnz1568/getInfo.php?workbook=18_08.xlsx&amp;sheet=U0&amp;row=6709&amp;col=6&amp;number=3.5&amp;sourceID=14","3.5")</f>
        <v>3.5</v>
      </c>
      <c r="G6709" s="4" t="str">
        <f>HYPERLINK("http://141.218.60.56/~jnz1568/getInfo.php?workbook=18_08.xlsx&amp;sheet=U0&amp;row=6709&amp;col=7&amp;number=0.0107&amp;sourceID=14","0.0107")</f>
        <v>0.0107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HYPERLINK("http://141.218.60.56/~jnz1568/getInfo.php?workbook=18_08.xlsx&amp;sheet=U0&amp;row=6710&amp;col=6&amp;number=3.6&amp;sourceID=14","3.6")</f>
        <v>3.6</v>
      </c>
      <c r="G6710" s="4" t="str">
        <f>HYPERLINK("http://141.218.60.56/~jnz1568/getInfo.php?workbook=18_08.xlsx&amp;sheet=U0&amp;row=6710&amp;col=7&amp;number=0.0107&amp;sourceID=14","0.0107")</f>
        <v>0.0107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HYPERLINK("http://141.218.60.56/~jnz1568/getInfo.php?workbook=18_08.xlsx&amp;sheet=U0&amp;row=6711&amp;col=6&amp;number=3.7&amp;sourceID=14","3.7")</f>
        <v>3.7</v>
      </c>
      <c r="G6711" s="4" t="str">
        <f>HYPERLINK("http://141.218.60.56/~jnz1568/getInfo.php?workbook=18_08.xlsx&amp;sheet=U0&amp;row=6711&amp;col=7&amp;number=0.0107&amp;sourceID=14","0.0107")</f>
        <v>0.0107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HYPERLINK("http://141.218.60.56/~jnz1568/getInfo.php?workbook=18_08.xlsx&amp;sheet=U0&amp;row=6712&amp;col=6&amp;number=3.8&amp;sourceID=14","3.8")</f>
        <v>3.8</v>
      </c>
      <c r="G6712" s="4" t="str">
        <f>HYPERLINK("http://141.218.60.56/~jnz1568/getInfo.php?workbook=18_08.xlsx&amp;sheet=U0&amp;row=6712&amp;col=7&amp;number=0.0107&amp;sourceID=14","0.0107")</f>
        <v>0.0107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HYPERLINK("http://141.218.60.56/~jnz1568/getInfo.php?workbook=18_08.xlsx&amp;sheet=U0&amp;row=6713&amp;col=6&amp;number=3.9&amp;sourceID=14","3.9")</f>
        <v>3.9</v>
      </c>
      <c r="G6713" s="4" t="str">
        <f>HYPERLINK("http://141.218.60.56/~jnz1568/getInfo.php?workbook=18_08.xlsx&amp;sheet=U0&amp;row=6713&amp;col=7&amp;number=0.0107&amp;sourceID=14","0.0107")</f>
        <v>0.0107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HYPERLINK("http://141.218.60.56/~jnz1568/getInfo.php?workbook=18_08.xlsx&amp;sheet=U0&amp;row=6714&amp;col=6&amp;number=4&amp;sourceID=14","4")</f>
        <v>4</v>
      </c>
      <c r="G6714" s="4" t="str">
        <f>HYPERLINK("http://141.218.60.56/~jnz1568/getInfo.php?workbook=18_08.xlsx&amp;sheet=U0&amp;row=6714&amp;col=7&amp;number=0.0107&amp;sourceID=14","0.0107")</f>
        <v>0.0107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HYPERLINK("http://141.218.60.56/~jnz1568/getInfo.php?workbook=18_08.xlsx&amp;sheet=U0&amp;row=6715&amp;col=6&amp;number=4.1&amp;sourceID=14","4.1")</f>
        <v>4.1</v>
      </c>
      <c r="G6715" s="4" t="str">
        <f>HYPERLINK("http://141.218.60.56/~jnz1568/getInfo.php?workbook=18_08.xlsx&amp;sheet=U0&amp;row=6715&amp;col=7&amp;number=0.0107&amp;sourceID=14","0.0107")</f>
        <v>0.0107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HYPERLINK("http://141.218.60.56/~jnz1568/getInfo.php?workbook=18_08.xlsx&amp;sheet=U0&amp;row=6716&amp;col=6&amp;number=4.2&amp;sourceID=14","4.2")</f>
        <v>4.2</v>
      </c>
      <c r="G6716" s="4" t="str">
        <f>HYPERLINK("http://141.218.60.56/~jnz1568/getInfo.php?workbook=18_08.xlsx&amp;sheet=U0&amp;row=6716&amp;col=7&amp;number=0.0107&amp;sourceID=14","0.0107")</f>
        <v>0.0107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HYPERLINK("http://141.218.60.56/~jnz1568/getInfo.php?workbook=18_08.xlsx&amp;sheet=U0&amp;row=6717&amp;col=6&amp;number=4.3&amp;sourceID=14","4.3")</f>
        <v>4.3</v>
      </c>
      <c r="G6717" s="4" t="str">
        <f>HYPERLINK("http://141.218.60.56/~jnz1568/getInfo.php?workbook=18_08.xlsx&amp;sheet=U0&amp;row=6717&amp;col=7&amp;number=0.0107&amp;sourceID=14","0.0107")</f>
        <v>0.0107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HYPERLINK("http://141.218.60.56/~jnz1568/getInfo.php?workbook=18_08.xlsx&amp;sheet=U0&amp;row=6718&amp;col=6&amp;number=4.4&amp;sourceID=14","4.4")</f>
        <v>4.4</v>
      </c>
      <c r="G6718" s="4" t="str">
        <f>HYPERLINK("http://141.218.60.56/~jnz1568/getInfo.php?workbook=18_08.xlsx&amp;sheet=U0&amp;row=6718&amp;col=7&amp;number=0.0107&amp;sourceID=14","0.0107")</f>
        <v>0.0107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HYPERLINK("http://141.218.60.56/~jnz1568/getInfo.php?workbook=18_08.xlsx&amp;sheet=U0&amp;row=6719&amp;col=6&amp;number=4.5&amp;sourceID=14","4.5")</f>
        <v>4.5</v>
      </c>
      <c r="G6719" s="4" t="str">
        <f>HYPERLINK("http://141.218.60.56/~jnz1568/getInfo.php?workbook=18_08.xlsx&amp;sheet=U0&amp;row=6719&amp;col=7&amp;number=0.0107&amp;sourceID=14","0.0107")</f>
        <v>0.0107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HYPERLINK("http://141.218.60.56/~jnz1568/getInfo.php?workbook=18_08.xlsx&amp;sheet=U0&amp;row=6720&amp;col=6&amp;number=4.6&amp;sourceID=14","4.6")</f>
        <v>4.6</v>
      </c>
      <c r="G6720" s="4" t="str">
        <f>HYPERLINK("http://141.218.60.56/~jnz1568/getInfo.php?workbook=18_08.xlsx&amp;sheet=U0&amp;row=6720&amp;col=7&amp;number=0.0107&amp;sourceID=14","0.0107")</f>
        <v>0.0107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HYPERLINK("http://141.218.60.56/~jnz1568/getInfo.php?workbook=18_08.xlsx&amp;sheet=U0&amp;row=6721&amp;col=6&amp;number=4.7&amp;sourceID=14","4.7")</f>
        <v>4.7</v>
      </c>
      <c r="G6721" s="4" t="str">
        <f>HYPERLINK("http://141.218.60.56/~jnz1568/getInfo.php?workbook=18_08.xlsx&amp;sheet=U0&amp;row=6721&amp;col=7&amp;number=0.0107&amp;sourceID=14","0.0107")</f>
        <v>0.0107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HYPERLINK("http://141.218.60.56/~jnz1568/getInfo.php?workbook=18_08.xlsx&amp;sheet=U0&amp;row=6722&amp;col=6&amp;number=4.8&amp;sourceID=14","4.8")</f>
        <v>4.8</v>
      </c>
      <c r="G6722" s="4" t="str">
        <f>HYPERLINK("http://141.218.60.56/~jnz1568/getInfo.php?workbook=18_08.xlsx&amp;sheet=U0&amp;row=6722&amp;col=7&amp;number=0.0107&amp;sourceID=14","0.0107")</f>
        <v>0.0107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HYPERLINK("http://141.218.60.56/~jnz1568/getInfo.php?workbook=18_08.xlsx&amp;sheet=U0&amp;row=6723&amp;col=6&amp;number=4.9&amp;sourceID=14","4.9")</f>
        <v>4.9</v>
      </c>
      <c r="G6723" s="4" t="str">
        <f>HYPERLINK("http://141.218.60.56/~jnz1568/getInfo.php?workbook=18_08.xlsx&amp;sheet=U0&amp;row=6723&amp;col=7&amp;number=0.0107&amp;sourceID=14","0.0107")</f>
        <v>0.0107</v>
      </c>
    </row>
    <row r="6724" spans="1:7">
      <c r="A6724" s="3">
        <v>18</v>
      </c>
      <c r="B6724" s="3">
        <v>8</v>
      </c>
      <c r="C6724" s="3">
        <v>5</v>
      </c>
      <c r="D6724" s="3">
        <v>8</v>
      </c>
      <c r="E6724" s="3">
        <v>1</v>
      </c>
      <c r="F6724" s="4" t="str">
        <f>HYPERLINK("http://141.218.60.56/~jnz1568/getInfo.php?workbook=18_08.xlsx&amp;sheet=U0&amp;row=6724&amp;col=6&amp;number=3&amp;sourceID=14","3")</f>
        <v>3</v>
      </c>
      <c r="G6724" s="4" t="str">
        <f>HYPERLINK("http://141.218.60.56/~jnz1568/getInfo.php?workbook=18_08.xlsx&amp;sheet=U0&amp;row=6724&amp;col=7&amp;number=0.00279&amp;sourceID=14","0.00279")</f>
        <v>0.00279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HYPERLINK("http://141.218.60.56/~jnz1568/getInfo.php?workbook=18_08.xlsx&amp;sheet=U0&amp;row=6725&amp;col=6&amp;number=3.1&amp;sourceID=14","3.1")</f>
        <v>3.1</v>
      </c>
      <c r="G6725" s="4" t="str">
        <f>HYPERLINK("http://141.218.60.56/~jnz1568/getInfo.php?workbook=18_08.xlsx&amp;sheet=U0&amp;row=6725&amp;col=7&amp;number=0.00279&amp;sourceID=14","0.00279")</f>
        <v>0.00279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HYPERLINK("http://141.218.60.56/~jnz1568/getInfo.php?workbook=18_08.xlsx&amp;sheet=U0&amp;row=6726&amp;col=6&amp;number=3.2&amp;sourceID=14","3.2")</f>
        <v>3.2</v>
      </c>
      <c r="G6726" s="4" t="str">
        <f>HYPERLINK("http://141.218.60.56/~jnz1568/getInfo.php?workbook=18_08.xlsx&amp;sheet=U0&amp;row=6726&amp;col=7&amp;number=0.00279&amp;sourceID=14","0.00279")</f>
        <v>0.00279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HYPERLINK("http://141.218.60.56/~jnz1568/getInfo.php?workbook=18_08.xlsx&amp;sheet=U0&amp;row=6727&amp;col=6&amp;number=3.3&amp;sourceID=14","3.3")</f>
        <v>3.3</v>
      </c>
      <c r="G6727" s="4" t="str">
        <f>HYPERLINK("http://141.218.60.56/~jnz1568/getInfo.php?workbook=18_08.xlsx&amp;sheet=U0&amp;row=6727&amp;col=7&amp;number=0.00279&amp;sourceID=14","0.00279")</f>
        <v>0.00279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HYPERLINK("http://141.218.60.56/~jnz1568/getInfo.php?workbook=18_08.xlsx&amp;sheet=U0&amp;row=6728&amp;col=6&amp;number=3.4&amp;sourceID=14","3.4")</f>
        <v>3.4</v>
      </c>
      <c r="G6728" s="4" t="str">
        <f>HYPERLINK("http://141.218.60.56/~jnz1568/getInfo.php?workbook=18_08.xlsx&amp;sheet=U0&amp;row=6728&amp;col=7&amp;number=0.00279&amp;sourceID=14","0.00279")</f>
        <v>0.00279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HYPERLINK("http://141.218.60.56/~jnz1568/getInfo.php?workbook=18_08.xlsx&amp;sheet=U0&amp;row=6729&amp;col=6&amp;number=3.5&amp;sourceID=14","3.5")</f>
        <v>3.5</v>
      </c>
      <c r="G6729" s="4" t="str">
        <f>HYPERLINK("http://141.218.60.56/~jnz1568/getInfo.php?workbook=18_08.xlsx&amp;sheet=U0&amp;row=6729&amp;col=7&amp;number=0.00279&amp;sourceID=14","0.00279")</f>
        <v>0.00279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HYPERLINK("http://141.218.60.56/~jnz1568/getInfo.php?workbook=18_08.xlsx&amp;sheet=U0&amp;row=6730&amp;col=6&amp;number=3.6&amp;sourceID=14","3.6")</f>
        <v>3.6</v>
      </c>
      <c r="G6730" s="4" t="str">
        <f>HYPERLINK("http://141.218.60.56/~jnz1568/getInfo.php?workbook=18_08.xlsx&amp;sheet=U0&amp;row=6730&amp;col=7&amp;number=0.00279&amp;sourceID=14","0.00279")</f>
        <v>0.00279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HYPERLINK("http://141.218.60.56/~jnz1568/getInfo.php?workbook=18_08.xlsx&amp;sheet=U0&amp;row=6731&amp;col=6&amp;number=3.7&amp;sourceID=14","3.7")</f>
        <v>3.7</v>
      </c>
      <c r="G6731" s="4" t="str">
        <f>HYPERLINK("http://141.218.60.56/~jnz1568/getInfo.php?workbook=18_08.xlsx&amp;sheet=U0&amp;row=6731&amp;col=7&amp;number=0.00279&amp;sourceID=14","0.00279")</f>
        <v>0.00279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HYPERLINK("http://141.218.60.56/~jnz1568/getInfo.php?workbook=18_08.xlsx&amp;sheet=U0&amp;row=6732&amp;col=6&amp;number=3.8&amp;sourceID=14","3.8")</f>
        <v>3.8</v>
      </c>
      <c r="G6732" s="4" t="str">
        <f>HYPERLINK("http://141.218.60.56/~jnz1568/getInfo.php?workbook=18_08.xlsx&amp;sheet=U0&amp;row=6732&amp;col=7&amp;number=0.00279&amp;sourceID=14","0.00279")</f>
        <v>0.00279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HYPERLINK("http://141.218.60.56/~jnz1568/getInfo.php?workbook=18_08.xlsx&amp;sheet=U0&amp;row=6733&amp;col=6&amp;number=3.9&amp;sourceID=14","3.9")</f>
        <v>3.9</v>
      </c>
      <c r="G6733" s="4" t="str">
        <f>HYPERLINK("http://141.218.60.56/~jnz1568/getInfo.php?workbook=18_08.xlsx&amp;sheet=U0&amp;row=6733&amp;col=7&amp;number=0.00279&amp;sourceID=14","0.00279")</f>
        <v>0.00279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HYPERLINK("http://141.218.60.56/~jnz1568/getInfo.php?workbook=18_08.xlsx&amp;sheet=U0&amp;row=6734&amp;col=6&amp;number=4&amp;sourceID=14","4")</f>
        <v>4</v>
      </c>
      <c r="G6734" s="4" t="str">
        <f>HYPERLINK("http://141.218.60.56/~jnz1568/getInfo.php?workbook=18_08.xlsx&amp;sheet=U0&amp;row=6734&amp;col=7&amp;number=0.00279&amp;sourceID=14","0.00279")</f>
        <v>0.00279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HYPERLINK("http://141.218.60.56/~jnz1568/getInfo.php?workbook=18_08.xlsx&amp;sheet=U0&amp;row=6735&amp;col=6&amp;number=4.1&amp;sourceID=14","4.1")</f>
        <v>4.1</v>
      </c>
      <c r="G6735" s="4" t="str">
        <f>HYPERLINK("http://141.218.60.56/~jnz1568/getInfo.php?workbook=18_08.xlsx&amp;sheet=U0&amp;row=6735&amp;col=7&amp;number=0.00279&amp;sourceID=14","0.00279")</f>
        <v>0.00279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HYPERLINK("http://141.218.60.56/~jnz1568/getInfo.php?workbook=18_08.xlsx&amp;sheet=U0&amp;row=6736&amp;col=6&amp;number=4.2&amp;sourceID=14","4.2")</f>
        <v>4.2</v>
      </c>
      <c r="G6736" s="4" t="str">
        <f>HYPERLINK("http://141.218.60.56/~jnz1568/getInfo.php?workbook=18_08.xlsx&amp;sheet=U0&amp;row=6736&amp;col=7&amp;number=0.00279&amp;sourceID=14","0.00279")</f>
        <v>0.00279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HYPERLINK("http://141.218.60.56/~jnz1568/getInfo.php?workbook=18_08.xlsx&amp;sheet=U0&amp;row=6737&amp;col=6&amp;number=4.3&amp;sourceID=14","4.3")</f>
        <v>4.3</v>
      </c>
      <c r="G6737" s="4" t="str">
        <f>HYPERLINK("http://141.218.60.56/~jnz1568/getInfo.php?workbook=18_08.xlsx&amp;sheet=U0&amp;row=6737&amp;col=7&amp;number=0.00279&amp;sourceID=14","0.00279")</f>
        <v>0.00279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HYPERLINK("http://141.218.60.56/~jnz1568/getInfo.php?workbook=18_08.xlsx&amp;sheet=U0&amp;row=6738&amp;col=6&amp;number=4.4&amp;sourceID=14","4.4")</f>
        <v>4.4</v>
      </c>
      <c r="G6738" s="4" t="str">
        <f>HYPERLINK("http://141.218.60.56/~jnz1568/getInfo.php?workbook=18_08.xlsx&amp;sheet=U0&amp;row=6738&amp;col=7&amp;number=0.00279&amp;sourceID=14","0.00279")</f>
        <v>0.00279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HYPERLINK("http://141.218.60.56/~jnz1568/getInfo.php?workbook=18_08.xlsx&amp;sheet=U0&amp;row=6739&amp;col=6&amp;number=4.5&amp;sourceID=14","4.5")</f>
        <v>4.5</v>
      </c>
      <c r="G6739" s="4" t="str">
        <f>HYPERLINK("http://141.218.60.56/~jnz1568/getInfo.php?workbook=18_08.xlsx&amp;sheet=U0&amp;row=6739&amp;col=7&amp;number=0.00278&amp;sourceID=14","0.00278")</f>
        <v>0.00278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HYPERLINK("http://141.218.60.56/~jnz1568/getInfo.php?workbook=18_08.xlsx&amp;sheet=U0&amp;row=6740&amp;col=6&amp;number=4.6&amp;sourceID=14","4.6")</f>
        <v>4.6</v>
      </c>
      <c r="G6740" s="4" t="str">
        <f>HYPERLINK("http://141.218.60.56/~jnz1568/getInfo.php?workbook=18_08.xlsx&amp;sheet=U0&amp;row=6740&amp;col=7&amp;number=0.00278&amp;sourceID=14","0.00278")</f>
        <v>0.00278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HYPERLINK("http://141.218.60.56/~jnz1568/getInfo.php?workbook=18_08.xlsx&amp;sheet=U0&amp;row=6741&amp;col=6&amp;number=4.7&amp;sourceID=14","4.7")</f>
        <v>4.7</v>
      </c>
      <c r="G6741" s="4" t="str">
        <f>HYPERLINK("http://141.218.60.56/~jnz1568/getInfo.php?workbook=18_08.xlsx&amp;sheet=U0&amp;row=6741&amp;col=7&amp;number=0.00278&amp;sourceID=14","0.00278")</f>
        <v>0.00278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HYPERLINK("http://141.218.60.56/~jnz1568/getInfo.php?workbook=18_08.xlsx&amp;sheet=U0&amp;row=6742&amp;col=6&amp;number=4.8&amp;sourceID=14","4.8")</f>
        <v>4.8</v>
      </c>
      <c r="G6742" s="4" t="str">
        <f>HYPERLINK("http://141.218.60.56/~jnz1568/getInfo.php?workbook=18_08.xlsx&amp;sheet=U0&amp;row=6742&amp;col=7&amp;number=0.00277&amp;sourceID=14","0.00277")</f>
        <v>0.00277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HYPERLINK("http://141.218.60.56/~jnz1568/getInfo.php?workbook=18_08.xlsx&amp;sheet=U0&amp;row=6743&amp;col=6&amp;number=4.9&amp;sourceID=14","4.9")</f>
        <v>4.9</v>
      </c>
      <c r="G6743" s="4" t="str">
        <f>HYPERLINK("http://141.218.60.56/~jnz1568/getInfo.php?workbook=18_08.xlsx&amp;sheet=U0&amp;row=6743&amp;col=7&amp;number=0.00277&amp;sourceID=14","0.00277")</f>
        <v>0.00277</v>
      </c>
    </row>
    <row r="6744" spans="1:7">
      <c r="A6744" s="3">
        <v>18</v>
      </c>
      <c r="B6744" s="3">
        <v>8</v>
      </c>
      <c r="C6744" s="3">
        <v>5</v>
      </c>
      <c r="D6744" s="3">
        <v>9</v>
      </c>
      <c r="E6744" s="3">
        <v>1</v>
      </c>
      <c r="F6744" s="4" t="str">
        <f>HYPERLINK("http://141.218.60.56/~jnz1568/getInfo.php?workbook=18_08.xlsx&amp;sheet=U0&amp;row=6744&amp;col=6&amp;number=3&amp;sourceID=14","3")</f>
        <v>3</v>
      </c>
      <c r="G6744" s="4" t="str">
        <f>HYPERLINK("http://141.218.60.56/~jnz1568/getInfo.php?workbook=18_08.xlsx&amp;sheet=U0&amp;row=6744&amp;col=7&amp;number=0.105&amp;sourceID=14","0.105")</f>
        <v>0.105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HYPERLINK("http://141.218.60.56/~jnz1568/getInfo.php?workbook=18_08.xlsx&amp;sheet=U0&amp;row=6745&amp;col=6&amp;number=3.1&amp;sourceID=14","3.1")</f>
        <v>3.1</v>
      </c>
      <c r="G6745" s="4" t="str">
        <f>HYPERLINK("http://141.218.60.56/~jnz1568/getInfo.php?workbook=18_08.xlsx&amp;sheet=U0&amp;row=6745&amp;col=7&amp;number=0.105&amp;sourceID=14","0.105")</f>
        <v>0.105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HYPERLINK("http://141.218.60.56/~jnz1568/getInfo.php?workbook=18_08.xlsx&amp;sheet=U0&amp;row=6746&amp;col=6&amp;number=3.2&amp;sourceID=14","3.2")</f>
        <v>3.2</v>
      </c>
      <c r="G6746" s="4" t="str">
        <f>HYPERLINK("http://141.218.60.56/~jnz1568/getInfo.php?workbook=18_08.xlsx&amp;sheet=U0&amp;row=6746&amp;col=7&amp;number=0.105&amp;sourceID=14","0.105")</f>
        <v>0.105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HYPERLINK("http://141.218.60.56/~jnz1568/getInfo.php?workbook=18_08.xlsx&amp;sheet=U0&amp;row=6747&amp;col=6&amp;number=3.3&amp;sourceID=14","3.3")</f>
        <v>3.3</v>
      </c>
      <c r="G6747" s="4" t="str">
        <f>HYPERLINK("http://141.218.60.56/~jnz1568/getInfo.php?workbook=18_08.xlsx&amp;sheet=U0&amp;row=6747&amp;col=7&amp;number=0.105&amp;sourceID=14","0.105")</f>
        <v>0.105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HYPERLINK("http://141.218.60.56/~jnz1568/getInfo.php?workbook=18_08.xlsx&amp;sheet=U0&amp;row=6748&amp;col=6&amp;number=3.4&amp;sourceID=14","3.4")</f>
        <v>3.4</v>
      </c>
      <c r="G6748" s="4" t="str">
        <f>HYPERLINK("http://141.218.60.56/~jnz1568/getInfo.php?workbook=18_08.xlsx&amp;sheet=U0&amp;row=6748&amp;col=7&amp;number=0.105&amp;sourceID=14","0.105")</f>
        <v>0.105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HYPERLINK("http://141.218.60.56/~jnz1568/getInfo.php?workbook=18_08.xlsx&amp;sheet=U0&amp;row=6749&amp;col=6&amp;number=3.5&amp;sourceID=14","3.5")</f>
        <v>3.5</v>
      </c>
      <c r="G6749" s="4" t="str">
        <f>HYPERLINK("http://141.218.60.56/~jnz1568/getInfo.php?workbook=18_08.xlsx&amp;sheet=U0&amp;row=6749&amp;col=7&amp;number=0.105&amp;sourceID=14","0.105")</f>
        <v>0.105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HYPERLINK("http://141.218.60.56/~jnz1568/getInfo.php?workbook=18_08.xlsx&amp;sheet=U0&amp;row=6750&amp;col=6&amp;number=3.6&amp;sourceID=14","3.6")</f>
        <v>3.6</v>
      </c>
      <c r="G6750" s="4" t="str">
        <f>HYPERLINK("http://141.218.60.56/~jnz1568/getInfo.php?workbook=18_08.xlsx&amp;sheet=U0&amp;row=6750&amp;col=7&amp;number=0.105&amp;sourceID=14","0.105")</f>
        <v>0.105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HYPERLINK("http://141.218.60.56/~jnz1568/getInfo.php?workbook=18_08.xlsx&amp;sheet=U0&amp;row=6751&amp;col=6&amp;number=3.7&amp;sourceID=14","3.7")</f>
        <v>3.7</v>
      </c>
      <c r="G6751" s="4" t="str">
        <f>HYPERLINK("http://141.218.60.56/~jnz1568/getInfo.php?workbook=18_08.xlsx&amp;sheet=U0&amp;row=6751&amp;col=7&amp;number=0.105&amp;sourceID=14","0.105")</f>
        <v>0.105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HYPERLINK("http://141.218.60.56/~jnz1568/getInfo.php?workbook=18_08.xlsx&amp;sheet=U0&amp;row=6752&amp;col=6&amp;number=3.8&amp;sourceID=14","3.8")</f>
        <v>3.8</v>
      </c>
      <c r="G6752" s="4" t="str">
        <f>HYPERLINK("http://141.218.60.56/~jnz1568/getInfo.php?workbook=18_08.xlsx&amp;sheet=U0&amp;row=6752&amp;col=7&amp;number=0.105&amp;sourceID=14","0.105")</f>
        <v>0.105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HYPERLINK("http://141.218.60.56/~jnz1568/getInfo.php?workbook=18_08.xlsx&amp;sheet=U0&amp;row=6753&amp;col=6&amp;number=3.9&amp;sourceID=14","3.9")</f>
        <v>3.9</v>
      </c>
      <c r="G6753" s="4" t="str">
        <f>HYPERLINK("http://141.218.60.56/~jnz1568/getInfo.php?workbook=18_08.xlsx&amp;sheet=U0&amp;row=6753&amp;col=7&amp;number=0.105&amp;sourceID=14","0.105")</f>
        <v>0.105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HYPERLINK("http://141.218.60.56/~jnz1568/getInfo.php?workbook=18_08.xlsx&amp;sheet=U0&amp;row=6754&amp;col=6&amp;number=4&amp;sourceID=14","4")</f>
        <v>4</v>
      </c>
      <c r="G6754" s="4" t="str">
        <f>HYPERLINK("http://141.218.60.56/~jnz1568/getInfo.php?workbook=18_08.xlsx&amp;sheet=U0&amp;row=6754&amp;col=7&amp;number=0.105&amp;sourceID=14","0.105")</f>
        <v>0.105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HYPERLINK("http://141.218.60.56/~jnz1568/getInfo.php?workbook=18_08.xlsx&amp;sheet=U0&amp;row=6755&amp;col=6&amp;number=4.1&amp;sourceID=14","4.1")</f>
        <v>4.1</v>
      </c>
      <c r="G6755" s="4" t="str">
        <f>HYPERLINK("http://141.218.60.56/~jnz1568/getInfo.php?workbook=18_08.xlsx&amp;sheet=U0&amp;row=6755&amp;col=7&amp;number=0.105&amp;sourceID=14","0.105")</f>
        <v>0.105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HYPERLINK("http://141.218.60.56/~jnz1568/getInfo.php?workbook=18_08.xlsx&amp;sheet=U0&amp;row=6756&amp;col=6&amp;number=4.2&amp;sourceID=14","4.2")</f>
        <v>4.2</v>
      </c>
      <c r="G6756" s="4" t="str">
        <f>HYPERLINK("http://141.218.60.56/~jnz1568/getInfo.php?workbook=18_08.xlsx&amp;sheet=U0&amp;row=6756&amp;col=7&amp;number=0.105&amp;sourceID=14","0.105")</f>
        <v>0.105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HYPERLINK("http://141.218.60.56/~jnz1568/getInfo.php?workbook=18_08.xlsx&amp;sheet=U0&amp;row=6757&amp;col=6&amp;number=4.3&amp;sourceID=14","4.3")</f>
        <v>4.3</v>
      </c>
      <c r="G6757" s="4" t="str">
        <f>HYPERLINK("http://141.218.60.56/~jnz1568/getInfo.php?workbook=18_08.xlsx&amp;sheet=U0&amp;row=6757&amp;col=7&amp;number=0.105&amp;sourceID=14","0.105")</f>
        <v>0.105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HYPERLINK("http://141.218.60.56/~jnz1568/getInfo.php?workbook=18_08.xlsx&amp;sheet=U0&amp;row=6758&amp;col=6&amp;number=4.4&amp;sourceID=14","4.4")</f>
        <v>4.4</v>
      </c>
      <c r="G6758" s="4" t="str">
        <f>HYPERLINK("http://141.218.60.56/~jnz1568/getInfo.php?workbook=18_08.xlsx&amp;sheet=U0&amp;row=6758&amp;col=7&amp;number=0.105&amp;sourceID=14","0.105")</f>
        <v>0.105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HYPERLINK("http://141.218.60.56/~jnz1568/getInfo.php?workbook=18_08.xlsx&amp;sheet=U0&amp;row=6759&amp;col=6&amp;number=4.5&amp;sourceID=14","4.5")</f>
        <v>4.5</v>
      </c>
      <c r="G6759" s="4" t="str">
        <f>HYPERLINK("http://141.218.60.56/~jnz1568/getInfo.php?workbook=18_08.xlsx&amp;sheet=U0&amp;row=6759&amp;col=7&amp;number=0.105&amp;sourceID=14","0.105")</f>
        <v>0.105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HYPERLINK("http://141.218.60.56/~jnz1568/getInfo.php?workbook=18_08.xlsx&amp;sheet=U0&amp;row=6760&amp;col=6&amp;number=4.6&amp;sourceID=14","4.6")</f>
        <v>4.6</v>
      </c>
      <c r="G6760" s="4" t="str">
        <f>HYPERLINK("http://141.218.60.56/~jnz1568/getInfo.php?workbook=18_08.xlsx&amp;sheet=U0&amp;row=6760&amp;col=7&amp;number=0.106&amp;sourceID=14","0.106")</f>
        <v>0.106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HYPERLINK("http://141.218.60.56/~jnz1568/getInfo.php?workbook=18_08.xlsx&amp;sheet=U0&amp;row=6761&amp;col=6&amp;number=4.7&amp;sourceID=14","4.7")</f>
        <v>4.7</v>
      </c>
      <c r="G6761" s="4" t="str">
        <f>HYPERLINK("http://141.218.60.56/~jnz1568/getInfo.php?workbook=18_08.xlsx&amp;sheet=U0&amp;row=6761&amp;col=7&amp;number=0.106&amp;sourceID=14","0.106")</f>
        <v>0.106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HYPERLINK("http://141.218.60.56/~jnz1568/getInfo.php?workbook=18_08.xlsx&amp;sheet=U0&amp;row=6762&amp;col=6&amp;number=4.8&amp;sourceID=14","4.8")</f>
        <v>4.8</v>
      </c>
      <c r="G6762" s="4" t="str">
        <f>HYPERLINK("http://141.218.60.56/~jnz1568/getInfo.php?workbook=18_08.xlsx&amp;sheet=U0&amp;row=6762&amp;col=7&amp;number=0.106&amp;sourceID=14","0.106")</f>
        <v>0.106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HYPERLINK("http://141.218.60.56/~jnz1568/getInfo.php?workbook=18_08.xlsx&amp;sheet=U0&amp;row=6763&amp;col=6&amp;number=4.9&amp;sourceID=14","4.9")</f>
        <v>4.9</v>
      </c>
      <c r="G6763" s="4" t="str">
        <f>HYPERLINK("http://141.218.60.56/~jnz1568/getInfo.php?workbook=18_08.xlsx&amp;sheet=U0&amp;row=6763&amp;col=7&amp;number=0.107&amp;sourceID=14","0.107")</f>
        <v>0.107</v>
      </c>
    </row>
    <row r="6764" spans="1:7">
      <c r="A6764" s="3">
        <v>18</v>
      </c>
      <c r="B6764" s="3">
        <v>8</v>
      </c>
      <c r="C6764" s="3" t="s">
        <v>78</v>
      </c>
      <c r="D6764" s="3">
        <v>0</v>
      </c>
      <c r="E6764" s="3">
        <v>1</v>
      </c>
      <c r="F6764" s="4" t="str">
        <f>HYPERLINK("http://141.218.60.56/~jnz1568/getInfo.php?workbook=18_08.xlsx&amp;sheet=U0&amp;row=6764&amp;col=6&amp;number=3&amp;sourceID=14","3")</f>
        <v>3</v>
      </c>
      <c r="G6764" s="4" t="str">
        <f>HYPERLINK("http://141.218.60.56/~jnz1568/getInfo.php?workbook=18_08.xlsx&amp;sheet=U0&amp;row=6764&amp;col=7&amp;number=0.000767&amp;sourceID=14","0.000767")</f>
        <v>0.000767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HYPERLINK("http://141.218.60.56/~jnz1568/getInfo.php?workbook=18_08.xlsx&amp;sheet=U0&amp;row=6765&amp;col=6&amp;number=3.1&amp;sourceID=14","3.1")</f>
        <v>3.1</v>
      </c>
      <c r="G6765" s="4" t="str">
        <f>HYPERLINK("http://141.218.60.56/~jnz1568/getInfo.php?workbook=18_08.xlsx&amp;sheet=U0&amp;row=6765&amp;col=7&amp;number=0.000767&amp;sourceID=14","0.000767")</f>
        <v>0.000767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HYPERLINK("http://141.218.60.56/~jnz1568/getInfo.php?workbook=18_08.xlsx&amp;sheet=U0&amp;row=6766&amp;col=6&amp;number=3.2&amp;sourceID=14","3.2")</f>
        <v>3.2</v>
      </c>
      <c r="G6766" s="4" t="str">
        <f>HYPERLINK("http://141.218.60.56/~jnz1568/getInfo.php?workbook=18_08.xlsx&amp;sheet=U0&amp;row=6766&amp;col=7&amp;number=0.000767&amp;sourceID=14","0.000767")</f>
        <v>0.000767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HYPERLINK("http://141.218.60.56/~jnz1568/getInfo.php?workbook=18_08.xlsx&amp;sheet=U0&amp;row=6767&amp;col=6&amp;number=3.3&amp;sourceID=14","3.3")</f>
        <v>3.3</v>
      </c>
      <c r="G6767" s="4" t="str">
        <f>HYPERLINK("http://141.218.60.56/~jnz1568/getInfo.php?workbook=18_08.xlsx&amp;sheet=U0&amp;row=6767&amp;col=7&amp;number=0.000767&amp;sourceID=14","0.000767")</f>
        <v>0.000767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HYPERLINK("http://141.218.60.56/~jnz1568/getInfo.php?workbook=18_08.xlsx&amp;sheet=U0&amp;row=6768&amp;col=6&amp;number=3.4&amp;sourceID=14","3.4")</f>
        <v>3.4</v>
      </c>
      <c r="G6768" s="4" t="str">
        <f>HYPERLINK("http://141.218.60.56/~jnz1568/getInfo.php?workbook=18_08.xlsx&amp;sheet=U0&amp;row=6768&amp;col=7&amp;number=0.000767&amp;sourceID=14","0.000767")</f>
        <v>0.000767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HYPERLINK("http://141.218.60.56/~jnz1568/getInfo.php?workbook=18_08.xlsx&amp;sheet=U0&amp;row=6769&amp;col=6&amp;number=3.5&amp;sourceID=14","3.5")</f>
        <v>3.5</v>
      </c>
      <c r="G6769" s="4" t="str">
        <f>HYPERLINK("http://141.218.60.56/~jnz1568/getInfo.php?workbook=18_08.xlsx&amp;sheet=U0&amp;row=6769&amp;col=7&amp;number=0.000767&amp;sourceID=14","0.000767")</f>
        <v>0.000767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HYPERLINK("http://141.218.60.56/~jnz1568/getInfo.php?workbook=18_08.xlsx&amp;sheet=U0&amp;row=6770&amp;col=6&amp;number=3.6&amp;sourceID=14","3.6")</f>
        <v>3.6</v>
      </c>
      <c r="G6770" s="4" t="str">
        <f>HYPERLINK("http://141.218.60.56/~jnz1568/getInfo.php?workbook=18_08.xlsx&amp;sheet=U0&amp;row=6770&amp;col=7&amp;number=0.000767&amp;sourceID=14","0.000767")</f>
        <v>0.000767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HYPERLINK("http://141.218.60.56/~jnz1568/getInfo.php?workbook=18_08.xlsx&amp;sheet=U0&amp;row=6771&amp;col=6&amp;number=3.7&amp;sourceID=14","3.7")</f>
        <v>3.7</v>
      </c>
      <c r="G6771" s="4" t="str">
        <f>HYPERLINK("http://141.218.60.56/~jnz1568/getInfo.php?workbook=18_08.xlsx&amp;sheet=U0&amp;row=6771&amp;col=7&amp;number=0.000767&amp;sourceID=14","0.000767")</f>
        <v>0.000767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HYPERLINK("http://141.218.60.56/~jnz1568/getInfo.php?workbook=18_08.xlsx&amp;sheet=U0&amp;row=6772&amp;col=6&amp;number=3.8&amp;sourceID=14","3.8")</f>
        <v>3.8</v>
      </c>
      <c r="G6772" s="4" t="str">
        <f>HYPERLINK("http://141.218.60.56/~jnz1568/getInfo.php?workbook=18_08.xlsx&amp;sheet=U0&amp;row=6772&amp;col=7&amp;number=0.000767&amp;sourceID=14","0.000767")</f>
        <v>0.000767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HYPERLINK("http://141.218.60.56/~jnz1568/getInfo.php?workbook=18_08.xlsx&amp;sheet=U0&amp;row=6773&amp;col=6&amp;number=3.9&amp;sourceID=14","3.9")</f>
        <v>3.9</v>
      </c>
      <c r="G6773" s="4" t="str">
        <f>HYPERLINK("http://141.218.60.56/~jnz1568/getInfo.php?workbook=18_08.xlsx&amp;sheet=U0&amp;row=6773&amp;col=7&amp;number=0.000767&amp;sourceID=14","0.000767")</f>
        <v>0.000767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HYPERLINK("http://141.218.60.56/~jnz1568/getInfo.php?workbook=18_08.xlsx&amp;sheet=U0&amp;row=6774&amp;col=6&amp;number=4&amp;sourceID=14","4")</f>
        <v>4</v>
      </c>
      <c r="G6774" s="4" t="str">
        <f>HYPERLINK("http://141.218.60.56/~jnz1568/getInfo.php?workbook=18_08.xlsx&amp;sheet=U0&amp;row=6774&amp;col=7&amp;number=0.000767&amp;sourceID=14","0.000767")</f>
        <v>0.000767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HYPERLINK("http://141.218.60.56/~jnz1568/getInfo.php?workbook=18_08.xlsx&amp;sheet=U0&amp;row=6775&amp;col=6&amp;number=4.1&amp;sourceID=14","4.1")</f>
        <v>4.1</v>
      </c>
      <c r="G6775" s="4" t="str">
        <f>HYPERLINK("http://141.218.60.56/~jnz1568/getInfo.php?workbook=18_08.xlsx&amp;sheet=U0&amp;row=6775&amp;col=7&amp;number=0.000767&amp;sourceID=14","0.000767")</f>
        <v>0.000767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HYPERLINK("http://141.218.60.56/~jnz1568/getInfo.php?workbook=18_08.xlsx&amp;sheet=U0&amp;row=6776&amp;col=6&amp;number=4.2&amp;sourceID=14","4.2")</f>
        <v>4.2</v>
      </c>
      <c r="G6776" s="4" t="str">
        <f>HYPERLINK("http://141.218.60.56/~jnz1568/getInfo.php?workbook=18_08.xlsx&amp;sheet=U0&amp;row=6776&amp;col=7&amp;number=0.000767&amp;sourceID=14","0.000767")</f>
        <v>0.000767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HYPERLINK("http://141.218.60.56/~jnz1568/getInfo.php?workbook=18_08.xlsx&amp;sheet=U0&amp;row=6777&amp;col=6&amp;number=4.3&amp;sourceID=14","4.3")</f>
        <v>4.3</v>
      </c>
      <c r="G6777" s="4" t="str">
        <f>HYPERLINK("http://141.218.60.56/~jnz1568/getInfo.php?workbook=18_08.xlsx&amp;sheet=U0&amp;row=6777&amp;col=7&amp;number=0.000767&amp;sourceID=14","0.000767")</f>
        <v>0.000767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HYPERLINK("http://141.218.60.56/~jnz1568/getInfo.php?workbook=18_08.xlsx&amp;sheet=U0&amp;row=6778&amp;col=6&amp;number=4.4&amp;sourceID=14","4.4")</f>
        <v>4.4</v>
      </c>
      <c r="G6778" s="4" t="str">
        <f>HYPERLINK("http://141.218.60.56/~jnz1568/getInfo.php?workbook=18_08.xlsx&amp;sheet=U0&amp;row=6778&amp;col=7&amp;number=0.000767&amp;sourceID=14","0.000767")</f>
        <v>0.000767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HYPERLINK("http://141.218.60.56/~jnz1568/getInfo.php?workbook=18_08.xlsx&amp;sheet=U0&amp;row=6779&amp;col=6&amp;number=4.5&amp;sourceID=14","4.5")</f>
        <v>4.5</v>
      </c>
      <c r="G6779" s="4" t="str">
        <f>HYPERLINK("http://141.218.60.56/~jnz1568/getInfo.php?workbook=18_08.xlsx&amp;sheet=U0&amp;row=6779&amp;col=7&amp;number=0.000767&amp;sourceID=14","0.000767")</f>
        <v>0.000767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HYPERLINK("http://141.218.60.56/~jnz1568/getInfo.php?workbook=18_08.xlsx&amp;sheet=U0&amp;row=6780&amp;col=6&amp;number=4.6&amp;sourceID=14","4.6")</f>
        <v>4.6</v>
      </c>
      <c r="G6780" s="4" t="str">
        <f>HYPERLINK("http://141.218.60.56/~jnz1568/getInfo.php?workbook=18_08.xlsx&amp;sheet=U0&amp;row=6780&amp;col=7&amp;number=0.000767&amp;sourceID=14","0.000767")</f>
        <v>0.000767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HYPERLINK("http://141.218.60.56/~jnz1568/getInfo.php?workbook=18_08.xlsx&amp;sheet=U0&amp;row=6781&amp;col=6&amp;number=4.7&amp;sourceID=14","4.7")</f>
        <v>4.7</v>
      </c>
      <c r="G6781" s="4" t="str">
        <f>HYPERLINK("http://141.218.60.56/~jnz1568/getInfo.php?workbook=18_08.xlsx&amp;sheet=U0&amp;row=6781&amp;col=7&amp;number=0.000767&amp;sourceID=14","0.000767")</f>
        <v>0.000767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HYPERLINK("http://141.218.60.56/~jnz1568/getInfo.php?workbook=18_08.xlsx&amp;sheet=U0&amp;row=6782&amp;col=6&amp;number=4.8&amp;sourceID=14","4.8")</f>
        <v>4.8</v>
      </c>
      <c r="G6782" s="4" t="str">
        <f>HYPERLINK("http://141.218.60.56/~jnz1568/getInfo.php?workbook=18_08.xlsx&amp;sheet=U0&amp;row=6782&amp;col=7&amp;number=0.000767&amp;sourceID=14","0.000767")</f>
        <v>0.000767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HYPERLINK("http://141.218.60.56/~jnz1568/getInfo.php?workbook=18_08.xlsx&amp;sheet=U0&amp;row=6783&amp;col=6&amp;number=4.9&amp;sourceID=14","4.9")</f>
        <v>4.9</v>
      </c>
      <c r="G6783" s="4" t="str">
        <f>HYPERLINK("http://141.218.60.56/~jnz1568/getInfo.php?workbook=18_08.xlsx&amp;sheet=U0&amp;row=6783&amp;col=7&amp;number=0.000767&amp;sourceID=14","0.000767")</f>
        <v>0.000767</v>
      </c>
    </row>
    <row r="6784" spans="1:7">
      <c r="A6784" s="3">
        <v>18</v>
      </c>
      <c r="B6784" s="3">
        <v>8</v>
      </c>
      <c r="C6784" s="3" t="s">
        <v>78</v>
      </c>
      <c r="D6784" s="3">
        <v>1</v>
      </c>
      <c r="E6784" s="3">
        <v>1</v>
      </c>
      <c r="F6784" s="4" t="str">
        <f>HYPERLINK("http://141.218.60.56/~jnz1568/getInfo.php?workbook=18_08.xlsx&amp;sheet=U0&amp;row=6784&amp;col=6&amp;number=3&amp;sourceID=14","3")</f>
        <v>3</v>
      </c>
      <c r="G6784" s="4" t="str">
        <f>HYPERLINK("http://141.218.60.56/~jnz1568/getInfo.php?workbook=18_08.xlsx&amp;sheet=U0&amp;row=6784&amp;col=7&amp;number=1.96e-06&amp;sourceID=14","1.96e-06")</f>
        <v>1.96e-06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HYPERLINK("http://141.218.60.56/~jnz1568/getInfo.php?workbook=18_08.xlsx&amp;sheet=U0&amp;row=6785&amp;col=6&amp;number=3.1&amp;sourceID=14","3.1")</f>
        <v>3.1</v>
      </c>
      <c r="G6785" s="4" t="str">
        <f>HYPERLINK("http://141.218.60.56/~jnz1568/getInfo.php?workbook=18_08.xlsx&amp;sheet=U0&amp;row=6785&amp;col=7&amp;number=1.96e-06&amp;sourceID=14","1.96e-06")</f>
        <v>1.96e-06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HYPERLINK("http://141.218.60.56/~jnz1568/getInfo.php?workbook=18_08.xlsx&amp;sheet=U0&amp;row=6786&amp;col=6&amp;number=3.2&amp;sourceID=14","3.2")</f>
        <v>3.2</v>
      </c>
      <c r="G6786" s="4" t="str">
        <f>HYPERLINK("http://141.218.60.56/~jnz1568/getInfo.php?workbook=18_08.xlsx&amp;sheet=U0&amp;row=6786&amp;col=7&amp;number=1.96e-06&amp;sourceID=14","1.96e-06")</f>
        <v>1.96e-06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HYPERLINK("http://141.218.60.56/~jnz1568/getInfo.php?workbook=18_08.xlsx&amp;sheet=U0&amp;row=6787&amp;col=6&amp;number=3.3&amp;sourceID=14","3.3")</f>
        <v>3.3</v>
      </c>
      <c r="G6787" s="4" t="str">
        <f>HYPERLINK("http://141.218.60.56/~jnz1568/getInfo.php?workbook=18_08.xlsx&amp;sheet=U0&amp;row=6787&amp;col=7&amp;number=1.96e-06&amp;sourceID=14","1.96e-06")</f>
        <v>1.96e-06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HYPERLINK("http://141.218.60.56/~jnz1568/getInfo.php?workbook=18_08.xlsx&amp;sheet=U0&amp;row=6788&amp;col=6&amp;number=3.4&amp;sourceID=14","3.4")</f>
        <v>3.4</v>
      </c>
      <c r="G6788" s="4" t="str">
        <f>HYPERLINK("http://141.218.60.56/~jnz1568/getInfo.php?workbook=18_08.xlsx&amp;sheet=U0&amp;row=6788&amp;col=7&amp;number=1.96e-06&amp;sourceID=14","1.96e-06")</f>
        <v>1.96e-06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HYPERLINK("http://141.218.60.56/~jnz1568/getInfo.php?workbook=18_08.xlsx&amp;sheet=U0&amp;row=6789&amp;col=6&amp;number=3.5&amp;sourceID=14","3.5")</f>
        <v>3.5</v>
      </c>
      <c r="G6789" s="4" t="str">
        <f>HYPERLINK("http://141.218.60.56/~jnz1568/getInfo.php?workbook=18_08.xlsx&amp;sheet=U0&amp;row=6789&amp;col=7&amp;number=1.96e-06&amp;sourceID=14","1.96e-06")</f>
        <v>1.96e-06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HYPERLINK("http://141.218.60.56/~jnz1568/getInfo.php?workbook=18_08.xlsx&amp;sheet=U0&amp;row=6790&amp;col=6&amp;number=3.6&amp;sourceID=14","3.6")</f>
        <v>3.6</v>
      </c>
      <c r="G6790" s="4" t="str">
        <f>HYPERLINK("http://141.218.60.56/~jnz1568/getInfo.php?workbook=18_08.xlsx&amp;sheet=U0&amp;row=6790&amp;col=7&amp;number=1.96e-06&amp;sourceID=14","1.96e-06")</f>
        <v>1.96e-06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HYPERLINK("http://141.218.60.56/~jnz1568/getInfo.php?workbook=18_08.xlsx&amp;sheet=U0&amp;row=6791&amp;col=6&amp;number=3.7&amp;sourceID=14","3.7")</f>
        <v>3.7</v>
      </c>
      <c r="G6791" s="4" t="str">
        <f>HYPERLINK("http://141.218.60.56/~jnz1568/getInfo.php?workbook=18_08.xlsx&amp;sheet=U0&amp;row=6791&amp;col=7&amp;number=1.96e-06&amp;sourceID=14","1.96e-06")</f>
        <v>1.96e-06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HYPERLINK("http://141.218.60.56/~jnz1568/getInfo.php?workbook=18_08.xlsx&amp;sheet=U0&amp;row=6792&amp;col=6&amp;number=3.8&amp;sourceID=14","3.8")</f>
        <v>3.8</v>
      </c>
      <c r="G6792" s="4" t="str">
        <f>HYPERLINK("http://141.218.60.56/~jnz1568/getInfo.php?workbook=18_08.xlsx&amp;sheet=U0&amp;row=6792&amp;col=7&amp;number=1.96e-06&amp;sourceID=14","1.96e-06")</f>
        <v>1.96e-06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HYPERLINK("http://141.218.60.56/~jnz1568/getInfo.php?workbook=18_08.xlsx&amp;sheet=U0&amp;row=6793&amp;col=6&amp;number=3.9&amp;sourceID=14","3.9")</f>
        <v>3.9</v>
      </c>
      <c r="G6793" s="4" t="str">
        <f>HYPERLINK("http://141.218.60.56/~jnz1568/getInfo.php?workbook=18_08.xlsx&amp;sheet=U0&amp;row=6793&amp;col=7&amp;number=1.95e-06&amp;sourceID=14","1.95e-06")</f>
        <v>1.95e-06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HYPERLINK("http://141.218.60.56/~jnz1568/getInfo.php?workbook=18_08.xlsx&amp;sheet=U0&amp;row=6794&amp;col=6&amp;number=4&amp;sourceID=14","4")</f>
        <v>4</v>
      </c>
      <c r="G6794" s="4" t="str">
        <f>HYPERLINK("http://141.218.60.56/~jnz1568/getInfo.php?workbook=18_08.xlsx&amp;sheet=U0&amp;row=6794&amp;col=7&amp;number=1.95e-06&amp;sourceID=14","1.95e-06")</f>
        <v>1.95e-06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HYPERLINK("http://141.218.60.56/~jnz1568/getInfo.php?workbook=18_08.xlsx&amp;sheet=U0&amp;row=6795&amp;col=6&amp;number=4.1&amp;sourceID=14","4.1")</f>
        <v>4.1</v>
      </c>
      <c r="G6795" s="4" t="str">
        <f>HYPERLINK("http://141.218.60.56/~jnz1568/getInfo.php?workbook=18_08.xlsx&amp;sheet=U0&amp;row=6795&amp;col=7&amp;number=1.95e-06&amp;sourceID=14","1.95e-06")</f>
        <v>1.95e-06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HYPERLINK("http://141.218.60.56/~jnz1568/getInfo.php?workbook=18_08.xlsx&amp;sheet=U0&amp;row=6796&amp;col=6&amp;number=4.2&amp;sourceID=14","4.2")</f>
        <v>4.2</v>
      </c>
      <c r="G6796" s="4" t="str">
        <f>HYPERLINK("http://141.218.60.56/~jnz1568/getInfo.php?workbook=18_08.xlsx&amp;sheet=U0&amp;row=6796&amp;col=7&amp;number=1.95e-06&amp;sourceID=14","1.95e-06")</f>
        <v>1.95e-06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HYPERLINK("http://141.218.60.56/~jnz1568/getInfo.php?workbook=18_08.xlsx&amp;sheet=U0&amp;row=6797&amp;col=6&amp;number=4.3&amp;sourceID=14","4.3")</f>
        <v>4.3</v>
      </c>
      <c r="G6797" s="4" t="str">
        <f>HYPERLINK("http://141.218.60.56/~jnz1568/getInfo.php?workbook=18_08.xlsx&amp;sheet=U0&amp;row=6797&amp;col=7&amp;number=1.95e-06&amp;sourceID=14","1.95e-06")</f>
        <v>1.95e-06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HYPERLINK("http://141.218.60.56/~jnz1568/getInfo.php?workbook=18_08.xlsx&amp;sheet=U0&amp;row=6798&amp;col=6&amp;number=4.4&amp;sourceID=14","4.4")</f>
        <v>4.4</v>
      </c>
      <c r="G6798" s="4" t="str">
        <f>HYPERLINK("http://141.218.60.56/~jnz1568/getInfo.php?workbook=18_08.xlsx&amp;sheet=U0&amp;row=6798&amp;col=7&amp;number=1.95e-06&amp;sourceID=14","1.95e-06")</f>
        <v>1.95e-06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HYPERLINK("http://141.218.60.56/~jnz1568/getInfo.php?workbook=18_08.xlsx&amp;sheet=U0&amp;row=6799&amp;col=6&amp;number=4.5&amp;sourceID=14","4.5")</f>
        <v>4.5</v>
      </c>
      <c r="G6799" s="4" t="str">
        <f>HYPERLINK("http://141.218.60.56/~jnz1568/getInfo.php?workbook=18_08.xlsx&amp;sheet=U0&amp;row=6799&amp;col=7&amp;number=1.94e-06&amp;sourceID=14","1.94e-06")</f>
        <v>1.94e-06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HYPERLINK("http://141.218.60.56/~jnz1568/getInfo.php?workbook=18_08.xlsx&amp;sheet=U0&amp;row=6800&amp;col=6&amp;number=4.6&amp;sourceID=14","4.6")</f>
        <v>4.6</v>
      </c>
      <c r="G6800" s="4" t="str">
        <f>HYPERLINK("http://141.218.60.56/~jnz1568/getInfo.php?workbook=18_08.xlsx&amp;sheet=U0&amp;row=6800&amp;col=7&amp;number=1.94e-06&amp;sourceID=14","1.94e-06")</f>
        <v>1.94e-06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HYPERLINK("http://141.218.60.56/~jnz1568/getInfo.php?workbook=18_08.xlsx&amp;sheet=U0&amp;row=6801&amp;col=6&amp;number=4.7&amp;sourceID=14","4.7")</f>
        <v>4.7</v>
      </c>
      <c r="G6801" s="4" t="str">
        <f>HYPERLINK("http://141.218.60.56/~jnz1568/getInfo.php?workbook=18_08.xlsx&amp;sheet=U0&amp;row=6801&amp;col=7&amp;number=1.94e-06&amp;sourceID=14","1.94e-06")</f>
        <v>1.94e-06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HYPERLINK("http://141.218.60.56/~jnz1568/getInfo.php?workbook=18_08.xlsx&amp;sheet=U0&amp;row=6802&amp;col=6&amp;number=4.8&amp;sourceID=14","4.8")</f>
        <v>4.8</v>
      </c>
      <c r="G6802" s="4" t="str">
        <f>HYPERLINK("http://141.218.60.56/~jnz1568/getInfo.php?workbook=18_08.xlsx&amp;sheet=U0&amp;row=6802&amp;col=7&amp;number=1.93e-06&amp;sourceID=14","1.93e-06")</f>
        <v>1.93e-06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HYPERLINK("http://141.218.60.56/~jnz1568/getInfo.php?workbook=18_08.xlsx&amp;sheet=U0&amp;row=6803&amp;col=6&amp;number=4.9&amp;sourceID=14","4.9")</f>
        <v>4.9</v>
      </c>
      <c r="G6803" s="4" t="str">
        <f>HYPERLINK("http://141.218.60.56/~jnz1568/getInfo.php?workbook=18_08.xlsx&amp;sheet=U0&amp;row=6803&amp;col=7&amp;number=1.92e-06&amp;sourceID=14","1.92e-06")</f>
        <v>1.92e-06</v>
      </c>
    </row>
    <row r="6804" spans="1:7">
      <c r="A6804" s="3">
        <v>18</v>
      </c>
      <c r="B6804" s="3">
        <v>8</v>
      </c>
      <c r="C6804" s="3" t="s">
        <v>78</v>
      </c>
      <c r="D6804" s="3">
        <v>2</v>
      </c>
      <c r="E6804" s="3">
        <v>1</v>
      </c>
      <c r="F6804" s="4" t="str">
        <f>HYPERLINK("http://141.218.60.56/~jnz1568/getInfo.php?workbook=18_08.xlsx&amp;sheet=U0&amp;row=6804&amp;col=6&amp;number=3&amp;sourceID=14","3")</f>
        <v>3</v>
      </c>
      <c r="G6804" s="4" t="str">
        <f>HYPERLINK("http://141.218.60.56/~jnz1568/getInfo.php?workbook=18_08.xlsx&amp;sheet=U0&amp;row=6804&amp;col=7&amp;number=9.72e-07&amp;sourceID=14","9.72e-07")</f>
        <v>9.72e-07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HYPERLINK("http://141.218.60.56/~jnz1568/getInfo.php?workbook=18_08.xlsx&amp;sheet=U0&amp;row=6805&amp;col=6&amp;number=3.1&amp;sourceID=14","3.1")</f>
        <v>3.1</v>
      </c>
      <c r="G6805" s="4" t="str">
        <f>HYPERLINK("http://141.218.60.56/~jnz1568/getInfo.php?workbook=18_08.xlsx&amp;sheet=U0&amp;row=6805&amp;col=7&amp;number=9.72e-07&amp;sourceID=14","9.72e-07")</f>
        <v>9.72e-07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HYPERLINK("http://141.218.60.56/~jnz1568/getInfo.php?workbook=18_08.xlsx&amp;sheet=U0&amp;row=6806&amp;col=6&amp;number=3.2&amp;sourceID=14","3.2")</f>
        <v>3.2</v>
      </c>
      <c r="G6806" s="4" t="str">
        <f>HYPERLINK("http://141.218.60.56/~jnz1568/getInfo.php?workbook=18_08.xlsx&amp;sheet=U0&amp;row=6806&amp;col=7&amp;number=9.72e-07&amp;sourceID=14","9.72e-07")</f>
        <v>9.72e-07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HYPERLINK("http://141.218.60.56/~jnz1568/getInfo.php?workbook=18_08.xlsx&amp;sheet=U0&amp;row=6807&amp;col=6&amp;number=3.3&amp;sourceID=14","3.3")</f>
        <v>3.3</v>
      </c>
      <c r="G6807" s="4" t="str">
        <f>HYPERLINK("http://141.218.60.56/~jnz1568/getInfo.php?workbook=18_08.xlsx&amp;sheet=U0&amp;row=6807&amp;col=7&amp;number=9.73e-07&amp;sourceID=14","9.73e-07")</f>
        <v>9.73e-07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HYPERLINK("http://141.218.60.56/~jnz1568/getInfo.php?workbook=18_08.xlsx&amp;sheet=U0&amp;row=6808&amp;col=6&amp;number=3.4&amp;sourceID=14","3.4")</f>
        <v>3.4</v>
      </c>
      <c r="G6808" s="4" t="str">
        <f>HYPERLINK("http://141.218.60.56/~jnz1568/getInfo.php?workbook=18_08.xlsx&amp;sheet=U0&amp;row=6808&amp;col=7&amp;number=9.73e-07&amp;sourceID=14","9.73e-07")</f>
        <v>9.73e-07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HYPERLINK("http://141.218.60.56/~jnz1568/getInfo.php?workbook=18_08.xlsx&amp;sheet=U0&amp;row=6809&amp;col=6&amp;number=3.5&amp;sourceID=14","3.5")</f>
        <v>3.5</v>
      </c>
      <c r="G6809" s="4" t="str">
        <f>HYPERLINK("http://141.218.60.56/~jnz1568/getInfo.php?workbook=18_08.xlsx&amp;sheet=U0&amp;row=6809&amp;col=7&amp;number=9.73e-07&amp;sourceID=14","9.73e-07")</f>
        <v>9.73e-07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HYPERLINK("http://141.218.60.56/~jnz1568/getInfo.php?workbook=18_08.xlsx&amp;sheet=U0&amp;row=6810&amp;col=6&amp;number=3.6&amp;sourceID=14","3.6")</f>
        <v>3.6</v>
      </c>
      <c r="G6810" s="4" t="str">
        <f>HYPERLINK("http://141.218.60.56/~jnz1568/getInfo.php?workbook=18_08.xlsx&amp;sheet=U0&amp;row=6810&amp;col=7&amp;number=9.73e-07&amp;sourceID=14","9.73e-07")</f>
        <v>9.73e-07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HYPERLINK("http://141.218.60.56/~jnz1568/getInfo.php?workbook=18_08.xlsx&amp;sheet=U0&amp;row=6811&amp;col=6&amp;number=3.7&amp;sourceID=14","3.7")</f>
        <v>3.7</v>
      </c>
      <c r="G6811" s="4" t="str">
        <f>HYPERLINK("http://141.218.60.56/~jnz1568/getInfo.php?workbook=18_08.xlsx&amp;sheet=U0&amp;row=6811&amp;col=7&amp;number=9.73e-07&amp;sourceID=14","9.73e-07")</f>
        <v>9.73e-07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HYPERLINK("http://141.218.60.56/~jnz1568/getInfo.php?workbook=18_08.xlsx&amp;sheet=U0&amp;row=6812&amp;col=6&amp;number=3.8&amp;sourceID=14","3.8")</f>
        <v>3.8</v>
      </c>
      <c r="G6812" s="4" t="str">
        <f>HYPERLINK("http://141.218.60.56/~jnz1568/getInfo.php?workbook=18_08.xlsx&amp;sheet=U0&amp;row=6812&amp;col=7&amp;number=9.74e-07&amp;sourceID=14","9.74e-07")</f>
        <v>9.74e-07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HYPERLINK("http://141.218.60.56/~jnz1568/getInfo.php?workbook=18_08.xlsx&amp;sheet=U0&amp;row=6813&amp;col=6&amp;number=3.9&amp;sourceID=14","3.9")</f>
        <v>3.9</v>
      </c>
      <c r="G6813" s="4" t="str">
        <f>HYPERLINK("http://141.218.60.56/~jnz1568/getInfo.php?workbook=18_08.xlsx&amp;sheet=U0&amp;row=6813&amp;col=7&amp;number=9.74e-07&amp;sourceID=14","9.74e-07")</f>
        <v>9.74e-07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HYPERLINK("http://141.218.60.56/~jnz1568/getInfo.php?workbook=18_08.xlsx&amp;sheet=U0&amp;row=6814&amp;col=6&amp;number=4&amp;sourceID=14","4")</f>
        <v>4</v>
      </c>
      <c r="G6814" s="4" t="str">
        <f>HYPERLINK("http://141.218.60.56/~jnz1568/getInfo.php?workbook=18_08.xlsx&amp;sheet=U0&amp;row=6814&amp;col=7&amp;number=9.75e-07&amp;sourceID=14","9.75e-07")</f>
        <v>9.75e-07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HYPERLINK("http://141.218.60.56/~jnz1568/getInfo.php?workbook=18_08.xlsx&amp;sheet=U0&amp;row=6815&amp;col=6&amp;number=4.1&amp;sourceID=14","4.1")</f>
        <v>4.1</v>
      </c>
      <c r="G6815" s="4" t="str">
        <f>HYPERLINK("http://141.218.60.56/~jnz1568/getInfo.php?workbook=18_08.xlsx&amp;sheet=U0&amp;row=6815&amp;col=7&amp;number=9.75e-07&amp;sourceID=14","9.75e-07")</f>
        <v>9.75e-07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HYPERLINK("http://141.218.60.56/~jnz1568/getInfo.php?workbook=18_08.xlsx&amp;sheet=U0&amp;row=6816&amp;col=6&amp;number=4.2&amp;sourceID=14","4.2")</f>
        <v>4.2</v>
      </c>
      <c r="G6816" s="4" t="str">
        <f>HYPERLINK("http://141.218.60.56/~jnz1568/getInfo.php?workbook=18_08.xlsx&amp;sheet=U0&amp;row=6816&amp;col=7&amp;number=9.76e-07&amp;sourceID=14","9.76e-07")</f>
        <v>9.76e-07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HYPERLINK("http://141.218.60.56/~jnz1568/getInfo.php?workbook=18_08.xlsx&amp;sheet=U0&amp;row=6817&amp;col=6&amp;number=4.3&amp;sourceID=14","4.3")</f>
        <v>4.3</v>
      </c>
      <c r="G6817" s="4" t="str">
        <f>HYPERLINK("http://141.218.60.56/~jnz1568/getInfo.php?workbook=18_08.xlsx&amp;sheet=U0&amp;row=6817&amp;col=7&amp;number=9.77e-07&amp;sourceID=14","9.77e-07")</f>
        <v>9.77e-07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HYPERLINK("http://141.218.60.56/~jnz1568/getInfo.php?workbook=18_08.xlsx&amp;sheet=U0&amp;row=6818&amp;col=6&amp;number=4.4&amp;sourceID=14","4.4")</f>
        <v>4.4</v>
      </c>
      <c r="G6818" s="4" t="str">
        <f>HYPERLINK("http://141.218.60.56/~jnz1568/getInfo.php?workbook=18_08.xlsx&amp;sheet=U0&amp;row=6818&amp;col=7&amp;number=9.78e-07&amp;sourceID=14","9.78e-07")</f>
        <v>9.78e-07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HYPERLINK("http://141.218.60.56/~jnz1568/getInfo.php?workbook=18_08.xlsx&amp;sheet=U0&amp;row=6819&amp;col=6&amp;number=4.5&amp;sourceID=14","4.5")</f>
        <v>4.5</v>
      </c>
      <c r="G6819" s="4" t="str">
        <f>HYPERLINK("http://141.218.60.56/~jnz1568/getInfo.php?workbook=18_08.xlsx&amp;sheet=U0&amp;row=6819&amp;col=7&amp;number=9.8e-07&amp;sourceID=14","9.8e-07")</f>
        <v>9.8e-07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HYPERLINK("http://141.218.60.56/~jnz1568/getInfo.php?workbook=18_08.xlsx&amp;sheet=U0&amp;row=6820&amp;col=6&amp;number=4.6&amp;sourceID=14","4.6")</f>
        <v>4.6</v>
      </c>
      <c r="G6820" s="4" t="str">
        <f>HYPERLINK("http://141.218.60.56/~jnz1568/getInfo.php?workbook=18_08.xlsx&amp;sheet=U0&amp;row=6820&amp;col=7&amp;number=9.82e-07&amp;sourceID=14","9.82e-07")</f>
        <v>9.82e-07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HYPERLINK("http://141.218.60.56/~jnz1568/getInfo.php?workbook=18_08.xlsx&amp;sheet=U0&amp;row=6821&amp;col=6&amp;number=4.7&amp;sourceID=14","4.7")</f>
        <v>4.7</v>
      </c>
      <c r="G6821" s="4" t="str">
        <f>HYPERLINK("http://141.218.60.56/~jnz1568/getInfo.php?workbook=18_08.xlsx&amp;sheet=U0&amp;row=6821&amp;col=7&amp;number=9.85e-07&amp;sourceID=14","9.85e-07")</f>
        <v>9.85e-07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HYPERLINK("http://141.218.60.56/~jnz1568/getInfo.php?workbook=18_08.xlsx&amp;sheet=U0&amp;row=6822&amp;col=6&amp;number=4.8&amp;sourceID=14","4.8")</f>
        <v>4.8</v>
      </c>
      <c r="G6822" s="4" t="str">
        <f>HYPERLINK("http://141.218.60.56/~jnz1568/getInfo.php?workbook=18_08.xlsx&amp;sheet=U0&amp;row=6822&amp;col=7&amp;number=9.88e-07&amp;sourceID=14","9.88e-07")</f>
        <v>9.88e-07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HYPERLINK("http://141.218.60.56/~jnz1568/getInfo.php?workbook=18_08.xlsx&amp;sheet=U0&amp;row=6823&amp;col=6&amp;number=4.9&amp;sourceID=14","4.9")</f>
        <v>4.9</v>
      </c>
      <c r="G6823" s="4" t="str">
        <f>HYPERLINK("http://141.218.60.56/~jnz1568/getInfo.php?workbook=18_08.xlsx&amp;sheet=U0&amp;row=6823&amp;col=7&amp;number=9.92e-07&amp;sourceID=14","9.92e-07")</f>
        <v>9.92e-07</v>
      </c>
    </row>
    <row r="6824" spans="1:7">
      <c r="A6824" s="3">
        <v>18</v>
      </c>
      <c r="B6824" s="3">
        <v>8</v>
      </c>
      <c r="C6824" s="3" t="s">
        <v>78</v>
      </c>
      <c r="D6824" s="3">
        <v>3</v>
      </c>
      <c r="E6824" s="3">
        <v>1</v>
      </c>
      <c r="F6824" s="4" t="str">
        <f>HYPERLINK("http://141.218.60.56/~jnz1568/getInfo.php?workbook=18_08.xlsx&amp;sheet=U0&amp;row=6824&amp;col=6&amp;number=3&amp;sourceID=14","3")</f>
        <v>3</v>
      </c>
      <c r="G6824" s="4" t="str">
        <f>HYPERLINK("http://141.218.60.56/~jnz1568/getInfo.php?workbook=18_08.xlsx&amp;sheet=U0&amp;row=6824&amp;col=7&amp;number=1.38e-05&amp;sourceID=14","1.38e-05")</f>
        <v>1.38e-05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HYPERLINK("http://141.218.60.56/~jnz1568/getInfo.php?workbook=18_08.xlsx&amp;sheet=U0&amp;row=6825&amp;col=6&amp;number=3.1&amp;sourceID=14","3.1")</f>
        <v>3.1</v>
      </c>
      <c r="G6825" s="4" t="str">
        <f>HYPERLINK("http://141.218.60.56/~jnz1568/getInfo.php?workbook=18_08.xlsx&amp;sheet=U0&amp;row=6825&amp;col=7&amp;number=1.38e-05&amp;sourceID=14","1.38e-05")</f>
        <v>1.38e-05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HYPERLINK("http://141.218.60.56/~jnz1568/getInfo.php?workbook=18_08.xlsx&amp;sheet=U0&amp;row=6826&amp;col=6&amp;number=3.2&amp;sourceID=14","3.2")</f>
        <v>3.2</v>
      </c>
      <c r="G6826" s="4" t="str">
        <f>HYPERLINK("http://141.218.60.56/~jnz1568/getInfo.php?workbook=18_08.xlsx&amp;sheet=U0&amp;row=6826&amp;col=7&amp;number=1.38e-05&amp;sourceID=14","1.38e-05")</f>
        <v>1.38e-05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HYPERLINK("http://141.218.60.56/~jnz1568/getInfo.php?workbook=18_08.xlsx&amp;sheet=U0&amp;row=6827&amp;col=6&amp;number=3.3&amp;sourceID=14","3.3")</f>
        <v>3.3</v>
      </c>
      <c r="G6827" s="4" t="str">
        <f>HYPERLINK("http://141.218.60.56/~jnz1568/getInfo.php?workbook=18_08.xlsx&amp;sheet=U0&amp;row=6827&amp;col=7&amp;number=1.38e-05&amp;sourceID=14","1.38e-05")</f>
        <v>1.38e-05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HYPERLINK("http://141.218.60.56/~jnz1568/getInfo.php?workbook=18_08.xlsx&amp;sheet=U0&amp;row=6828&amp;col=6&amp;number=3.4&amp;sourceID=14","3.4")</f>
        <v>3.4</v>
      </c>
      <c r="G6828" s="4" t="str">
        <f>HYPERLINK("http://141.218.60.56/~jnz1568/getInfo.php?workbook=18_08.xlsx&amp;sheet=U0&amp;row=6828&amp;col=7&amp;number=1.38e-05&amp;sourceID=14","1.38e-05")</f>
        <v>1.38e-05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HYPERLINK("http://141.218.60.56/~jnz1568/getInfo.php?workbook=18_08.xlsx&amp;sheet=U0&amp;row=6829&amp;col=6&amp;number=3.5&amp;sourceID=14","3.5")</f>
        <v>3.5</v>
      </c>
      <c r="G6829" s="4" t="str">
        <f>HYPERLINK("http://141.218.60.56/~jnz1568/getInfo.php?workbook=18_08.xlsx&amp;sheet=U0&amp;row=6829&amp;col=7&amp;number=1.38e-05&amp;sourceID=14","1.38e-05")</f>
        <v>1.38e-05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HYPERLINK("http://141.218.60.56/~jnz1568/getInfo.php?workbook=18_08.xlsx&amp;sheet=U0&amp;row=6830&amp;col=6&amp;number=3.6&amp;sourceID=14","3.6")</f>
        <v>3.6</v>
      </c>
      <c r="G6830" s="4" t="str">
        <f>HYPERLINK("http://141.218.60.56/~jnz1568/getInfo.php?workbook=18_08.xlsx&amp;sheet=U0&amp;row=6830&amp;col=7&amp;number=1.38e-05&amp;sourceID=14","1.38e-05")</f>
        <v>1.38e-05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HYPERLINK("http://141.218.60.56/~jnz1568/getInfo.php?workbook=18_08.xlsx&amp;sheet=U0&amp;row=6831&amp;col=6&amp;number=3.7&amp;sourceID=14","3.7")</f>
        <v>3.7</v>
      </c>
      <c r="G6831" s="4" t="str">
        <f>HYPERLINK("http://141.218.60.56/~jnz1568/getInfo.php?workbook=18_08.xlsx&amp;sheet=U0&amp;row=6831&amp;col=7&amp;number=1.38e-05&amp;sourceID=14","1.38e-05")</f>
        <v>1.38e-05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HYPERLINK("http://141.218.60.56/~jnz1568/getInfo.php?workbook=18_08.xlsx&amp;sheet=U0&amp;row=6832&amp;col=6&amp;number=3.8&amp;sourceID=14","3.8")</f>
        <v>3.8</v>
      </c>
      <c r="G6832" s="4" t="str">
        <f>HYPERLINK("http://141.218.60.56/~jnz1568/getInfo.php?workbook=18_08.xlsx&amp;sheet=U0&amp;row=6832&amp;col=7&amp;number=1.38e-05&amp;sourceID=14","1.38e-05")</f>
        <v>1.38e-05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HYPERLINK("http://141.218.60.56/~jnz1568/getInfo.php?workbook=18_08.xlsx&amp;sheet=U0&amp;row=6833&amp;col=6&amp;number=3.9&amp;sourceID=14","3.9")</f>
        <v>3.9</v>
      </c>
      <c r="G6833" s="4" t="str">
        <f>HYPERLINK("http://141.218.60.56/~jnz1568/getInfo.php?workbook=18_08.xlsx&amp;sheet=U0&amp;row=6833&amp;col=7&amp;number=1.39e-05&amp;sourceID=14","1.39e-05")</f>
        <v>1.39e-05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HYPERLINK("http://141.218.60.56/~jnz1568/getInfo.php?workbook=18_08.xlsx&amp;sheet=U0&amp;row=6834&amp;col=6&amp;number=4&amp;sourceID=14","4")</f>
        <v>4</v>
      </c>
      <c r="G6834" s="4" t="str">
        <f>HYPERLINK("http://141.218.60.56/~jnz1568/getInfo.php?workbook=18_08.xlsx&amp;sheet=U0&amp;row=6834&amp;col=7&amp;number=1.39e-05&amp;sourceID=14","1.39e-05")</f>
        <v>1.39e-05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HYPERLINK("http://141.218.60.56/~jnz1568/getInfo.php?workbook=18_08.xlsx&amp;sheet=U0&amp;row=6835&amp;col=6&amp;number=4.1&amp;sourceID=14","4.1")</f>
        <v>4.1</v>
      </c>
      <c r="G6835" s="4" t="str">
        <f>HYPERLINK("http://141.218.60.56/~jnz1568/getInfo.php?workbook=18_08.xlsx&amp;sheet=U0&amp;row=6835&amp;col=7&amp;number=1.39e-05&amp;sourceID=14","1.39e-05")</f>
        <v>1.39e-05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HYPERLINK("http://141.218.60.56/~jnz1568/getInfo.php?workbook=18_08.xlsx&amp;sheet=U0&amp;row=6836&amp;col=6&amp;number=4.2&amp;sourceID=14","4.2")</f>
        <v>4.2</v>
      </c>
      <c r="G6836" s="4" t="str">
        <f>HYPERLINK("http://141.218.60.56/~jnz1568/getInfo.php?workbook=18_08.xlsx&amp;sheet=U0&amp;row=6836&amp;col=7&amp;number=1.39e-05&amp;sourceID=14","1.39e-05")</f>
        <v>1.39e-05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HYPERLINK("http://141.218.60.56/~jnz1568/getInfo.php?workbook=18_08.xlsx&amp;sheet=U0&amp;row=6837&amp;col=6&amp;number=4.3&amp;sourceID=14","4.3")</f>
        <v>4.3</v>
      </c>
      <c r="G6837" s="4" t="str">
        <f>HYPERLINK("http://141.218.60.56/~jnz1568/getInfo.php?workbook=18_08.xlsx&amp;sheet=U0&amp;row=6837&amp;col=7&amp;number=1.39e-05&amp;sourceID=14","1.39e-05")</f>
        <v>1.39e-05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HYPERLINK("http://141.218.60.56/~jnz1568/getInfo.php?workbook=18_08.xlsx&amp;sheet=U0&amp;row=6838&amp;col=6&amp;number=4.4&amp;sourceID=14","4.4")</f>
        <v>4.4</v>
      </c>
      <c r="G6838" s="4" t="str">
        <f>HYPERLINK("http://141.218.60.56/~jnz1568/getInfo.php?workbook=18_08.xlsx&amp;sheet=U0&amp;row=6838&amp;col=7&amp;number=1.4e-05&amp;sourceID=14","1.4e-05")</f>
        <v>1.4e-05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HYPERLINK("http://141.218.60.56/~jnz1568/getInfo.php?workbook=18_08.xlsx&amp;sheet=U0&amp;row=6839&amp;col=6&amp;number=4.5&amp;sourceID=14","4.5")</f>
        <v>4.5</v>
      </c>
      <c r="G6839" s="4" t="str">
        <f>HYPERLINK("http://141.218.60.56/~jnz1568/getInfo.php?workbook=18_08.xlsx&amp;sheet=U0&amp;row=6839&amp;col=7&amp;number=1.4e-05&amp;sourceID=14","1.4e-05")</f>
        <v>1.4e-05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HYPERLINK("http://141.218.60.56/~jnz1568/getInfo.php?workbook=18_08.xlsx&amp;sheet=U0&amp;row=6840&amp;col=6&amp;number=4.6&amp;sourceID=14","4.6")</f>
        <v>4.6</v>
      </c>
      <c r="G6840" s="4" t="str">
        <f>HYPERLINK("http://141.218.60.56/~jnz1568/getInfo.php?workbook=18_08.xlsx&amp;sheet=U0&amp;row=6840&amp;col=7&amp;number=1.4e-05&amp;sourceID=14","1.4e-05")</f>
        <v>1.4e-05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HYPERLINK("http://141.218.60.56/~jnz1568/getInfo.php?workbook=18_08.xlsx&amp;sheet=U0&amp;row=6841&amp;col=6&amp;number=4.7&amp;sourceID=14","4.7")</f>
        <v>4.7</v>
      </c>
      <c r="G6841" s="4" t="str">
        <f>HYPERLINK("http://141.218.60.56/~jnz1568/getInfo.php?workbook=18_08.xlsx&amp;sheet=U0&amp;row=6841&amp;col=7&amp;number=1.41e-05&amp;sourceID=14","1.41e-05")</f>
        <v>1.41e-05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HYPERLINK("http://141.218.60.56/~jnz1568/getInfo.php?workbook=18_08.xlsx&amp;sheet=U0&amp;row=6842&amp;col=6&amp;number=4.8&amp;sourceID=14","4.8")</f>
        <v>4.8</v>
      </c>
      <c r="G6842" s="4" t="str">
        <f>HYPERLINK("http://141.218.60.56/~jnz1568/getInfo.php?workbook=18_08.xlsx&amp;sheet=U0&amp;row=6842&amp;col=7&amp;number=1.42e-05&amp;sourceID=14","1.42e-05")</f>
        <v>1.42e-05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HYPERLINK("http://141.218.60.56/~jnz1568/getInfo.php?workbook=18_08.xlsx&amp;sheet=U0&amp;row=6843&amp;col=6&amp;number=4.9&amp;sourceID=14","4.9")</f>
        <v>4.9</v>
      </c>
      <c r="G6843" s="4" t="str">
        <f>HYPERLINK("http://141.218.60.56/~jnz1568/getInfo.php?workbook=18_08.xlsx&amp;sheet=U0&amp;row=6843&amp;col=7&amp;number=1.43e-05&amp;sourceID=14","1.43e-05")</f>
        <v>1.43e-05</v>
      </c>
    </row>
    <row r="6844" spans="1:7">
      <c r="A6844" s="3">
        <v>18</v>
      </c>
      <c r="B6844" s="3">
        <v>8</v>
      </c>
      <c r="C6844" s="3" t="s">
        <v>78</v>
      </c>
      <c r="D6844" s="3">
        <v>4</v>
      </c>
      <c r="E6844" s="3">
        <v>1</v>
      </c>
      <c r="F6844" s="4" t="str">
        <f>HYPERLINK("http://141.218.60.56/~jnz1568/getInfo.php?workbook=18_08.xlsx&amp;sheet=U0&amp;row=6844&amp;col=6&amp;number=3&amp;sourceID=14","3")</f>
        <v>3</v>
      </c>
      <c r="G6844" s="4" t="str">
        <f>HYPERLINK("http://141.218.60.56/~jnz1568/getInfo.php?workbook=18_08.xlsx&amp;sheet=U0&amp;row=6844&amp;col=7&amp;number=3.38e-05&amp;sourceID=14","3.38e-05")</f>
        <v>3.38e-05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HYPERLINK("http://141.218.60.56/~jnz1568/getInfo.php?workbook=18_08.xlsx&amp;sheet=U0&amp;row=6845&amp;col=6&amp;number=3.1&amp;sourceID=14","3.1")</f>
        <v>3.1</v>
      </c>
      <c r="G6845" s="4" t="str">
        <f>HYPERLINK("http://141.218.60.56/~jnz1568/getInfo.php?workbook=18_08.xlsx&amp;sheet=U0&amp;row=6845&amp;col=7&amp;number=3.38e-05&amp;sourceID=14","3.38e-05")</f>
        <v>3.38e-05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HYPERLINK("http://141.218.60.56/~jnz1568/getInfo.php?workbook=18_08.xlsx&amp;sheet=U0&amp;row=6846&amp;col=6&amp;number=3.2&amp;sourceID=14","3.2")</f>
        <v>3.2</v>
      </c>
      <c r="G6846" s="4" t="str">
        <f>HYPERLINK("http://141.218.60.56/~jnz1568/getInfo.php?workbook=18_08.xlsx&amp;sheet=U0&amp;row=6846&amp;col=7&amp;number=3.38e-05&amp;sourceID=14","3.38e-05")</f>
        <v>3.38e-05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HYPERLINK("http://141.218.60.56/~jnz1568/getInfo.php?workbook=18_08.xlsx&amp;sheet=U0&amp;row=6847&amp;col=6&amp;number=3.3&amp;sourceID=14","3.3")</f>
        <v>3.3</v>
      </c>
      <c r="G6847" s="4" t="str">
        <f>HYPERLINK("http://141.218.60.56/~jnz1568/getInfo.php?workbook=18_08.xlsx&amp;sheet=U0&amp;row=6847&amp;col=7&amp;number=3.38e-05&amp;sourceID=14","3.38e-05")</f>
        <v>3.38e-05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HYPERLINK("http://141.218.60.56/~jnz1568/getInfo.php?workbook=18_08.xlsx&amp;sheet=U0&amp;row=6848&amp;col=6&amp;number=3.4&amp;sourceID=14","3.4")</f>
        <v>3.4</v>
      </c>
      <c r="G6848" s="4" t="str">
        <f>HYPERLINK("http://141.218.60.56/~jnz1568/getInfo.php?workbook=18_08.xlsx&amp;sheet=U0&amp;row=6848&amp;col=7&amp;number=3.38e-05&amp;sourceID=14","3.38e-05")</f>
        <v>3.38e-05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HYPERLINK("http://141.218.60.56/~jnz1568/getInfo.php?workbook=18_08.xlsx&amp;sheet=U0&amp;row=6849&amp;col=6&amp;number=3.5&amp;sourceID=14","3.5")</f>
        <v>3.5</v>
      </c>
      <c r="G6849" s="4" t="str">
        <f>HYPERLINK("http://141.218.60.56/~jnz1568/getInfo.php?workbook=18_08.xlsx&amp;sheet=U0&amp;row=6849&amp;col=7&amp;number=3.38e-05&amp;sourceID=14","3.38e-05")</f>
        <v>3.38e-05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HYPERLINK("http://141.218.60.56/~jnz1568/getInfo.php?workbook=18_08.xlsx&amp;sheet=U0&amp;row=6850&amp;col=6&amp;number=3.6&amp;sourceID=14","3.6")</f>
        <v>3.6</v>
      </c>
      <c r="G6850" s="4" t="str">
        <f>HYPERLINK("http://141.218.60.56/~jnz1568/getInfo.php?workbook=18_08.xlsx&amp;sheet=U0&amp;row=6850&amp;col=7&amp;number=3.38e-05&amp;sourceID=14","3.38e-05")</f>
        <v>3.38e-05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HYPERLINK("http://141.218.60.56/~jnz1568/getInfo.php?workbook=18_08.xlsx&amp;sheet=U0&amp;row=6851&amp;col=6&amp;number=3.7&amp;sourceID=14","3.7")</f>
        <v>3.7</v>
      </c>
      <c r="G6851" s="4" t="str">
        <f>HYPERLINK("http://141.218.60.56/~jnz1568/getInfo.php?workbook=18_08.xlsx&amp;sheet=U0&amp;row=6851&amp;col=7&amp;number=3.38e-05&amp;sourceID=14","3.38e-05")</f>
        <v>3.38e-05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HYPERLINK("http://141.218.60.56/~jnz1568/getInfo.php?workbook=18_08.xlsx&amp;sheet=U0&amp;row=6852&amp;col=6&amp;number=3.8&amp;sourceID=14","3.8")</f>
        <v>3.8</v>
      </c>
      <c r="G6852" s="4" t="str">
        <f>HYPERLINK("http://141.218.60.56/~jnz1568/getInfo.php?workbook=18_08.xlsx&amp;sheet=U0&amp;row=6852&amp;col=7&amp;number=3.38e-05&amp;sourceID=14","3.38e-05")</f>
        <v>3.38e-05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HYPERLINK("http://141.218.60.56/~jnz1568/getInfo.php?workbook=18_08.xlsx&amp;sheet=U0&amp;row=6853&amp;col=6&amp;number=3.9&amp;sourceID=14","3.9")</f>
        <v>3.9</v>
      </c>
      <c r="G6853" s="4" t="str">
        <f>HYPERLINK("http://141.218.60.56/~jnz1568/getInfo.php?workbook=18_08.xlsx&amp;sheet=U0&amp;row=6853&amp;col=7&amp;number=3.38e-05&amp;sourceID=14","3.38e-05")</f>
        <v>3.38e-05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HYPERLINK("http://141.218.60.56/~jnz1568/getInfo.php?workbook=18_08.xlsx&amp;sheet=U0&amp;row=6854&amp;col=6&amp;number=4&amp;sourceID=14","4")</f>
        <v>4</v>
      </c>
      <c r="G6854" s="4" t="str">
        <f>HYPERLINK("http://141.218.60.56/~jnz1568/getInfo.php?workbook=18_08.xlsx&amp;sheet=U0&amp;row=6854&amp;col=7&amp;number=3.37e-05&amp;sourceID=14","3.37e-05")</f>
        <v>3.37e-05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HYPERLINK("http://141.218.60.56/~jnz1568/getInfo.php?workbook=18_08.xlsx&amp;sheet=U0&amp;row=6855&amp;col=6&amp;number=4.1&amp;sourceID=14","4.1")</f>
        <v>4.1</v>
      </c>
      <c r="G6855" s="4" t="str">
        <f>HYPERLINK("http://141.218.60.56/~jnz1568/getInfo.php?workbook=18_08.xlsx&amp;sheet=U0&amp;row=6855&amp;col=7&amp;number=3.37e-05&amp;sourceID=14","3.37e-05")</f>
        <v>3.37e-05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HYPERLINK("http://141.218.60.56/~jnz1568/getInfo.php?workbook=18_08.xlsx&amp;sheet=U0&amp;row=6856&amp;col=6&amp;number=4.2&amp;sourceID=14","4.2")</f>
        <v>4.2</v>
      </c>
      <c r="G6856" s="4" t="str">
        <f>HYPERLINK("http://141.218.60.56/~jnz1568/getInfo.php?workbook=18_08.xlsx&amp;sheet=U0&amp;row=6856&amp;col=7&amp;number=3.37e-05&amp;sourceID=14","3.37e-05")</f>
        <v>3.37e-05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HYPERLINK("http://141.218.60.56/~jnz1568/getInfo.php?workbook=18_08.xlsx&amp;sheet=U0&amp;row=6857&amp;col=6&amp;number=4.3&amp;sourceID=14","4.3")</f>
        <v>4.3</v>
      </c>
      <c r="G6857" s="4" t="str">
        <f>HYPERLINK("http://141.218.60.56/~jnz1568/getInfo.php?workbook=18_08.xlsx&amp;sheet=U0&amp;row=6857&amp;col=7&amp;number=3.37e-05&amp;sourceID=14","3.37e-05")</f>
        <v>3.37e-05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HYPERLINK("http://141.218.60.56/~jnz1568/getInfo.php?workbook=18_08.xlsx&amp;sheet=U0&amp;row=6858&amp;col=6&amp;number=4.4&amp;sourceID=14","4.4")</f>
        <v>4.4</v>
      </c>
      <c r="G6858" s="4" t="str">
        <f>HYPERLINK("http://141.218.60.56/~jnz1568/getInfo.php?workbook=18_08.xlsx&amp;sheet=U0&amp;row=6858&amp;col=7&amp;number=3.36e-05&amp;sourceID=14","3.36e-05")</f>
        <v>3.36e-05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HYPERLINK("http://141.218.60.56/~jnz1568/getInfo.php?workbook=18_08.xlsx&amp;sheet=U0&amp;row=6859&amp;col=6&amp;number=4.5&amp;sourceID=14","4.5")</f>
        <v>4.5</v>
      </c>
      <c r="G6859" s="4" t="str">
        <f>HYPERLINK("http://141.218.60.56/~jnz1568/getInfo.php?workbook=18_08.xlsx&amp;sheet=U0&amp;row=6859&amp;col=7&amp;number=3.36e-05&amp;sourceID=14","3.36e-05")</f>
        <v>3.36e-05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HYPERLINK("http://141.218.60.56/~jnz1568/getInfo.php?workbook=18_08.xlsx&amp;sheet=U0&amp;row=6860&amp;col=6&amp;number=4.6&amp;sourceID=14","4.6")</f>
        <v>4.6</v>
      </c>
      <c r="G6860" s="4" t="str">
        <f>HYPERLINK("http://141.218.60.56/~jnz1568/getInfo.php?workbook=18_08.xlsx&amp;sheet=U0&amp;row=6860&amp;col=7&amp;number=3.35e-05&amp;sourceID=14","3.35e-05")</f>
        <v>3.35e-05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HYPERLINK("http://141.218.60.56/~jnz1568/getInfo.php?workbook=18_08.xlsx&amp;sheet=U0&amp;row=6861&amp;col=6&amp;number=4.7&amp;sourceID=14","4.7")</f>
        <v>4.7</v>
      </c>
      <c r="G6861" s="4" t="str">
        <f>HYPERLINK("http://141.218.60.56/~jnz1568/getInfo.php?workbook=18_08.xlsx&amp;sheet=U0&amp;row=6861&amp;col=7&amp;number=3.34e-05&amp;sourceID=14","3.34e-05")</f>
        <v>3.34e-05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HYPERLINK("http://141.218.60.56/~jnz1568/getInfo.php?workbook=18_08.xlsx&amp;sheet=U0&amp;row=6862&amp;col=6&amp;number=4.8&amp;sourceID=14","4.8")</f>
        <v>4.8</v>
      </c>
      <c r="G6862" s="4" t="str">
        <f>HYPERLINK("http://141.218.60.56/~jnz1568/getInfo.php?workbook=18_08.xlsx&amp;sheet=U0&amp;row=6862&amp;col=7&amp;number=3.33e-05&amp;sourceID=14","3.33e-05")</f>
        <v>3.33e-05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HYPERLINK("http://141.218.60.56/~jnz1568/getInfo.php?workbook=18_08.xlsx&amp;sheet=U0&amp;row=6863&amp;col=6&amp;number=4.9&amp;sourceID=14","4.9")</f>
        <v>4.9</v>
      </c>
      <c r="G6863" s="4" t="str">
        <f>HYPERLINK("http://141.218.60.56/~jnz1568/getInfo.php?workbook=18_08.xlsx&amp;sheet=U0&amp;row=6863&amp;col=7&amp;number=3.31e-05&amp;sourceID=14","3.31e-05")</f>
        <v>3.31e-05</v>
      </c>
    </row>
    <row r="6864" spans="1:7">
      <c r="A6864" s="3">
        <v>18</v>
      </c>
      <c r="B6864" s="3">
        <v>8</v>
      </c>
      <c r="C6864" s="3" t="s">
        <v>78</v>
      </c>
      <c r="D6864" s="3">
        <v>5</v>
      </c>
      <c r="E6864" s="3">
        <v>1</v>
      </c>
      <c r="F6864" s="4" t="str">
        <f>HYPERLINK("http://141.218.60.56/~jnz1568/getInfo.php?workbook=18_08.xlsx&amp;sheet=U0&amp;row=6864&amp;col=6&amp;number=3&amp;sourceID=14","3")</f>
        <v>3</v>
      </c>
      <c r="G6864" s="4" t="str">
        <f>HYPERLINK("http://141.218.60.56/~jnz1568/getInfo.php?workbook=18_08.xlsx&amp;sheet=U0&amp;row=6864&amp;col=7&amp;number=7.59e-06&amp;sourceID=14","7.59e-06")</f>
        <v>7.59e-06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HYPERLINK("http://141.218.60.56/~jnz1568/getInfo.php?workbook=18_08.xlsx&amp;sheet=U0&amp;row=6865&amp;col=6&amp;number=3.1&amp;sourceID=14","3.1")</f>
        <v>3.1</v>
      </c>
      <c r="G6865" s="4" t="str">
        <f>HYPERLINK("http://141.218.60.56/~jnz1568/getInfo.php?workbook=18_08.xlsx&amp;sheet=U0&amp;row=6865&amp;col=7&amp;number=7.59e-06&amp;sourceID=14","7.59e-06")</f>
        <v>7.59e-06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HYPERLINK("http://141.218.60.56/~jnz1568/getInfo.php?workbook=18_08.xlsx&amp;sheet=U0&amp;row=6866&amp;col=6&amp;number=3.2&amp;sourceID=14","3.2")</f>
        <v>3.2</v>
      </c>
      <c r="G6866" s="4" t="str">
        <f>HYPERLINK("http://141.218.60.56/~jnz1568/getInfo.php?workbook=18_08.xlsx&amp;sheet=U0&amp;row=6866&amp;col=7&amp;number=7.59e-06&amp;sourceID=14","7.59e-06")</f>
        <v>7.59e-06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HYPERLINK("http://141.218.60.56/~jnz1568/getInfo.php?workbook=18_08.xlsx&amp;sheet=U0&amp;row=6867&amp;col=6&amp;number=3.3&amp;sourceID=14","3.3")</f>
        <v>3.3</v>
      </c>
      <c r="G6867" s="4" t="str">
        <f>HYPERLINK("http://141.218.60.56/~jnz1568/getInfo.php?workbook=18_08.xlsx&amp;sheet=U0&amp;row=6867&amp;col=7&amp;number=7.59e-06&amp;sourceID=14","7.59e-06")</f>
        <v>7.59e-06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HYPERLINK("http://141.218.60.56/~jnz1568/getInfo.php?workbook=18_08.xlsx&amp;sheet=U0&amp;row=6868&amp;col=6&amp;number=3.4&amp;sourceID=14","3.4")</f>
        <v>3.4</v>
      </c>
      <c r="G6868" s="4" t="str">
        <f>HYPERLINK("http://141.218.60.56/~jnz1568/getInfo.php?workbook=18_08.xlsx&amp;sheet=U0&amp;row=6868&amp;col=7&amp;number=7.59e-06&amp;sourceID=14","7.59e-06")</f>
        <v>7.59e-06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HYPERLINK("http://141.218.60.56/~jnz1568/getInfo.php?workbook=18_08.xlsx&amp;sheet=U0&amp;row=6869&amp;col=6&amp;number=3.5&amp;sourceID=14","3.5")</f>
        <v>3.5</v>
      </c>
      <c r="G6869" s="4" t="str">
        <f>HYPERLINK("http://141.218.60.56/~jnz1568/getInfo.php?workbook=18_08.xlsx&amp;sheet=U0&amp;row=6869&amp;col=7&amp;number=7.58e-06&amp;sourceID=14","7.58e-06")</f>
        <v>7.58e-06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HYPERLINK("http://141.218.60.56/~jnz1568/getInfo.php?workbook=18_08.xlsx&amp;sheet=U0&amp;row=6870&amp;col=6&amp;number=3.6&amp;sourceID=14","3.6")</f>
        <v>3.6</v>
      </c>
      <c r="G6870" s="4" t="str">
        <f>HYPERLINK("http://141.218.60.56/~jnz1568/getInfo.php?workbook=18_08.xlsx&amp;sheet=U0&amp;row=6870&amp;col=7&amp;number=7.58e-06&amp;sourceID=14","7.58e-06")</f>
        <v>7.58e-06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HYPERLINK("http://141.218.60.56/~jnz1568/getInfo.php?workbook=18_08.xlsx&amp;sheet=U0&amp;row=6871&amp;col=6&amp;number=3.7&amp;sourceID=14","3.7")</f>
        <v>3.7</v>
      </c>
      <c r="G6871" s="4" t="str">
        <f>HYPERLINK("http://141.218.60.56/~jnz1568/getInfo.php?workbook=18_08.xlsx&amp;sheet=U0&amp;row=6871&amp;col=7&amp;number=7.58e-06&amp;sourceID=14","7.58e-06")</f>
        <v>7.58e-06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HYPERLINK("http://141.218.60.56/~jnz1568/getInfo.php?workbook=18_08.xlsx&amp;sheet=U0&amp;row=6872&amp;col=6&amp;number=3.8&amp;sourceID=14","3.8")</f>
        <v>3.8</v>
      </c>
      <c r="G6872" s="4" t="str">
        <f>HYPERLINK("http://141.218.60.56/~jnz1568/getInfo.php?workbook=18_08.xlsx&amp;sheet=U0&amp;row=6872&amp;col=7&amp;number=7.57e-06&amp;sourceID=14","7.57e-06")</f>
        <v>7.57e-06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HYPERLINK("http://141.218.60.56/~jnz1568/getInfo.php?workbook=18_08.xlsx&amp;sheet=U0&amp;row=6873&amp;col=6&amp;number=3.9&amp;sourceID=14","3.9")</f>
        <v>3.9</v>
      </c>
      <c r="G6873" s="4" t="str">
        <f>HYPERLINK("http://141.218.60.56/~jnz1568/getInfo.php?workbook=18_08.xlsx&amp;sheet=U0&amp;row=6873&amp;col=7&amp;number=7.57e-06&amp;sourceID=14","7.57e-06")</f>
        <v>7.57e-06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HYPERLINK("http://141.218.60.56/~jnz1568/getInfo.php?workbook=18_08.xlsx&amp;sheet=U0&amp;row=6874&amp;col=6&amp;number=4&amp;sourceID=14","4")</f>
        <v>4</v>
      </c>
      <c r="G6874" s="4" t="str">
        <f>HYPERLINK("http://141.218.60.56/~jnz1568/getInfo.php?workbook=18_08.xlsx&amp;sheet=U0&amp;row=6874&amp;col=7&amp;number=7.56e-06&amp;sourceID=14","7.56e-06")</f>
        <v>7.56e-06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HYPERLINK("http://141.218.60.56/~jnz1568/getInfo.php?workbook=18_08.xlsx&amp;sheet=U0&amp;row=6875&amp;col=6&amp;number=4.1&amp;sourceID=14","4.1")</f>
        <v>4.1</v>
      </c>
      <c r="G6875" s="4" t="str">
        <f>HYPERLINK("http://141.218.60.56/~jnz1568/getInfo.php?workbook=18_08.xlsx&amp;sheet=U0&amp;row=6875&amp;col=7&amp;number=7.55e-06&amp;sourceID=14","7.55e-06")</f>
        <v>7.55e-06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HYPERLINK("http://141.218.60.56/~jnz1568/getInfo.php?workbook=18_08.xlsx&amp;sheet=U0&amp;row=6876&amp;col=6&amp;number=4.2&amp;sourceID=14","4.2")</f>
        <v>4.2</v>
      </c>
      <c r="G6876" s="4" t="str">
        <f>HYPERLINK("http://141.218.60.56/~jnz1568/getInfo.php?workbook=18_08.xlsx&amp;sheet=U0&amp;row=6876&amp;col=7&amp;number=7.54e-06&amp;sourceID=14","7.54e-06")</f>
        <v>7.54e-06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HYPERLINK("http://141.218.60.56/~jnz1568/getInfo.php?workbook=18_08.xlsx&amp;sheet=U0&amp;row=6877&amp;col=6&amp;number=4.3&amp;sourceID=14","4.3")</f>
        <v>4.3</v>
      </c>
      <c r="G6877" s="4" t="str">
        <f>HYPERLINK("http://141.218.60.56/~jnz1568/getInfo.php?workbook=18_08.xlsx&amp;sheet=U0&amp;row=6877&amp;col=7&amp;number=7.53e-06&amp;sourceID=14","7.53e-06")</f>
        <v>7.53e-06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HYPERLINK("http://141.218.60.56/~jnz1568/getInfo.php?workbook=18_08.xlsx&amp;sheet=U0&amp;row=6878&amp;col=6&amp;number=4.4&amp;sourceID=14","4.4")</f>
        <v>4.4</v>
      </c>
      <c r="G6878" s="4" t="str">
        <f>HYPERLINK("http://141.218.60.56/~jnz1568/getInfo.php?workbook=18_08.xlsx&amp;sheet=U0&amp;row=6878&amp;col=7&amp;number=7.51e-06&amp;sourceID=14","7.51e-06")</f>
        <v>7.51e-06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HYPERLINK("http://141.218.60.56/~jnz1568/getInfo.php?workbook=18_08.xlsx&amp;sheet=U0&amp;row=6879&amp;col=6&amp;number=4.5&amp;sourceID=14","4.5")</f>
        <v>4.5</v>
      </c>
      <c r="G6879" s="4" t="str">
        <f>HYPERLINK("http://141.218.60.56/~jnz1568/getInfo.php?workbook=18_08.xlsx&amp;sheet=U0&amp;row=6879&amp;col=7&amp;number=7.49e-06&amp;sourceID=14","7.49e-06")</f>
        <v>7.49e-06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HYPERLINK("http://141.218.60.56/~jnz1568/getInfo.php?workbook=18_08.xlsx&amp;sheet=U0&amp;row=6880&amp;col=6&amp;number=4.6&amp;sourceID=14","4.6")</f>
        <v>4.6</v>
      </c>
      <c r="G6880" s="4" t="str">
        <f>HYPERLINK("http://141.218.60.56/~jnz1568/getInfo.php?workbook=18_08.xlsx&amp;sheet=U0&amp;row=6880&amp;col=7&amp;number=7.46e-06&amp;sourceID=14","7.46e-06")</f>
        <v>7.46e-06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HYPERLINK("http://141.218.60.56/~jnz1568/getInfo.php?workbook=18_08.xlsx&amp;sheet=U0&amp;row=6881&amp;col=6&amp;number=4.7&amp;sourceID=14","4.7")</f>
        <v>4.7</v>
      </c>
      <c r="G6881" s="4" t="str">
        <f>HYPERLINK("http://141.218.60.56/~jnz1568/getInfo.php?workbook=18_08.xlsx&amp;sheet=U0&amp;row=6881&amp;col=7&amp;number=7.43e-06&amp;sourceID=14","7.43e-06")</f>
        <v>7.43e-06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HYPERLINK("http://141.218.60.56/~jnz1568/getInfo.php?workbook=18_08.xlsx&amp;sheet=U0&amp;row=6882&amp;col=6&amp;number=4.8&amp;sourceID=14","4.8")</f>
        <v>4.8</v>
      </c>
      <c r="G6882" s="4" t="str">
        <f>HYPERLINK("http://141.218.60.56/~jnz1568/getInfo.php?workbook=18_08.xlsx&amp;sheet=U0&amp;row=6882&amp;col=7&amp;number=7.39e-06&amp;sourceID=14","7.39e-06")</f>
        <v>7.39e-06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HYPERLINK("http://141.218.60.56/~jnz1568/getInfo.php?workbook=18_08.xlsx&amp;sheet=U0&amp;row=6883&amp;col=6&amp;number=4.9&amp;sourceID=14","4.9")</f>
        <v>4.9</v>
      </c>
      <c r="G6883" s="4" t="str">
        <f>HYPERLINK("http://141.218.60.56/~jnz1568/getInfo.php?workbook=18_08.xlsx&amp;sheet=U0&amp;row=6883&amp;col=7&amp;number=7.33e-06&amp;sourceID=14","7.33e-06")</f>
        <v>7.33e-06</v>
      </c>
    </row>
    <row r="6884" spans="1:7">
      <c r="A6884" s="3">
        <v>18</v>
      </c>
      <c r="B6884" s="3">
        <v>8</v>
      </c>
      <c r="C6884" s="3" t="s">
        <v>78</v>
      </c>
      <c r="D6884" s="3">
        <v>6</v>
      </c>
      <c r="E6884" s="3">
        <v>1</v>
      </c>
      <c r="F6884" s="4" t="str">
        <f>HYPERLINK("http://141.218.60.56/~jnz1568/getInfo.php?workbook=18_08.xlsx&amp;sheet=U0&amp;row=6884&amp;col=6&amp;number=3&amp;sourceID=14","3")</f>
        <v>3</v>
      </c>
      <c r="G6884" s="4" t="str">
        <f>HYPERLINK("http://141.218.60.56/~jnz1568/getInfo.php?workbook=18_08.xlsx&amp;sheet=U0&amp;row=6884&amp;col=7&amp;number=4.63e-05&amp;sourceID=14","4.63e-05")</f>
        <v>4.63e-05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HYPERLINK("http://141.218.60.56/~jnz1568/getInfo.php?workbook=18_08.xlsx&amp;sheet=U0&amp;row=6885&amp;col=6&amp;number=3.1&amp;sourceID=14","3.1")</f>
        <v>3.1</v>
      </c>
      <c r="G6885" s="4" t="str">
        <f>HYPERLINK("http://141.218.60.56/~jnz1568/getInfo.php?workbook=18_08.xlsx&amp;sheet=U0&amp;row=6885&amp;col=7&amp;number=4.63e-05&amp;sourceID=14","4.63e-05")</f>
        <v>4.63e-05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HYPERLINK("http://141.218.60.56/~jnz1568/getInfo.php?workbook=18_08.xlsx&amp;sheet=U0&amp;row=6886&amp;col=6&amp;number=3.2&amp;sourceID=14","3.2")</f>
        <v>3.2</v>
      </c>
      <c r="G6886" s="4" t="str">
        <f>HYPERLINK("http://141.218.60.56/~jnz1568/getInfo.php?workbook=18_08.xlsx&amp;sheet=U0&amp;row=6886&amp;col=7&amp;number=4.63e-05&amp;sourceID=14","4.63e-05")</f>
        <v>4.63e-05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HYPERLINK("http://141.218.60.56/~jnz1568/getInfo.php?workbook=18_08.xlsx&amp;sheet=U0&amp;row=6887&amp;col=6&amp;number=3.3&amp;sourceID=14","3.3")</f>
        <v>3.3</v>
      </c>
      <c r="G6887" s="4" t="str">
        <f>HYPERLINK("http://141.218.60.56/~jnz1568/getInfo.php?workbook=18_08.xlsx&amp;sheet=U0&amp;row=6887&amp;col=7&amp;number=4.63e-05&amp;sourceID=14","4.63e-05")</f>
        <v>4.63e-05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HYPERLINK("http://141.218.60.56/~jnz1568/getInfo.php?workbook=18_08.xlsx&amp;sheet=U0&amp;row=6888&amp;col=6&amp;number=3.4&amp;sourceID=14","3.4")</f>
        <v>3.4</v>
      </c>
      <c r="G6888" s="4" t="str">
        <f>HYPERLINK("http://141.218.60.56/~jnz1568/getInfo.php?workbook=18_08.xlsx&amp;sheet=U0&amp;row=6888&amp;col=7&amp;number=4.63e-05&amp;sourceID=14","4.63e-05")</f>
        <v>4.63e-05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HYPERLINK("http://141.218.60.56/~jnz1568/getInfo.php?workbook=18_08.xlsx&amp;sheet=U0&amp;row=6889&amp;col=6&amp;number=3.5&amp;sourceID=14","3.5")</f>
        <v>3.5</v>
      </c>
      <c r="G6889" s="4" t="str">
        <f>HYPERLINK("http://141.218.60.56/~jnz1568/getInfo.php?workbook=18_08.xlsx&amp;sheet=U0&amp;row=6889&amp;col=7&amp;number=4.63e-05&amp;sourceID=14","4.63e-05")</f>
        <v>4.63e-05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HYPERLINK("http://141.218.60.56/~jnz1568/getInfo.php?workbook=18_08.xlsx&amp;sheet=U0&amp;row=6890&amp;col=6&amp;number=3.6&amp;sourceID=14","3.6")</f>
        <v>3.6</v>
      </c>
      <c r="G6890" s="4" t="str">
        <f>HYPERLINK("http://141.218.60.56/~jnz1568/getInfo.php?workbook=18_08.xlsx&amp;sheet=U0&amp;row=6890&amp;col=7&amp;number=4.63e-05&amp;sourceID=14","4.63e-05")</f>
        <v>4.63e-05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HYPERLINK("http://141.218.60.56/~jnz1568/getInfo.php?workbook=18_08.xlsx&amp;sheet=U0&amp;row=6891&amp;col=6&amp;number=3.7&amp;sourceID=14","3.7")</f>
        <v>3.7</v>
      </c>
      <c r="G6891" s="4" t="str">
        <f>HYPERLINK("http://141.218.60.56/~jnz1568/getInfo.php?workbook=18_08.xlsx&amp;sheet=U0&amp;row=6891&amp;col=7&amp;number=4.63e-05&amp;sourceID=14","4.63e-05")</f>
        <v>4.63e-05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HYPERLINK("http://141.218.60.56/~jnz1568/getInfo.php?workbook=18_08.xlsx&amp;sheet=U0&amp;row=6892&amp;col=6&amp;number=3.8&amp;sourceID=14","3.8")</f>
        <v>3.8</v>
      </c>
      <c r="G6892" s="4" t="str">
        <f>HYPERLINK("http://141.218.60.56/~jnz1568/getInfo.php?workbook=18_08.xlsx&amp;sheet=U0&amp;row=6892&amp;col=7&amp;number=4.62e-05&amp;sourceID=14","4.62e-05")</f>
        <v>4.62e-05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HYPERLINK("http://141.218.60.56/~jnz1568/getInfo.php?workbook=18_08.xlsx&amp;sheet=U0&amp;row=6893&amp;col=6&amp;number=3.9&amp;sourceID=14","3.9")</f>
        <v>3.9</v>
      </c>
      <c r="G6893" s="4" t="str">
        <f>HYPERLINK("http://141.218.60.56/~jnz1568/getInfo.php?workbook=18_08.xlsx&amp;sheet=U0&amp;row=6893&amp;col=7&amp;number=4.62e-05&amp;sourceID=14","4.62e-05")</f>
        <v>4.62e-05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HYPERLINK("http://141.218.60.56/~jnz1568/getInfo.php?workbook=18_08.xlsx&amp;sheet=U0&amp;row=6894&amp;col=6&amp;number=4&amp;sourceID=14","4")</f>
        <v>4</v>
      </c>
      <c r="G6894" s="4" t="str">
        <f>HYPERLINK("http://141.218.60.56/~jnz1568/getInfo.php?workbook=18_08.xlsx&amp;sheet=U0&amp;row=6894&amp;col=7&amp;number=4.62e-05&amp;sourceID=14","4.62e-05")</f>
        <v>4.62e-05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HYPERLINK("http://141.218.60.56/~jnz1568/getInfo.php?workbook=18_08.xlsx&amp;sheet=U0&amp;row=6895&amp;col=6&amp;number=4.1&amp;sourceID=14","4.1")</f>
        <v>4.1</v>
      </c>
      <c r="G6895" s="4" t="str">
        <f>HYPERLINK("http://141.218.60.56/~jnz1568/getInfo.php?workbook=18_08.xlsx&amp;sheet=U0&amp;row=6895&amp;col=7&amp;number=4.62e-05&amp;sourceID=14","4.62e-05")</f>
        <v>4.62e-05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HYPERLINK("http://141.218.60.56/~jnz1568/getInfo.php?workbook=18_08.xlsx&amp;sheet=U0&amp;row=6896&amp;col=6&amp;number=4.2&amp;sourceID=14","4.2")</f>
        <v>4.2</v>
      </c>
      <c r="G6896" s="4" t="str">
        <f>HYPERLINK("http://141.218.60.56/~jnz1568/getInfo.php?workbook=18_08.xlsx&amp;sheet=U0&amp;row=6896&amp;col=7&amp;number=4.62e-05&amp;sourceID=14","4.62e-05")</f>
        <v>4.62e-05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HYPERLINK("http://141.218.60.56/~jnz1568/getInfo.php?workbook=18_08.xlsx&amp;sheet=U0&amp;row=6897&amp;col=6&amp;number=4.3&amp;sourceID=14","4.3")</f>
        <v>4.3</v>
      </c>
      <c r="G6897" s="4" t="str">
        <f>HYPERLINK("http://141.218.60.56/~jnz1568/getInfo.php?workbook=18_08.xlsx&amp;sheet=U0&amp;row=6897&amp;col=7&amp;number=4.62e-05&amp;sourceID=14","4.62e-05")</f>
        <v>4.62e-05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HYPERLINK("http://141.218.60.56/~jnz1568/getInfo.php?workbook=18_08.xlsx&amp;sheet=U0&amp;row=6898&amp;col=6&amp;number=4.4&amp;sourceID=14","4.4")</f>
        <v>4.4</v>
      </c>
      <c r="G6898" s="4" t="str">
        <f>HYPERLINK("http://141.218.60.56/~jnz1568/getInfo.php?workbook=18_08.xlsx&amp;sheet=U0&amp;row=6898&amp;col=7&amp;number=4.61e-05&amp;sourceID=14","4.61e-05")</f>
        <v>4.61e-05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HYPERLINK("http://141.218.60.56/~jnz1568/getInfo.php?workbook=18_08.xlsx&amp;sheet=U0&amp;row=6899&amp;col=6&amp;number=4.5&amp;sourceID=14","4.5")</f>
        <v>4.5</v>
      </c>
      <c r="G6899" s="4" t="str">
        <f>HYPERLINK("http://141.218.60.56/~jnz1568/getInfo.php?workbook=18_08.xlsx&amp;sheet=U0&amp;row=6899&amp;col=7&amp;number=4.61e-05&amp;sourceID=14","4.61e-05")</f>
        <v>4.61e-05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HYPERLINK("http://141.218.60.56/~jnz1568/getInfo.php?workbook=18_08.xlsx&amp;sheet=U0&amp;row=6900&amp;col=6&amp;number=4.6&amp;sourceID=14","4.6")</f>
        <v>4.6</v>
      </c>
      <c r="G6900" s="4" t="str">
        <f>HYPERLINK("http://141.218.60.56/~jnz1568/getInfo.php?workbook=18_08.xlsx&amp;sheet=U0&amp;row=6900&amp;col=7&amp;number=4.6e-05&amp;sourceID=14","4.6e-05")</f>
        <v>4.6e-05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HYPERLINK("http://141.218.60.56/~jnz1568/getInfo.php?workbook=18_08.xlsx&amp;sheet=U0&amp;row=6901&amp;col=6&amp;number=4.7&amp;sourceID=14","4.7")</f>
        <v>4.7</v>
      </c>
      <c r="G6901" s="4" t="str">
        <f>HYPERLINK("http://141.218.60.56/~jnz1568/getInfo.php?workbook=18_08.xlsx&amp;sheet=U0&amp;row=6901&amp;col=7&amp;number=4.6e-05&amp;sourceID=14","4.6e-05")</f>
        <v>4.6e-05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HYPERLINK("http://141.218.60.56/~jnz1568/getInfo.php?workbook=18_08.xlsx&amp;sheet=U0&amp;row=6902&amp;col=6&amp;number=4.8&amp;sourceID=14","4.8")</f>
        <v>4.8</v>
      </c>
      <c r="G6902" s="4" t="str">
        <f>HYPERLINK("http://141.218.60.56/~jnz1568/getInfo.php?workbook=18_08.xlsx&amp;sheet=U0&amp;row=6902&amp;col=7&amp;number=4.59e-05&amp;sourceID=14","4.59e-05")</f>
        <v>4.59e-05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HYPERLINK("http://141.218.60.56/~jnz1568/getInfo.php?workbook=18_08.xlsx&amp;sheet=U0&amp;row=6903&amp;col=6&amp;number=4.9&amp;sourceID=14","4.9")</f>
        <v>4.9</v>
      </c>
      <c r="G6903" s="4" t="str">
        <f>HYPERLINK("http://141.218.60.56/~jnz1568/getInfo.php?workbook=18_08.xlsx&amp;sheet=U0&amp;row=6903&amp;col=7&amp;number=4.58e-05&amp;sourceID=14","4.58e-05")</f>
        <v>4.58e-05</v>
      </c>
    </row>
    <row r="6904" spans="1:7">
      <c r="A6904" s="3">
        <v>18</v>
      </c>
      <c r="B6904" s="3">
        <v>8</v>
      </c>
      <c r="C6904" s="3" t="s">
        <v>78</v>
      </c>
      <c r="D6904" s="3">
        <v>7</v>
      </c>
      <c r="E6904" s="3">
        <v>1</v>
      </c>
      <c r="F6904" s="4" t="str">
        <f>HYPERLINK("http://141.218.60.56/~jnz1568/getInfo.php?workbook=18_08.xlsx&amp;sheet=U0&amp;row=6904&amp;col=6&amp;number=3&amp;sourceID=14","3")</f>
        <v>3</v>
      </c>
      <c r="G6904" s="4" t="str">
        <f>HYPERLINK("http://141.218.60.56/~jnz1568/getInfo.php?workbook=18_08.xlsx&amp;sheet=U0&amp;row=6904&amp;col=7&amp;number=2.98e-06&amp;sourceID=14","2.98e-06")</f>
        <v>2.98e-06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HYPERLINK("http://141.218.60.56/~jnz1568/getInfo.php?workbook=18_08.xlsx&amp;sheet=U0&amp;row=6905&amp;col=6&amp;number=3.1&amp;sourceID=14","3.1")</f>
        <v>3.1</v>
      </c>
      <c r="G6905" s="4" t="str">
        <f>HYPERLINK("http://141.218.60.56/~jnz1568/getInfo.php?workbook=18_08.xlsx&amp;sheet=U0&amp;row=6905&amp;col=7&amp;number=2.98e-06&amp;sourceID=14","2.98e-06")</f>
        <v>2.98e-06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HYPERLINK("http://141.218.60.56/~jnz1568/getInfo.php?workbook=18_08.xlsx&amp;sheet=U0&amp;row=6906&amp;col=6&amp;number=3.2&amp;sourceID=14","3.2")</f>
        <v>3.2</v>
      </c>
      <c r="G6906" s="4" t="str">
        <f>HYPERLINK("http://141.218.60.56/~jnz1568/getInfo.php?workbook=18_08.xlsx&amp;sheet=U0&amp;row=6906&amp;col=7&amp;number=2.98e-06&amp;sourceID=14","2.98e-06")</f>
        <v>2.98e-06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HYPERLINK("http://141.218.60.56/~jnz1568/getInfo.php?workbook=18_08.xlsx&amp;sheet=U0&amp;row=6907&amp;col=6&amp;number=3.3&amp;sourceID=14","3.3")</f>
        <v>3.3</v>
      </c>
      <c r="G6907" s="4" t="str">
        <f>HYPERLINK("http://141.218.60.56/~jnz1568/getInfo.php?workbook=18_08.xlsx&amp;sheet=U0&amp;row=6907&amp;col=7&amp;number=2.98e-06&amp;sourceID=14","2.98e-06")</f>
        <v>2.98e-06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HYPERLINK("http://141.218.60.56/~jnz1568/getInfo.php?workbook=18_08.xlsx&amp;sheet=U0&amp;row=6908&amp;col=6&amp;number=3.4&amp;sourceID=14","3.4")</f>
        <v>3.4</v>
      </c>
      <c r="G6908" s="4" t="str">
        <f>HYPERLINK("http://141.218.60.56/~jnz1568/getInfo.php?workbook=18_08.xlsx&amp;sheet=U0&amp;row=6908&amp;col=7&amp;number=2.97e-06&amp;sourceID=14","2.97e-06")</f>
        <v>2.97e-06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HYPERLINK("http://141.218.60.56/~jnz1568/getInfo.php?workbook=18_08.xlsx&amp;sheet=U0&amp;row=6909&amp;col=6&amp;number=3.5&amp;sourceID=14","3.5")</f>
        <v>3.5</v>
      </c>
      <c r="G6909" s="4" t="str">
        <f>HYPERLINK("http://141.218.60.56/~jnz1568/getInfo.php?workbook=18_08.xlsx&amp;sheet=U0&amp;row=6909&amp;col=7&amp;number=2.97e-06&amp;sourceID=14","2.97e-06")</f>
        <v>2.97e-06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HYPERLINK("http://141.218.60.56/~jnz1568/getInfo.php?workbook=18_08.xlsx&amp;sheet=U0&amp;row=6910&amp;col=6&amp;number=3.6&amp;sourceID=14","3.6")</f>
        <v>3.6</v>
      </c>
      <c r="G6910" s="4" t="str">
        <f>HYPERLINK("http://141.218.60.56/~jnz1568/getInfo.php?workbook=18_08.xlsx&amp;sheet=U0&amp;row=6910&amp;col=7&amp;number=2.97e-06&amp;sourceID=14","2.97e-06")</f>
        <v>2.97e-06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HYPERLINK("http://141.218.60.56/~jnz1568/getInfo.php?workbook=18_08.xlsx&amp;sheet=U0&amp;row=6911&amp;col=6&amp;number=3.7&amp;sourceID=14","3.7")</f>
        <v>3.7</v>
      </c>
      <c r="G6911" s="4" t="str">
        <f>HYPERLINK("http://141.218.60.56/~jnz1568/getInfo.php?workbook=18_08.xlsx&amp;sheet=U0&amp;row=6911&amp;col=7&amp;number=2.97e-06&amp;sourceID=14","2.97e-06")</f>
        <v>2.97e-06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HYPERLINK("http://141.218.60.56/~jnz1568/getInfo.php?workbook=18_08.xlsx&amp;sheet=U0&amp;row=6912&amp;col=6&amp;number=3.8&amp;sourceID=14","3.8")</f>
        <v>3.8</v>
      </c>
      <c r="G6912" s="4" t="str">
        <f>HYPERLINK("http://141.218.60.56/~jnz1568/getInfo.php?workbook=18_08.xlsx&amp;sheet=U0&amp;row=6912&amp;col=7&amp;number=2.97e-06&amp;sourceID=14","2.97e-06")</f>
        <v>2.97e-06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HYPERLINK("http://141.218.60.56/~jnz1568/getInfo.php?workbook=18_08.xlsx&amp;sheet=U0&amp;row=6913&amp;col=6&amp;number=3.9&amp;sourceID=14","3.9")</f>
        <v>3.9</v>
      </c>
      <c r="G6913" s="4" t="str">
        <f>HYPERLINK("http://141.218.60.56/~jnz1568/getInfo.php?workbook=18_08.xlsx&amp;sheet=U0&amp;row=6913&amp;col=7&amp;number=2.97e-06&amp;sourceID=14","2.97e-06")</f>
        <v>2.97e-06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HYPERLINK("http://141.218.60.56/~jnz1568/getInfo.php?workbook=18_08.xlsx&amp;sheet=U0&amp;row=6914&amp;col=6&amp;number=4&amp;sourceID=14","4")</f>
        <v>4</v>
      </c>
      <c r="G6914" s="4" t="str">
        <f>HYPERLINK("http://141.218.60.56/~jnz1568/getInfo.php?workbook=18_08.xlsx&amp;sheet=U0&amp;row=6914&amp;col=7&amp;number=2.97e-06&amp;sourceID=14","2.97e-06")</f>
        <v>2.97e-06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HYPERLINK("http://141.218.60.56/~jnz1568/getInfo.php?workbook=18_08.xlsx&amp;sheet=U0&amp;row=6915&amp;col=6&amp;number=4.1&amp;sourceID=14","4.1")</f>
        <v>4.1</v>
      </c>
      <c r="G6915" s="4" t="str">
        <f>HYPERLINK("http://141.218.60.56/~jnz1568/getInfo.php?workbook=18_08.xlsx&amp;sheet=U0&amp;row=6915&amp;col=7&amp;number=2.97e-06&amp;sourceID=14","2.97e-06")</f>
        <v>2.97e-06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HYPERLINK("http://141.218.60.56/~jnz1568/getInfo.php?workbook=18_08.xlsx&amp;sheet=U0&amp;row=6916&amp;col=6&amp;number=4.2&amp;sourceID=14","4.2")</f>
        <v>4.2</v>
      </c>
      <c r="G6916" s="4" t="str">
        <f>HYPERLINK("http://141.218.60.56/~jnz1568/getInfo.php?workbook=18_08.xlsx&amp;sheet=U0&amp;row=6916&amp;col=7&amp;number=2.96e-06&amp;sourceID=14","2.96e-06")</f>
        <v>2.96e-06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HYPERLINK("http://141.218.60.56/~jnz1568/getInfo.php?workbook=18_08.xlsx&amp;sheet=U0&amp;row=6917&amp;col=6&amp;number=4.3&amp;sourceID=14","4.3")</f>
        <v>4.3</v>
      </c>
      <c r="G6917" s="4" t="str">
        <f>HYPERLINK("http://141.218.60.56/~jnz1568/getInfo.php?workbook=18_08.xlsx&amp;sheet=U0&amp;row=6917&amp;col=7&amp;number=2.96e-06&amp;sourceID=14","2.96e-06")</f>
        <v>2.96e-06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HYPERLINK("http://141.218.60.56/~jnz1568/getInfo.php?workbook=18_08.xlsx&amp;sheet=U0&amp;row=6918&amp;col=6&amp;number=4.4&amp;sourceID=14","4.4")</f>
        <v>4.4</v>
      </c>
      <c r="G6918" s="4" t="str">
        <f>HYPERLINK("http://141.218.60.56/~jnz1568/getInfo.php?workbook=18_08.xlsx&amp;sheet=U0&amp;row=6918&amp;col=7&amp;number=2.96e-06&amp;sourceID=14","2.96e-06")</f>
        <v>2.96e-06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HYPERLINK("http://141.218.60.56/~jnz1568/getInfo.php?workbook=18_08.xlsx&amp;sheet=U0&amp;row=6919&amp;col=6&amp;number=4.5&amp;sourceID=14","4.5")</f>
        <v>4.5</v>
      </c>
      <c r="G6919" s="4" t="str">
        <f>HYPERLINK("http://141.218.60.56/~jnz1568/getInfo.php?workbook=18_08.xlsx&amp;sheet=U0&amp;row=6919&amp;col=7&amp;number=2.95e-06&amp;sourceID=14","2.95e-06")</f>
        <v>2.95e-06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HYPERLINK("http://141.218.60.56/~jnz1568/getInfo.php?workbook=18_08.xlsx&amp;sheet=U0&amp;row=6920&amp;col=6&amp;number=4.6&amp;sourceID=14","4.6")</f>
        <v>4.6</v>
      </c>
      <c r="G6920" s="4" t="str">
        <f>HYPERLINK("http://141.218.60.56/~jnz1568/getInfo.php?workbook=18_08.xlsx&amp;sheet=U0&amp;row=6920&amp;col=7&amp;number=2.94e-06&amp;sourceID=14","2.94e-06")</f>
        <v>2.94e-06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HYPERLINK("http://141.218.60.56/~jnz1568/getInfo.php?workbook=18_08.xlsx&amp;sheet=U0&amp;row=6921&amp;col=6&amp;number=4.7&amp;sourceID=14","4.7")</f>
        <v>4.7</v>
      </c>
      <c r="G6921" s="4" t="str">
        <f>HYPERLINK("http://141.218.60.56/~jnz1568/getInfo.php?workbook=18_08.xlsx&amp;sheet=U0&amp;row=6921&amp;col=7&amp;number=2.94e-06&amp;sourceID=14","2.94e-06")</f>
        <v>2.94e-06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HYPERLINK("http://141.218.60.56/~jnz1568/getInfo.php?workbook=18_08.xlsx&amp;sheet=U0&amp;row=6922&amp;col=6&amp;number=4.8&amp;sourceID=14","4.8")</f>
        <v>4.8</v>
      </c>
      <c r="G6922" s="4" t="str">
        <f>HYPERLINK("http://141.218.60.56/~jnz1568/getInfo.php?workbook=18_08.xlsx&amp;sheet=U0&amp;row=6922&amp;col=7&amp;number=2.93e-06&amp;sourceID=14","2.93e-06")</f>
        <v>2.93e-06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HYPERLINK("http://141.218.60.56/~jnz1568/getInfo.php?workbook=18_08.xlsx&amp;sheet=U0&amp;row=6923&amp;col=6&amp;number=4.9&amp;sourceID=14","4.9")</f>
        <v>4.9</v>
      </c>
      <c r="G6923" s="4" t="str">
        <f>HYPERLINK("http://141.218.60.56/~jnz1568/getInfo.php?workbook=18_08.xlsx&amp;sheet=U0&amp;row=6923&amp;col=7&amp;number=2.91e-06&amp;sourceID=14","2.91e-06")</f>
        <v>2.91e-06</v>
      </c>
    </row>
    <row r="6924" spans="1:7">
      <c r="A6924" s="3">
        <v>18</v>
      </c>
      <c r="B6924" s="3">
        <v>8</v>
      </c>
      <c r="C6924" s="3" t="s">
        <v>78</v>
      </c>
      <c r="D6924" s="3">
        <v>8</v>
      </c>
      <c r="E6924" s="3">
        <v>1</v>
      </c>
      <c r="F6924" s="4" t="str">
        <f>HYPERLINK("http://141.218.60.56/~jnz1568/getInfo.php?workbook=18_08.xlsx&amp;sheet=U0&amp;row=6924&amp;col=6&amp;number=3&amp;sourceID=14","3")</f>
        <v>3</v>
      </c>
      <c r="G6924" s="4" t="str">
        <f>HYPERLINK("http://141.218.60.56/~jnz1568/getInfo.php?workbook=18_08.xlsx&amp;sheet=U0&amp;row=6924&amp;col=7&amp;number=1.62e-06&amp;sourceID=14","1.62e-06")</f>
        <v>1.62e-06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HYPERLINK("http://141.218.60.56/~jnz1568/getInfo.php?workbook=18_08.xlsx&amp;sheet=U0&amp;row=6925&amp;col=6&amp;number=3.1&amp;sourceID=14","3.1")</f>
        <v>3.1</v>
      </c>
      <c r="G6925" s="4" t="str">
        <f>HYPERLINK("http://141.218.60.56/~jnz1568/getInfo.php?workbook=18_08.xlsx&amp;sheet=U0&amp;row=6925&amp;col=7&amp;number=1.62e-06&amp;sourceID=14","1.62e-06")</f>
        <v>1.62e-06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HYPERLINK("http://141.218.60.56/~jnz1568/getInfo.php?workbook=18_08.xlsx&amp;sheet=U0&amp;row=6926&amp;col=6&amp;number=3.2&amp;sourceID=14","3.2")</f>
        <v>3.2</v>
      </c>
      <c r="G6926" s="4" t="str">
        <f>HYPERLINK("http://141.218.60.56/~jnz1568/getInfo.php?workbook=18_08.xlsx&amp;sheet=U0&amp;row=6926&amp;col=7&amp;number=1.62e-06&amp;sourceID=14","1.62e-06")</f>
        <v>1.62e-06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HYPERLINK("http://141.218.60.56/~jnz1568/getInfo.php?workbook=18_08.xlsx&amp;sheet=U0&amp;row=6927&amp;col=6&amp;number=3.3&amp;sourceID=14","3.3")</f>
        <v>3.3</v>
      </c>
      <c r="G6927" s="4" t="str">
        <f>HYPERLINK("http://141.218.60.56/~jnz1568/getInfo.php?workbook=18_08.xlsx&amp;sheet=U0&amp;row=6927&amp;col=7&amp;number=1.62e-06&amp;sourceID=14","1.62e-06")</f>
        <v>1.62e-06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HYPERLINK("http://141.218.60.56/~jnz1568/getInfo.php?workbook=18_08.xlsx&amp;sheet=U0&amp;row=6928&amp;col=6&amp;number=3.4&amp;sourceID=14","3.4")</f>
        <v>3.4</v>
      </c>
      <c r="G6928" s="4" t="str">
        <f>HYPERLINK("http://141.218.60.56/~jnz1568/getInfo.php?workbook=18_08.xlsx&amp;sheet=U0&amp;row=6928&amp;col=7&amp;number=1.62e-06&amp;sourceID=14","1.62e-06")</f>
        <v>1.62e-06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HYPERLINK("http://141.218.60.56/~jnz1568/getInfo.php?workbook=18_08.xlsx&amp;sheet=U0&amp;row=6929&amp;col=6&amp;number=3.5&amp;sourceID=14","3.5")</f>
        <v>3.5</v>
      </c>
      <c r="G6929" s="4" t="str">
        <f>HYPERLINK("http://141.218.60.56/~jnz1568/getInfo.php?workbook=18_08.xlsx&amp;sheet=U0&amp;row=6929&amp;col=7&amp;number=1.61e-06&amp;sourceID=14","1.61e-06")</f>
        <v>1.61e-06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HYPERLINK("http://141.218.60.56/~jnz1568/getInfo.php?workbook=18_08.xlsx&amp;sheet=U0&amp;row=6930&amp;col=6&amp;number=3.6&amp;sourceID=14","3.6")</f>
        <v>3.6</v>
      </c>
      <c r="G6930" s="4" t="str">
        <f>HYPERLINK("http://141.218.60.56/~jnz1568/getInfo.php?workbook=18_08.xlsx&amp;sheet=U0&amp;row=6930&amp;col=7&amp;number=1.61e-06&amp;sourceID=14","1.61e-06")</f>
        <v>1.61e-06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HYPERLINK("http://141.218.60.56/~jnz1568/getInfo.php?workbook=18_08.xlsx&amp;sheet=U0&amp;row=6931&amp;col=6&amp;number=3.7&amp;sourceID=14","3.7")</f>
        <v>3.7</v>
      </c>
      <c r="G6931" s="4" t="str">
        <f>HYPERLINK("http://141.218.60.56/~jnz1568/getInfo.php?workbook=18_08.xlsx&amp;sheet=U0&amp;row=6931&amp;col=7&amp;number=1.61e-06&amp;sourceID=14","1.61e-06")</f>
        <v>1.61e-06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HYPERLINK("http://141.218.60.56/~jnz1568/getInfo.php?workbook=18_08.xlsx&amp;sheet=U0&amp;row=6932&amp;col=6&amp;number=3.8&amp;sourceID=14","3.8")</f>
        <v>3.8</v>
      </c>
      <c r="G6932" s="4" t="str">
        <f>HYPERLINK("http://141.218.60.56/~jnz1568/getInfo.php?workbook=18_08.xlsx&amp;sheet=U0&amp;row=6932&amp;col=7&amp;number=1.61e-06&amp;sourceID=14","1.61e-06")</f>
        <v>1.61e-06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HYPERLINK("http://141.218.60.56/~jnz1568/getInfo.php?workbook=18_08.xlsx&amp;sheet=U0&amp;row=6933&amp;col=6&amp;number=3.9&amp;sourceID=14","3.9")</f>
        <v>3.9</v>
      </c>
      <c r="G6933" s="4" t="str">
        <f>HYPERLINK("http://141.218.60.56/~jnz1568/getInfo.php?workbook=18_08.xlsx&amp;sheet=U0&amp;row=6933&amp;col=7&amp;number=1.61e-06&amp;sourceID=14","1.61e-06")</f>
        <v>1.61e-06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HYPERLINK("http://141.218.60.56/~jnz1568/getInfo.php?workbook=18_08.xlsx&amp;sheet=U0&amp;row=6934&amp;col=6&amp;number=4&amp;sourceID=14","4")</f>
        <v>4</v>
      </c>
      <c r="G6934" s="4" t="str">
        <f>HYPERLINK("http://141.218.60.56/~jnz1568/getInfo.php?workbook=18_08.xlsx&amp;sheet=U0&amp;row=6934&amp;col=7&amp;number=1.61e-06&amp;sourceID=14","1.61e-06")</f>
        <v>1.61e-06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HYPERLINK("http://141.218.60.56/~jnz1568/getInfo.php?workbook=18_08.xlsx&amp;sheet=U0&amp;row=6935&amp;col=6&amp;number=4.1&amp;sourceID=14","4.1")</f>
        <v>4.1</v>
      </c>
      <c r="G6935" s="4" t="str">
        <f>HYPERLINK("http://141.218.60.56/~jnz1568/getInfo.php?workbook=18_08.xlsx&amp;sheet=U0&amp;row=6935&amp;col=7&amp;number=1.61e-06&amp;sourceID=14","1.61e-06")</f>
        <v>1.61e-06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HYPERLINK("http://141.218.60.56/~jnz1568/getInfo.php?workbook=18_08.xlsx&amp;sheet=U0&amp;row=6936&amp;col=6&amp;number=4.2&amp;sourceID=14","4.2")</f>
        <v>4.2</v>
      </c>
      <c r="G6936" s="4" t="str">
        <f>HYPERLINK("http://141.218.60.56/~jnz1568/getInfo.php?workbook=18_08.xlsx&amp;sheet=U0&amp;row=6936&amp;col=7&amp;number=1.61e-06&amp;sourceID=14","1.61e-06")</f>
        <v>1.61e-06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HYPERLINK("http://141.218.60.56/~jnz1568/getInfo.php?workbook=18_08.xlsx&amp;sheet=U0&amp;row=6937&amp;col=6&amp;number=4.3&amp;sourceID=14","4.3")</f>
        <v>4.3</v>
      </c>
      <c r="G6937" s="4" t="str">
        <f>HYPERLINK("http://141.218.60.56/~jnz1568/getInfo.php?workbook=18_08.xlsx&amp;sheet=U0&amp;row=6937&amp;col=7&amp;number=1.61e-06&amp;sourceID=14","1.61e-06")</f>
        <v>1.61e-06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HYPERLINK("http://141.218.60.56/~jnz1568/getInfo.php?workbook=18_08.xlsx&amp;sheet=U0&amp;row=6938&amp;col=6&amp;number=4.4&amp;sourceID=14","4.4")</f>
        <v>4.4</v>
      </c>
      <c r="G6938" s="4" t="str">
        <f>HYPERLINK("http://141.218.60.56/~jnz1568/getInfo.php?workbook=18_08.xlsx&amp;sheet=U0&amp;row=6938&amp;col=7&amp;number=1.61e-06&amp;sourceID=14","1.61e-06")</f>
        <v>1.61e-06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HYPERLINK("http://141.218.60.56/~jnz1568/getInfo.php?workbook=18_08.xlsx&amp;sheet=U0&amp;row=6939&amp;col=6&amp;number=4.5&amp;sourceID=14","4.5")</f>
        <v>4.5</v>
      </c>
      <c r="G6939" s="4" t="str">
        <f>HYPERLINK("http://141.218.60.56/~jnz1568/getInfo.php?workbook=18_08.xlsx&amp;sheet=U0&amp;row=6939&amp;col=7&amp;number=1.6e-06&amp;sourceID=14","1.6e-06")</f>
        <v>1.6e-06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HYPERLINK("http://141.218.60.56/~jnz1568/getInfo.php?workbook=18_08.xlsx&amp;sheet=U0&amp;row=6940&amp;col=6&amp;number=4.6&amp;sourceID=14","4.6")</f>
        <v>4.6</v>
      </c>
      <c r="G6940" s="4" t="str">
        <f>HYPERLINK("http://141.218.60.56/~jnz1568/getInfo.php?workbook=18_08.xlsx&amp;sheet=U0&amp;row=6940&amp;col=7&amp;number=1.6e-06&amp;sourceID=14","1.6e-06")</f>
        <v>1.6e-06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HYPERLINK("http://141.218.60.56/~jnz1568/getInfo.php?workbook=18_08.xlsx&amp;sheet=U0&amp;row=6941&amp;col=6&amp;number=4.7&amp;sourceID=14","4.7")</f>
        <v>4.7</v>
      </c>
      <c r="G6941" s="4" t="str">
        <f>HYPERLINK("http://141.218.60.56/~jnz1568/getInfo.php?workbook=18_08.xlsx&amp;sheet=U0&amp;row=6941&amp;col=7&amp;number=1.6e-06&amp;sourceID=14","1.6e-06")</f>
        <v>1.6e-06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HYPERLINK("http://141.218.60.56/~jnz1568/getInfo.php?workbook=18_08.xlsx&amp;sheet=U0&amp;row=6942&amp;col=6&amp;number=4.8&amp;sourceID=14","4.8")</f>
        <v>4.8</v>
      </c>
      <c r="G6942" s="4" t="str">
        <f>HYPERLINK("http://141.218.60.56/~jnz1568/getInfo.php?workbook=18_08.xlsx&amp;sheet=U0&amp;row=6942&amp;col=7&amp;number=1.59e-06&amp;sourceID=14","1.59e-06")</f>
        <v>1.59e-06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HYPERLINK("http://141.218.60.56/~jnz1568/getInfo.php?workbook=18_08.xlsx&amp;sheet=U0&amp;row=6943&amp;col=6&amp;number=4.9&amp;sourceID=14","4.9")</f>
        <v>4.9</v>
      </c>
      <c r="G6943" s="4" t="str">
        <f>HYPERLINK("http://141.218.60.56/~jnz1568/getInfo.php?workbook=18_08.xlsx&amp;sheet=U0&amp;row=6943&amp;col=7&amp;number=1.59e-06&amp;sourceID=14","1.59e-06")</f>
        <v>1.59e-06</v>
      </c>
    </row>
    <row r="6944" spans="1:7">
      <c r="A6944" s="3">
        <v>18</v>
      </c>
      <c r="B6944" s="3">
        <v>8</v>
      </c>
      <c r="C6944" s="3" t="s">
        <v>78</v>
      </c>
      <c r="D6944" s="3">
        <v>9</v>
      </c>
      <c r="E6944" s="3">
        <v>1</v>
      </c>
      <c r="F6944" s="4" t="str">
        <f>HYPERLINK("http://141.218.60.56/~jnz1568/getInfo.php?workbook=18_08.xlsx&amp;sheet=U0&amp;row=6944&amp;col=6&amp;number=3&amp;sourceID=14","3")</f>
        <v>3</v>
      </c>
      <c r="G6944" s="4" t="str">
        <f>HYPERLINK("http://141.218.60.56/~jnz1568/getInfo.php?workbook=18_08.xlsx&amp;sheet=U0&amp;row=6944&amp;col=7&amp;number=5.06e-06&amp;sourceID=14","5.06e-06")</f>
        <v>5.06e-06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HYPERLINK("http://141.218.60.56/~jnz1568/getInfo.php?workbook=18_08.xlsx&amp;sheet=U0&amp;row=6945&amp;col=6&amp;number=3.1&amp;sourceID=14","3.1")</f>
        <v>3.1</v>
      </c>
      <c r="G6945" s="4" t="str">
        <f>HYPERLINK("http://141.218.60.56/~jnz1568/getInfo.php?workbook=18_08.xlsx&amp;sheet=U0&amp;row=6945&amp;col=7&amp;number=5.06e-06&amp;sourceID=14","5.06e-06")</f>
        <v>5.06e-06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HYPERLINK("http://141.218.60.56/~jnz1568/getInfo.php?workbook=18_08.xlsx&amp;sheet=U0&amp;row=6946&amp;col=6&amp;number=3.2&amp;sourceID=14","3.2")</f>
        <v>3.2</v>
      </c>
      <c r="G6946" s="4" t="str">
        <f>HYPERLINK("http://141.218.60.56/~jnz1568/getInfo.php?workbook=18_08.xlsx&amp;sheet=U0&amp;row=6946&amp;col=7&amp;number=5.06e-06&amp;sourceID=14","5.06e-06")</f>
        <v>5.06e-06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HYPERLINK("http://141.218.60.56/~jnz1568/getInfo.php?workbook=18_08.xlsx&amp;sheet=U0&amp;row=6947&amp;col=6&amp;number=3.3&amp;sourceID=14","3.3")</f>
        <v>3.3</v>
      </c>
      <c r="G6947" s="4" t="str">
        <f>HYPERLINK("http://141.218.60.56/~jnz1568/getInfo.php?workbook=18_08.xlsx&amp;sheet=U0&amp;row=6947&amp;col=7&amp;number=5.06e-06&amp;sourceID=14","5.06e-06")</f>
        <v>5.06e-06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HYPERLINK("http://141.218.60.56/~jnz1568/getInfo.php?workbook=18_08.xlsx&amp;sheet=U0&amp;row=6948&amp;col=6&amp;number=3.4&amp;sourceID=14","3.4")</f>
        <v>3.4</v>
      </c>
      <c r="G6948" s="4" t="str">
        <f>HYPERLINK("http://141.218.60.56/~jnz1568/getInfo.php?workbook=18_08.xlsx&amp;sheet=U0&amp;row=6948&amp;col=7&amp;number=5.06e-06&amp;sourceID=14","5.06e-06")</f>
        <v>5.06e-06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HYPERLINK("http://141.218.60.56/~jnz1568/getInfo.php?workbook=18_08.xlsx&amp;sheet=U0&amp;row=6949&amp;col=6&amp;number=3.5&amp;sourceID=14","3.5")</f>
        <v>3.5</v>
      </c>
      <c r="G6949" s="4" t="str">
        <f>HYPERLINK("http://141.218.60.56/~jnz1568/getInfo.php?workbook=18_08.xlsx&amp;sheet=U0&amp;row=6949&amp;col=7&amp;number=5.05e-06&amp;sourceID=14","5.05e-06")</f>
        <v>5.05e-06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HYPERLINK("http://141.218.60.56/~jnz1568/getInfo.php?workbook=18_08.xlsx&amp;sheet=U0&amp;row=6950&amp;col=6&amp;number=3.6&amp;sourceID=14","3.6")</f>
        <v>3.6</v>
      </c>
      <c r="G6950" s="4" t="str">
        <f>HYPERLINK("http://141.218.60.56/~jnz1568/getInfo.php?workbook=18_08.xlsx&amp;sheet=U0&amp;row=6950&amp;col=7&amp;number=5.05e-06&amp;sourceID=14","5.05e-06")</f>
        <v>5.05e-06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HYPERLINK("http://141.218.60.56/~jnz1568/getInfo.php?workbook=18_08.xlsx&amp;sheet=U0&amp;row=6951&amp;col=6&amp;number=3.7&amp;sourceID=14","3.7")</f>
        <v>3.7</v>
      </c>
      <c r="G6951" s="4" t="str">
        <f>HYPERLINK("http://141.218.60.56/~jnz1568/getInfo.php?workbook=18_08.xlsx&amp;sheet=U0&amp;row=6951&amp;col=7&amp;number=5.05e-06&amp;sourceID=14","5.05e-06")</f>
        <v>5.05e-06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HYPERLINK("http://141.218.60.56/~jnz1568/getInfo.php?workbook=18_08.xlsx&amp;sheet=U0&amp;row=6952&amp;col=6&amp;number=3.8&amp;sourceID=14","3.8")</f>
        <v>3.8</v>
      </c>
      <c r="G6952" s="4" t="str">
        <f>HYPERLINK("http://141.218.60.56/~jnz1568/getInfo.php?workbook=18_08.xlsx&amp;sheet=U0&amp;row=6952&amp;col=7&amp;number=5.05e-06&amp;sourceID=14","5.05e-06")</f>
        <v>5.05e-06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HYPERLINK("http://141.218.60.56/~jnz1568/getInfo.php?workbook=18_08.xlsx&amp;sheet=U0&amp;row=6953&amp;col=6&amp;number=3.9&amp;sourceID=14","3.9")</f>
        <v>3.9</v>
      </c>
      <c r="G6953" s="4" t="str">
        <f>HYPERLINK("http://141.218.60.56/~jnz1568/getInfo.php?workbook=18_08.xlsx&amp;sheet=U0&amp;row=6953&amp;col=7&amp;number=5.05e-06&amp;sourceID=14","5.05e-06")</f>
        <v>5.05e-06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HYPERLINK("http://141.218.60.56/~jnz1568/getInfo.php?workbook=18_08.xlsx&amp;sheet=U0&amp;row=6954&amp;col=6&amp;number=4&amp;sourceID=14","4")</f>
        <v>4</v>
      </c>
      <c r="G6954" s="4" t="str">
        <f>HYPERLINK("http://141.218.60.56/~jnz1568/getInfo.php?workbook=18_08.xlsx&amp;sheet=U0&amp;row=6954&amp;col=7&amp;number=5.04e-06&amp;sourceID=14","5.04e-06")</f>
        <v>5.04e-06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HYPERLINK("http://141.218.60.56/~jnz1568/getInfo.php?workbook=18_08.xlsx&amp;sheet=U0&amp;row=6955&amp;col=6&amp;number=4.1&amp;sourceID=14","4.1")</f>
        <v>4.1</v>
      </c>
      <c r="G6955" s="4" t="str">
        <f>HYPERLINK("http://141.218.60.56/~jnz1568/getInfo.php?workbook=18_08.xlsx&amp;sheet=U0&amp;row=6955&amp;col=7&amp;number=5.04e-06&amp;sourceID=14","5.04e-06")</f>
        <v>5.04e-06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HYPERLINK("http://141.218.60.56/~jnz1568/getInfo.php?workbook=18_08.xlsx&amp;sheet=U0&amp;row=6956&amp;col=6&amp;number=4.2&amp;sourceID=14","4.2")</f>
        <v>4.2</v>
      </c>
      <c r="G6956" s="4" t="str">
        <f>HYPERLINK("http://141.218.60.56/~jnz1568/getInfo.php?workbook=18_08.xlsx&amp;sheet=U0&amp;row=6956&amp;col=7&amp;number=5.04e-06&amp;sourceID=14","5.04e-06")</f>
        <v>5.04e-06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HYPERLINK("http://141.218.60.56/~jnz1568/getInfo.php?workbook=18_08.xlsx&amp;sheet=U0&amp;row=6957&amp;col=6&amp;number=4.3&amp;sourceID=14","4.3")</f>
        <v>4.3</v>
      </c>
      <c r="G6957" s="4" t="str">
        <f>HYPERLINK("http://141.218.60.56/~jnz1568/getInfo.php?workbook=18_08.xlsx&amp;sheet=U0&amp;row=6957&amp;col=7&amp;number=5.03e-06&amp;sourceID=14","5.03e-06")</f>
        <v>5.03e-06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HYPERLINK("http://141.218.60.56/~jnz1568/getInfo.php?workbook=18_08.xlsx&amp;sheet=U0&amp;row=6958&amp;col=6&amp;number=4.4&amp;sourceID=14","4.4")</f>
        <v>4.4</v>
      </c>
      <c r="G6958" s="4" t="str">
        <f>HYPERLINK("http://141.218.60.56/~jnz1568/getInfo.php?workbook=18_08.xlsx&amp;sheet=U0&amp;row=6958&amp;col=7&amp;number=5.02e-06&amp;sourceID=14","5.02e-06")</f>
        <v>5.02e-06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HYPERLINK("http://141.218.60.56/~jnz1568/getInfo.php?workbook=18_08.xlsx&amp;sheet=U0&amp;row=6959&amp;col=6&amp;number=4.5&amp;sourceID=14","4.5")</f>
        <v>4.5</v>
      </c>
      <c r="G6959" s="4" t="str">
        <f>HYPERLINK("http://141.218.60.56/~jnz1568/getInfo.php?workbook=18_08.xlsx&amp;sheet=U0&amp;row=6959&amp;col=7&amp;number=5.01e-06&amp;sourceID=14","5.01e-06")</f>
        <v>5.01e-06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HYPERLINK("http://141.218.60.56/~jnz1568/getInfo.php?workbook=18_08.xlsx&amp;sheet=U0&amp;row=6960&amp;col=6&amp;number=4.6&amp;sourceID=14","4.6")</f>
        <v>4.6</v>
      </c>
      <c r="G6960" s="4" t="str">
        <f>HYPERLINK("http://141.218.60.56/~jnz1568/getInfo.php?workbook=18_08.xlsx&amp;sheet=U0&amp;row=6960&amp;col=7&amp;number=5e-06&amp;sourceID=14","5e-06")</f>
        <v>5e-06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HYPERLINK("http://141.218.60.56/~jnz1568/getInfo.php?workbook=18_08.xlsx&amp;sheet=U0&amp;row=6961&amp;col=6&amp;number=4.7&amp;sourceID=14","4.7")</f>
        <v>4.7</v>
      </c>
      <c r="G6961" s="4" t="str">
        <f>HYPERLINK("http://141.218.60.56/~jnz1568/getInfo.php?workbook=18_08.xlsx&amp;sheet=U0&amp;row=6961&amp;col=7&amp;number=4.99e-06&amp;sourceID=14","4.99e-06")</f>
        <v>4.99e-06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HYPERLINK("http://141.218.60.56/~jnz1568/getInfo.php?workbook=18_08.xlsx&amp;sheet=U0&amp;row=6962&amp;col=6&amp;number=4.8&amp;sourceID=14","4.8")</f>
        <v>4.8</v>
      </c>
      <c r="G6962" s="4" t="str">
        <f>HYPERLINK("http://141.218.60.56/~jnz1568/getInfo.php?workbook=18_08.xlsx&amp;sheet=U0&amp;row=6962&amp;col=7&amp;number=4.97e-06&amp;sourceID=14","4.97e-06")</f>
        <v>4.97e-06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HYPERLINK("http://141.218.60.56/~jnz1568/getInfo.php?workbook=18_08.xlsx&amp;sheet=U0&amp;row=6963&amp;col=6&amp;number=4.9&amp;sourceID=14","4.9")</f>
        <v>4.9</v>
      </c>
      <c r="G6963" s="4" t="str">
        <f>HYPERLINK("http://141.218.60.56/~jnz1568/getInfo.php?workbook=18_08.xlsx&amp;sheet=U0&amp;row=6963&amp;col=7&amp;number=4.94e-06&amp;sourceID=14","4.94e-06")</f>
        <v>4.94e-06</v>
      </c>
    </row>
    <row r="6964" spans="1:7">
      <c r="A6964" s="3">
        <v>18</v>
      </c>
      <c r="B6964" s="3">
        <v>8</v>
      </c>
      <c r="C6964" s="3" t="s">
        <v>79</v>
      </c>
      <c r="D6964" s="3">
        <v>0</v>
      </c>
      <c r="E6964" s="3">
        <v>1</v>
      </c>
      <c r="F6964" s="4" t="str">
        <f>HYPERLINK("http://141.218.60.56/~jnz1568/getInfo.php?workbook=18_08.xlsx&amp;sheet=U0&amp;row=6964&amp;col=6&amp;number=3&amp;sourceID=14","3")</f>
        <v>3</v>
      </c>
      <c r="G6964" s="4" t="str">
        <f>HYPERLINK("http://141.218.60.56/~jnz1568/getInfo.php?workbook=18_08.xlsx&amp;sheet=U0&amp;row=6964&amp;col=7&amp;number=0.000225&amp;sourceID=14","0.000225")</f>
        <v>0.000225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HYPERLINK("http://141.218.60.56/~jnz1568/getInfo.php?workbook=18_08.xlsx&amp;sheet=U0&amp;row=6965&amp;col=6&amp;number=3.1&amp;sourceID=14","3.1")</f>
        <v>3.1</v>
      </c>
      <c r="G6965" s="4" t="str">
        <f>HYPERLINK("http://141.218.60.56/~jnz1568/getInfo.php?workbook=18_08.xlsx&amp;sheet=U0&amp;row=6965&amp;col=7&amp;number=0.000225&amp;sourceID=14","0.000225")</f>
        <v>0.000225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HYPERLINK("http://141.218.60.56/~jnz1568/getInfo.php?workbook=18_08.xlsx&amp;sheet=U0&amp;row=6966&amp;col=6&amp;number=3.2&amp;sourceID=14","3.2")</f>
        <v>3.2</v>
      </c>
      <c r="G6966" s="4" t="str">
        <f>HYPERLINK("http://141.218.60.56/~jnz1568/getInfo.php?workbook=18_08.xlsx&amp;sheet=U0&amp;row=6966&amp;col=7&amp;number=0.000225&amp;sourceID=14","0.000225")</f>
        <v>0.000225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HYPERLINK("http://141.218.60.56/~jnz1568/getInfo.php?workbook=18_08.xlsx&amp;sheet=U0&amp;row=6967&amp;col=6&amp;number=3.3&amp;sourceID=14","3.3")</f>
        <v>3.3</v>
      </c>
      <c r="G6967" s="4" t="str">
        <f>HYPERLINK("http://141.218.60.56/~jnz1568/getInfo.php?workbook=18_08.xlsx&amp;sheet=U0&amp;row=6967&amp;col=7&amp;number=0.000225&amp;sourceID=14","0.000225")</f>
        <v>0.000225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HYPERLINK("http://141.218.60.56/~jnz1568/getInfo.php?workbook=18_08.xlsx&amp;sheet=U0&amp;row=6968&amp;col=6&amp;number=3.4&amp;sourceID=14","3.4")</f>
        <v>3.4</v>
      </c>
      <c r="G6968" s="4" t="str">
        <f>HYPERLINK("http://141.218.60.56/~jnz1568/getInfo.php?workbook=18_08.xlsx&amp;sheet=U0&amp;row=6968&amp;col=7&amp;number=0.000225&amp;sourceID=14","0.000225")</f>
        <v>0.000225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HYPERLINK("http://141.218.60.56/~jnz1568/getInfo.php?workbook=18_08.xlsx&amp;sheet=U0&amp;row=6969&amp;col=6&amp;number=3.5&amp;sourceID=14","3.5")</f>
        <v>3.5</v>
      </c>
      <c r="G6969" s="4" t="str">
        <f>HYPERLINK("http://141.218.60.56/~jnz1568/getInfo.php?workbook=18_08.xlsx&amp;sheet=U0&amp;row=6969&amp;col=7&amp;number=0.000225&amp;sourceID=14","0.000225")</f>
        <v>0.000225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HYPERLINK("http://141.218.60.56/~jnz1568/getInfo.php?workbook=18_08.xlsx&amp;sheet=U0&amp;row=6970&amp;col=6&amp;number=3.6&amp;sourceID=14","3.6")</f>
        <v>3.6</v>
      </c>
      <c r="G6970" s="4" t="str">
        <f>HYPERLINK("http://141.218.60.56/~jnz1568/getInfo.php?workbook=18_08.xlsx&amp;sheet=U0&amp;row=6970&amp;col=7&amp;number=0.000225&amp;sourceID=14","0.000225")</f>
        <v>0.000225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HYPERLINK("http://141.218.60.56/~jnz1568/getInfo.php?workbook=18_08.xlsx&amp;sheet=U0&amp;row=6971&amp;col=6&amp;number=3.7&amp;sourceID=14","3.7")</f>
        <v>3.7</v>
      </c>
      <c r="G6971" s="4" t="str">
        <f>HYPERLINK("http://141.218.60.56/~jnz1568/getInfo.php?workbook=18_08.xlsx&amp;sheet=U0&amp;row=6971&amp;col=7&amp;number=0.000225&amp;sourceID=14","0.000225")</f>
        <v>0.000225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HYPERLINK("http://141.218.60.56/~jnz1568/getInfo.php?workbook=18_08.xlsx&amp;sheet=U0&amp;row=6972&amp;col=6&amp;number=3.8&amp;sourceID=14","3.8")</f>
        <v>3.8</v>
      </c>
      <c r="G6972" s="4" t="str">
        <f>HYPERLINK("http://141.218.60.56/~jnz1568/getInfo.php?workbook=18_08.xlsx&amp;sheet=U0&amp;row=6972&amp;col=7&amp;number=0.000224&amp;sourceID=14","0.000224")</f>
        <v>0.000224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HYPERLINK("http://141.218.60.56/~jnz1568/getInfo.php?workbook=18_08.xlsx&amp;sheet=U0&amp;row=6973&amp;col=6&amp;number=3.9&amp;sourceID=14","3.9")</f>
        <v>3.9</v>
      </c>
      <c r="G6973" s="4" t="str">
        <f>HYPERLINK("http://141.218.60.56/~jnz1568/getInfo.php?workbook=18_08.xlsx&amp;sheet=U0&amp;row=6973&amp;col=7&amp;number=0.000224&amp;sourceID=14","0.000224")</f>
        <v>0.000224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HYPERLINK("http://141.218.60.56/~jnz1568/getInfo.php?workbook=18_08.xlsx&amp;sheet=U0&amp;row=6974&amp;col=6&amp;number=4&amp;sourceID=14","4")</f>
        <v>4</v>
      </c>
      <c r="G6974" s="4" t="str">
        <f>HYPERLINK("http://141.218.60.56/~jnz1568/getInfo.php?workbook=18_08.xlsx&amp;sheet=U0&amp;row=6974&amp;col=7&amp;number=0.000224&amp;sourceID=14","0.000224")</f>
        <v>0.000224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HYPERLINK("http://141.218.60.56/~jnz1568/getInfo.php?workbook=18_08.xlsx&amp;sheet=U0&amp;row=6975&amp;col=6&amp;number=4.1&amp;sourceID=14","4.1")</f>
        <v>4.1</v>
      </c>
      <c r="G6975" s="4" t="str">
        <f>HYPERLINK("http://141.218.60.56/~jnz1568/getInfo.php?workbook=18_08.xlsx&amp;sheet=U0&amp;row=6975&amp;col=7&amp;number=0.000224&amp;sourceID=14","0.000224")</f>
        <v>0.000224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HYPERLINK("http://141.218.60.56/~jnz1568/getInfo.php?workbook=18_08.xlsx&amp;sheet=U0&amp;row=6976&amp;col=6&amp;number=4.2&amp;sourceID=14","4.2")</f>
        <v>4.2</v>
      </c>
      <c r="G6976" s="4" t="str">
        <f>HYPERLINK("http://141.218.60.56/~jnz1568/getInfo.php?workbook=18_08.xlsx&amp;sheet=U0&amp;row=6976&amp;col=7&amp;number=0.000223&amp;sourceID=14","0.000223")</f>
        <v>0.000223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HYPERLINK("http://141.218.60.56/~jnz1568/getInfo.php?workbook=18_08.xlsx&amp;sheet=U0&amp;row=6977&amp;col=6&amp;number=4.3&amp;sourceID=14","4.3")</f>
        <v>4.3</v>
      </c>
      <c r="G6977" s="4" t="str">
        <f>HYPERLINK("http://141.218.60.56/~jnz1568/getInfo.php?workbook=18_08.xlsx&amp;sheet=U0&amp;row=6977&amp;col=7&amp;number=0.000223&amp;sourceID=14","0.000223")</f>
        <v>0.000223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HYPERLINK("http://141.218.60.56/~jnz1568/getInfo.php?workbook=18_08.xlsx&amp;sheet=U0&amp;row=6978&amp;col=6&amp;number=4.4&amp;sourceID=14","4.4")</f>
        <v>4.4</v>
      </c>
      <c r="G6978" s="4" t="str">
        <f>HYPERLINK("http://141.218.60.56/~jnz1568/getInfo.php?workbook=18_08.xlsx&amp;sheet=U0&amp;row=6978&amp;col=7&amp;number=0.000222&amp;sourceID=14","0.000222")</f>
        <v>0.000222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HYPERLINK("http://141.218.60.56/~jnz1568/getInfo.php?workbook=18_08.xlsx&amp;sheet=U0&amp;row=6979&amp;col=6&amp;number=4.5&amp;sourceID=14","4.5")</f>
        <v>4.5</v>
      </c>
      <c r="G6979" s="4" t="str">
        <f>HYPERLINK("http://141.218.60.56/~jnz1568/getInfo.php?workbook=18_08.xlsx&amp;sheet=U0&amp;row=6979&amp;col=7&amp;number=0.000221&amp;sourceID=14","0.000221")</f>
        <v>0.000221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HYPERLINK("http://141.218.60.56/~jnz1568/getInfo.php?workbook=18_08.xlsx&amp;sheet=U0&amp;row=6980&amp;col=6&amp;number=4.6&amp;sourceID=14","4.6")</f>
        <v>4.6</v>
      </c>
      <c r="G6980" s="4" t="str">
        <f>HYPERLINK("http://141.218.60.56/~jnz1568/getInfo.php?workbook=18_08.xlsx&amp;sheet=U0&amp;row=6980&amp;col=7&amp;number=0.00022&amp;sourceID=14","0.00022")</f>
        <v>0.00022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HYPERLINK("http://141.218.60.56/~jnz1568/getInfo.php?workbook=18_08.xlsx&amp;sheet=U0&amp;row=6981&amp;col=6&amp;number=4.7&amp;sourceID=14","4.7")</f>
        <v>4.7</v>
      </c>
      <c r="G6981" s="4" t="str">
        <f>HYPERLINK("http://141.218.60.56/~jnz1568/getInfo.php?workbook=18_08.xlsx&amp;sheet=U0&amp;row=6981&amp;col=7&amp;number=0.000219&amp;sourceID=14","0.000219")</f>
        <v>0.000219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HYPERLINK("http://141.218.60.56/~jnz1568/getInfo.php?workbook=18_08.xlsx&amp;sheet=U0&amp;row=6982&amp;col=6&amp;number=4.8&amp;sourceID=14","4.8")</f>
        <v>4.8</v>
      </c>
      <c r="G6982" s="4" t="str">
        <f>HYPERLINK("http://141.218.60.56/~jnz1568/getInfo.php?workbook=18_08.xlsx&amp;sheet=U0&amp;row=6982&amp;col=7&amp;number=0.000217&amp;sourceID=14","0.000217")</f>
        <v>0.000217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HYPERLINK("http://141.218.60.56/~jnz1568/getInfo.php?workbook=18_08.xlsx&amp;sheet=U0&amp;row=6983&amp;col=6&amp;number=4.9&amp;sourceID=14","4.9")</f>
        <v>4.9</v>
      </c>
      <c r="G6983" s="4" t="str">
        <f>HYPERLINK("http://141.218.60.56/~jnz1568/getInfo.php?workbook=18_08.xlsx&amp;sheet=U0&amp;row=6983&amp;col=7&amp;number=0.000216&amp;sourceID=14","0.000216")</f>
        <v>0.000216</v>
      </c>
    </row>
    <row r="6984" spans="1:7">
      <c r="A6984" s="3">
        <v>18</v>
      </c>
      <c r="B6984" s="3">
        <v>8</v>
      </c>
      <c r="C6984" s="3" t="s">
        <v>79</v>
      </c>
      <c r="D6984" s="3">
        <v>1</v>
      </c>
      <c r="E6984" s="3">
        <v>1</v>
      </c>
      <c r="F6984" s="4" t="str">
        <f>HYPERLINK("http://141.218.60.56/~jnz1568/getInfo.php?workbook=18_08.xlsx&amp;sheet=U0&amp;row=6984&amp;col=6&amp;number=3&amp;sourceID=14","3")</f>
        <v>3</v>
      </c>
      <c r="G6984" s="4" t="str">
        <f>HYPERLINK("http://141.218.60.56/~jnz1568/getInfo.php?workbook=18_08.xlsx&amp;sheet=U0&amp;row=6984&amp;col=7&amp;number=0.000212&amp;sourceID=14","0.000212")</f>
        <v>0.000212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HYPERLINK("http://141.218.60.56/~jnz1568/getInfo.php?workbook=18_08.xlsx&amp;sheet=U0&amp;row=6985&amp;col=6&amp;number=3.1&amp;sourceID=14","3.1")</f>
        <v>3.1</v>
      </c>
      <c r="G6985" s="4" t="str">
        <f>HYPERLINK("http://141.218.60.56/~jnz1568/getInfo.php?workbook=18_08.xlsx&amp;sheet=U0&amp;row=6985&amp;col=7&amp;number=0.000212&amp;sourceID=14","0.000212")</f>
        <v>0.000212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HYPERLINK("http://141.218.60.56/~jnz1568/getInfo.php?workbook=18_08.xlsx&amp;sheet=U0&amp;row=6986&amp;col=6&amp;number=3.2&amp;sourceID=14","3.2")</f>
        <v>3.2</v>
      </c>
      <c r="G6986" s="4" t="str">
        <f>HYPERLINK("http://141.218.60.56/~jnz1568/getInfo.php?workbook=18_08.xlsx&amp;sheet=U0&amp;row=6986&amp;col=7&amp;number=0.000212&amp;sourceID=14","0.000212")</f>
        <v>0.000212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HYPERLINK("http://141.218.60.56/~jnz1568/getInfo.php?workbook=18_08.xlsx&amp;sheet=U0&amp;row=6987&amp;col=6&amp;number=3.3&amp;sourceID=14","3.3")</f>
        <v>3.3</v>
      </c>
      <c r="G6987" s="4" t="str">
        <f>HYPERLINK("http://141.218.60.56/~jnz1568/getInfo.php?workbook=18_08.xlsx&amp;sheet=U0&amp;row=6987&amp;col=7&amp;number=0.000212&amp;sourceID=14","0.000212")</f>
        <v>0.000212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HYPERLINK("http://141.218.60.56/~jnz1568/getInfo.php?workbook=18_08.xlsx&amp;sheet=U0&amp;row=6988&amp;col=6&amp;number=3.4&amp;sourceID=14","3.4")</f>
        <v>3.4</v>
      </c>
      <c r="G6988" s="4" t="str">
        <f>HYPERLINK("http://141.218.60.56/~jnz1568/getInfo.php?workbook=18_08.xlsx&amp;sheet=U0&amp;row=6988&amp;col=7&amp;number=0.000212&amp;sourceID=14","0.000212")</f>
        <v>0.000212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HYPERLINK("http://141.218.60.56/~jnz1568/getInfo.php?workbook=18_08.xlsx&amp;sheet=U0&amp;row=6989&amp;col=6&amp;number=3.5&amp;sourceID=14","3.5")</f>
        <v>3.5</v>
      </c>
      <c r="G6989" s="4" t="str">
        <f>HYPERLINK("http://141.218.60.56/~jnz1568/getInfo.php?workbook=18_08.xlsx&amp;sheet=U0&amp;row=6989&amp;col=7&amp;number=0.000212&amp;sourceID=14","0.000212")</f>
        <v>0.000212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HYPERLINK("http://141.218.60.56/~jnz1568/getInfo.php?workbook=18_08.xlsx&amp;sheet=U0&amp;row=6990&amp;col=6&amp;number=3.6&amp;sourceID=14","3.6")</f>
        <v>3.6</v>
      </c>
      <c r="G6990" s="4" t="str">
        <f>HYPERLINK("http://141.218.60.56/~jnz1568/getInfo.php?workbook=18_08.xlsx&amp;sheet=U0&amp;row=6990&amp;col=7&amp;number=0.000212&amp;sourceID=14","0.000212")</f>
        <v>0.000212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HYPERLINK("http://141.218.60.56/~jnz1568/getInfo.php?workbook=18_08.xlsx&amp;sheet=U0&amp;row=6991&amp;col=6&amp;number=3.7&amp;sourceID=14","3.7")</f>
        <v>3.7</v>
      </c>
      <c r="G6991" s="4" t="str">
        <f>HYPERLINK("http://141.218.60.56/~jnz1568/getInfo.php?workbook=18_08.xlsx&amp;sheet=U0&amp;row=6991&amp;col=7&amp;number=0.000212&amp;sourceID=14","0.000212")</f>
        <v>0.000212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HYPERLINK("http://141.218.60.56/~jnz1568/getInfo.php?workbook=18_08.xlsx&amp;sheet=U0&amp;row=6992&amp;col=6&amp;number=3.8&amp;sourceID=14","3.8")</f>
        <v>3.8</v>
      </c>
      <c r="G6992" s="4" t="str">
        <f>HYPERLINK("http://141.218.60.56/~jnz1568/getInfo.php?workbook=18_08.xlsx&amp;sheet=U0&amp;row=6992&amp;col=7&amp;number=0.000212&amp;sourceID=14","0.000212")</f>
        <v>0.000212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HYPERLINK("http://141.218.60.56/~jnz1568/getInfo.php?workbook=18_08.xlsx&amp;sheet=U0&amp;row=6993&amp;col=6&amp;number=3.9&amp;sourceID=14","3.9")</f>
        <v>3.9</v>
      </c>
      <c r="G6993" s="4" t="str">
        <f>HYPERLINK("http://141.218.60.56/~jnz1568/getInfo.php?workbook=18_08.xlsx&amp;sheet=U0&amp;row=6993&amp;col=7&amp;number=0.000212&amp;sourceID=14","0.000212")</f>
        <v>0.000212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HYPERLINK("http://141.218.60.56/~jnz1568/getInfo.php?workbook=18_08.xlsx&amp;sheet=U0&amp;row=6994&amp;col=6&amp;number=4&amp;sourceID=14","4")</f>
        <v>4</v>
      </c>
      <c r="G6994" s="4" t="str">
        <f>HYPERLINK("http://141.218.60.56/~jnz1568/getInfo.php?workbook=18_08.xlsx&amp;sheet=U0&amp;row=6994&amp;col=7&amp;number=0.000212&amp;sourceID=14","0.000212")</f>
        <v>0.000212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HYPERLINK("http://141.218.60.56/~jnz1568/getInfo.php?workbook=18_08.xlsx&amp;sheet=U0&amp;row=6995&amp;col=6&amp;number=4.1&amp;sourceID=14","4.1")</f>
        <v>4.1</v>
      </c>
      <c r="G6995" s="4" t="str">
        <f>HYPERLINK("http://141.218.60.56/~jnz1568/getInfo.php?workbook=18_08.xlsx&amp;sheet=U0&amp;row=6995&amp;col=7&amp;number=0.000212&amp;sourceID=14","0.000212")</f>
        <v>0.000212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HYPERLINK("http://141.218.60.56/~jnz1568/getInfo.php?workbook=18_08.xlsx&amp;sheet=U0&amp;row=6996&amp;col=6&amp;number=4.2&amp;sourceID=14","4.2")</f>
        <v>4.2</v>
      </c>
      <c r="G6996" s="4" t="str">
        <f>HYPERLINK("http://141.218.60.56/~jnz1568/getInfo.php?workbook=18_08.xlsx&amp;sheet=U0&amp;row=6996&amp;col=7&amp;number=0.000211&amp;sourceID=14","0.000211")</f>
        <v>0.000211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HYPERLINK("http://141.218.60.56/~jnz1568/getInfo.php?workbook=18_08.xlsx&amp;sheet=U0&amp;row=6997&amp;col=6&amp;number=4.3&amp;sourceID=14","4.3")</f>
        <v>4.3</v>
      </c>
      <c r="G6997" s="4" t="str">
        <f>HYPERLINK("http://141.218.60.56/~jnz1568/getInfo.php?workbook=18_08.xlsx&amp;sheet=U0&amp;row=6997&amp;col=7&amp;number=0.000211&amp;sourceID=14","0.000211")</f>
        <v>0.000211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HYPERLINK("http://141.218.60.56/~jnz1568/getInfo.php?workbook=18_08.xlsx&amp;sheet=U0&amp;row=6998&amp;col=6&amp;number=4.4&amp;sourceID=14","4.4")</f>
        <v>4.4</v>
      </c>
      <c r="G6998" s="4" t="str">
        <f>HYPERLINK("http://141.218.60.56/~jnz1568/getInfo.php?workbook=18_08.xlsx&amp;sheet=U0&amp;row=6998&amp;col=7&amp;number=0.000211&amp;sourceID=14","0.000211")</f>
        <v>0.000211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HYPERLINK("http://141.218.60.56/~jnz1568/getInfo.php?workbook=18_08.xlsx&amp;sheet=U0&amp;row=6999&amp;col=6&amp;number=4.5&amp;sourceID=14","4.5")</f>
        <v>4.5</v>
      </c>
      <c r="G6999" s="4" t="str">
        <f>HYPERLINK("http://141.218.60.56/~jnz1568/getInfo.php?workbook=18_08.xlsx&amp;sheet=U0&amp;row=6999&amp;col=7&amp;number=0.000211&amp;sourceID=14","0.000211")</f>
        <v>0.000211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HYPERLINK("http://141.218.60.56/~jnz1568/getInfo.php?workbook=18_08.xlsx&amp;sheet=U0&amp;row=7000&amp;col=6&amp;number=4.6&amp;sourceID=14","4.6")</f>
        <v>4.6</v>
      </c>
      <c r="G7000" s="4" t="str">
        <f>HYPERLINK("http://141.218.60.56/~jnz1568/getInfo.php?workbook=18_08.xlsx&amp;sheet=U0&amp;row=7000&amp;col=7&amp;number=0.00021&amp;sourceID=14","0.00021")</f>
        <v>0.00021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HYPERLINK("http://141.218.60.56/~jnz1568/getInfo.php?workbook=18_08.xlsx&amp;sheet=U0&amp;row=7001&amp;col=6&amp;number=4.7&amp;sourceID=14","4.7")</f>
        <v>4.7</v>
      </c>
      <c r="G7001" s="4" t="str">
        <f>HYPERLINK("http://141.218.60.56/~jnz1568/getInfo.php?workbook=18_08.xlsx&amp;sheet=U0&amp;row=7001&amp;col=7&amp;number=0.00021&amp;sourceID=14","0.00021")</f>
        <v>0.00021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HYPERLINK("http://141.218.60.56/~jnz1568/getInfo.php?workbook=18_08.xlsx&amp;sheet=U0&amp;row=7002&amp;col=6&amp;number=4.8&amp;sourceID=14","4.8")</f>
        <v>4.8</v>
      </c>
      <c r="G7002" s="4" t="str">
        <f>HYPERLINK("http://141.218.60.56/~jnz1568/getInfo.php?workbook=18_08.xlsx&amp;sheet=U0&amp;row=7002&amp;col=7&amp;number=0.000209&amp;sourceID=14","0.000209")</f>
        <v>0.000209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HYPERLINK("http://141.218.60.56/~jnz1568/getInfo.php?workbook=18_08.xlsx&amp;sheet=U0&amp;row=7003&amp;col=6&amp;number=4.9&amp;sourceID=14","4.9")</f>
        <v>4.9</v>
      </c>
      <c r="G7003" s="4" t="str">
        <f>HYPERLINK("http://141.218.60.56/~jnz1568/getInfo.php?workbook=18_08.xlsx&amp;sheet=U0&amp;row=7003&amp;col=7&amp;number=0.000208&amp;sourceID=14","0.000208")</f>
        <v>0.000208</v>
      </c>
    </row>
    <row r="7004" spans="1:7">
      <c r="A7004" s="3">
        <v>18</v>
      </c>
      <c r="B7004" s="3">
        <v>8</v>
      </c>
      <c r="C7004" s="3" t="s">
        <v>79</v>
      </c>
      <c r="D7004" s="3">
        <v>2</v>
      </c>
      <c r="E7004" s="3">
        <v>1</v>
      </c>
      <c r="F7004" s="4" t="str">
        <f>HYPERLINK("http://141.218.60.56/~jnz1568/getInfo.php?workbook=18_08.xlsx&amp;sheet=U0&amp;row=7004&amp;col=6&amp;number=3&amp;sourceID=14","3")</f>
        <v>3</v>
      </c>
      <c r="G7004" s="4" t="str">
        <f>HYPERLINK("http://141.218.60.56/~jnz1568/getInfo.php?workbook=18_08.xlsx&amp;sheet=U0&amp;row=7004&amp;col=7&amp;number=6.81e-05&amp;sourceID=14","6.81e-05")</f>
        <v>6.81e-05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HYPERLINK("http://141.218.60.56/~jnz1568/getInfo.php?workbook=18_08.xlsx&amp;sheet=U0&amp;row=7005&amp;col=6&amp;number=3.1&amp;sourceID=14","3.1")</f>
        <v>3.1</v>
      </c>
      <c r="G7005" s="4" t="str">
        <f>HYPERLINK("http://141.218.60.56/~jnz1568/getInfo.php?workbook=18_08.xlsx&amp;sheet=U0&amp;row=7005&amp;col=7&amp;number=6.81e-05&amp;sourceID=14","6.81e-05")</f>
        <v>6.81e-05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HYPERLINK("http://141.218.60.56/~jnz1568/getInfo.php?workbook=18_08.xlsx&amp;sheet=U0&amp;row=7006&amp;col=6&amp;number=3.2&amp;sourceID=14","3.2")</f>
        <v>3.2</v>
      </c>
      <c r="G7006" s="4" t="str">
        <f>HYPERLINK("http://141.218.60.56/~jnz1568/getInfo.php?workbook=18_08.xlsx&amp;sheet=U0&amp;row=7006&amp;col=7&amp;number=6.81e-05&amp;sourceID=14","6.81e-05")</f>
        <v>6.81e-05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HYPERLINK("http://141.218.60.56/~jnz1568/getInfo.php?workbook=18_08.xlsx&amp;sheet=U0&amp;row=7007&amp;col=6&amp;number=3.3&amp;sourceID=14","3.3")</f>
        <v>3.3</v>
      </c>
      <c r="G7007" s="4" t="str">
        <f>HYPERLINK("http://141.218.60.56/~jnz1568/getInfo.php?workbook=18_08.xlsx&amp;sheet=U0&amp;row=7007&amp;col=7&amp;number=6.8e-05&amp;sourceID=14","6.8e-05")</f>
        <v>6.8e-05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HYPERLINK("http://141.218.60.56/~jnz1568/getInfo.php?workbook=18_08.xlsx&amp;sheet=U0&amp;row=7008&amp;col=6&amp;number=3.4&amp;sourceID=14","3.4")</f>
        <v>3.4</v>
      </c>
      <c r="G7008" s="4" t="str">
        <f>HYPERLINK("http://141.218.60.56/~jnz1568/getInfo.php?workbook=18_08.xlsx&amp;sheet=U0&amp;row=7008&amp;col=7&amp;number=6.8e-05&amp;sourceID=14","6.8e-05")</f>
        <v>6.8e-05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HYPERLINK("http://141.218.60.56/~jnz1568/getInfo.php?workbook=18_08.xlsx&amp;sheet=U0&amp;row=7009&amp;col=6&amp;number=3.5&amp;sourceID=14","3.5")</f>
        <v>3.5</v>
      </c>
      <c r="G7009" s="4" t="str">
        <f>HYPERLINK("http://141.218.60.56/~jnz1568/getInfo.php?workbook=18_08.xlsx&amp;sheet=U0&amp;row=7009&amp;col=7&amp;number=6.8e-05&amp;sourceID=14","6.8e-05")</f>
        <v>6.8e-05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HYPERLINK("http://141.218.60.56/~jnz1568/getInfo.php?workbook=18_08.xlsx&amp;sheet=U0&amp;row=7010&amp;col=6&amp;number=3.6&amp;sourceID=14","3.6")</f>
        <v>3.6</v>
      </c>
      <c r="G7010" s="4" t="str">
        <f>HYPERLINK("http://141.218.60.56/~jnz1568/getInfo.php?workbook=18_08.xlsx&amp;sheet=U0&amp;row=7010&amp;col=7&amp;number=6.8e-05&amp;sourceID=14","6.8e-05")</f>
        <v>6.8e-05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HYPERLINK("http://141.218.60.56/~jnz1568/getInfo.php?workbook=18_08.xlsx&amp;sheet=U0&amp;row=7011&amp;col=6&amp;number=3.7&amp;sourceID=14","3.7")</f>
        <v>3.7</v>
      </c>
      <c r="G7011" s="4" t="str">
        <f>HYPERLINK("http://141.218.60.56/~jnz1568/getInfo.php?workbook=18_08.xlsx&amp;sheet=U0&amp;row=7011&amp;col=7&amp;number=6.8e-05&amp;sourceID=14","6.8e-05")</f>
        <v>6.8e-05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HYPERLINK("http://141.218.60.56/~jnz1568/getInfo.php?workbook=18_08.xlsx&amp;sheet=U0&amp;row=7012&amp;col=6&amp;number=3.8&amp;sourceID=14","3.8")</f>
        <v>3.8</v>
      </c>
      <c r="G7012" s="4" t="str">
        <f>HYPERLINK("http://141.218.60.56/~jnz1568/getInfo.php?workbook=18_08.xlsx&amp;sheet=U0&amp;row=7012&amp;col=7&amp;number=6.8e-05&amp;sourceID=14","6.8e-05")</f>
        <v>6.8e-05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HYPERLINK("http://141.218.60.56/~jnz1568/getInfo.php?workbook=18_08.xlsx&amp;sheet=U0&amp;row=7013&amp;col=6&amp;number=3.9&amp;sourceID=14","3.9")</f>
        <v>3.9</v>
      </c>
      <c r="G7013" s="4" t="str">
        <f>HYPERLINK("http://141.218.60.56/~jnz1568/getInfo.php?workbook=18_08.xlsx&amp;sheet=U0&amp;row=7013&amp;col=7&amp;number=6.8e-05&amp;sourceID=14","6.8e-05")</f>
        <v>6.8e-05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HYPERLINK("http://141.218.60.56/~jnz1568/getInfo.php?workbook=18_08.xlsx&amp;sheet=U0&amp;row=7014&amp;col=6&amp;number=4&amp;sourceID=14","4")</f>
        <v>4</v>
      </c>
      <c r="G7014" s="4" t="str">
        <f>HYPERLINK("http://141.218.60.56/~jnz1568/getInfo.php?workbook=18_08.xlsx&amp;sheet=U0&amp;row=7014&amp;col=7&amp;number=6.8e-05&amp;sourceID=14","6.8e-05")</f>
        <v>6.8e-05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HYPERLINK("http://141.218.60.56/~jnz1568/getInfo.php?workbook=18_08.xlsx&amp;sheet=U0&amp;row=7015&amp;col=6&amp;number=4.1&amp;sourceID=14","4.1")</f>
        <v>4.1</v>
      </c>
      <c r="G7015" s="4" t="str">
        <f>HYPERLINK("http://141.218.60.56/~jnz1568/getInfo.php?workbook=18_08.xlsx&amp;sheet=U0&amp;row=7015&amp;col=7&amp;number=6.79e-05&amp;sourceID=14","6.79e-05")</f>
        <v>6.79e-05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HYPERLINK("http://141.218.60.56/~jnz1568/getInfo.php?workbook=18_08.xlsx&amp;sheet=U0&amp;row=7016&amp;col=6&amp;number=4.2&amp;sourceID=14","4.2")</f>
        <v>4.2</v>
      </c>
      <c r="G7016" s="4" t="str">
        <f>HYPERLINK("http://141.218.60.56/~jnz1568/getInfo.php?workbook=18_08.xlsx&amp;sheet=U0&amp;row=7016&amp;col=7&amp;number=6.79e-05&amp;sourceID=14","6.79e-05")</f>
        <v>6.79e-05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HYPERLINK("http://141.218.60.56/~jnz1568/getInfo.php?workbook=18_08.xlsx&amp;sheet=U0&amp;row=7017&amp;col=6&amp;number=4.3&amp;sourceID=14","4.3")</f>
        <v>4.3</v>
      </c>
      <c r="G7017" s="4" t="str">
        <f>HYPERLINK("http://141.218.60.56/~jnz1568/getInfo.php?workbook=18_08.xlsx&amp;sheet=U0&amp;row=7017&amp;col=7&amp;number=6.78e-05&amp;sourceID=14","6.78e-05")</f>
        <v>6.78e-05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HYPERLINK("http://141.218.60.56/~jnz1568/getInfo.php?workbook=18_08.xlsx&amp;sheet=U0&amp;row=7018&amp;col=6&amp;number=4.4&amp;sourceID=14","4.4")</f>
        <v>4.4</v>
      </c>
      <c r="G7018" s="4" t="str">
        <f>HYPERLINK("http://141.218.60.56/~jnz1568/getInfo.php?workbook=18_08.xlsx&amp;sheet=U0&amp;row=7018&amp;col=7&amp;number=6.78e-05&amp;sourceID=14","6.78e-05")</f>
        <v>6.78e-05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HYPERLINK("http://141.218.60.56/~jnz1568/getInfo.php?workbook=18_08.xlsx&amp;sheet=U0&amp;row=7019&amp;col=6&amp;number=4.5&amp;sourceID=14","4.5")</f>
        <v>4.5</v>
      </c>
      <c r="G7019" s="4" t="str">
        <f>HYPERLINK("http://141.218.60.56/~jnz1568/getInfo.php?workbook=18_08.xlsx&amp;sheet=U0&amp;row=7019&amp;col=7&amp;number=6.77e-05&amp;sourceID=14","6.77e-05")</f>
        <v>6.77e-05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HYPERLINK("http://141.218.60.56/~jnz1568/getInfo.php?workbook=18_08.xlsx&amp;sheet=U0&amp;row=7020&amp;col=6&amp;number=4.6&amp;sourceID=14","4.6")</f>
        <v>4.6</v>
      </c>
      <c r="G7020" s="4" t="str">
        <f>HYPERLINK("http://141.218.60.56/~jnz1568/getInfo.php?workbook=18_08.xlsx&amp;sheet=U0&amp;row=7020&amp;col=7&amp;number=6.76e-05&amp;sourceID=14","6.76e-05")</f>
        <v>6.76e-05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HYPERLINK("http://141.218.60.56/~jnz1568/getInfo.php?workbook=18_08.xlsx&amp;sheet=U0&amp;row=7021&amp;col=6&amp;number=4.7&amp;sourceID=14","4.7")</f>
        <v>4.7</v>
      </c>
      <c r="G7021" s="4" t="str">
        <f>HYPERLINK("http://141.218.60.56/~jnz1568/getInfo.php?workbook=18_08.xlsx&amp;sheet=U0&amp;row=7021&amp;col=7&amp;number=6.75e-05&amp;sourceID=14","6.75e-05")</f>
        <v>6.75e-05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HYPERLINK("http://141.218.60.56/~jnz1568/getInfo.php?workbook=18_08.xlsx&amp;sheet=U0&amp;row=7022&amp;col=6&amp;number=4.8&amp;sourceID=14","4.8")</f>
        <v>4.8</v>
      </c>
      <c r="G7022" s="4" t="str">
        <f>HYPERLINK("http://141.218.60.56/~jnz1568/getInfo.php?workbook=18_08.xlsx&amp;sheet=U0&amp;row=7022&amp;col=7&amp;number=6.73e-05&amp;sourceID=14","6.73e-05")</f>
        <v>6.73e-05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HYPERLINK("http://141.218.60.56/~jnz1568/getInfo.php?workbook=18_08.xlsx&amp;sheet=U0&amp;row=7023&amp;col=6&amp;number=4.9&amp;sourceID=14","4.9")</f>
        <v>4.9</v>
      </c>
      <c r="G7023" s="4" t="str">
        <f>HYPERLINK("http://141.218.60.56/~jnz1568/getInfo.php?workbook=18_08.xlsx&amp;sheet=U0&amp;row=7023&amp;col=7&amp;number=6.72e-05&amp;sourceID=14","6.72e-05")</f>
        <v>6.72e-05</v>
      </c>
    </row>
    <row r="7024" spans="1:7">
      <c r="A7024" s="3">
        <v>18</v>
      </c>
      <c r="B7024" s="3">
        <v>8</v>
      </c>
      <c r="C7024" s="3" t="s">
        <v>79</v>
      </c>
      <c r="D7024" s="3">
        <v>3</v>
      </c>
      <c r="E7024" s="3">
        <v>1</v>
      </c>
      <c r="F7024" s="4" t="str">
        <f>HYPERLINK("http://141.218.60.56/~jnz1568/getInfo.php?workbook=18_08.xlsx&amp;sheet=U0&amp;row=7024&amp;col=6&amp;number=3&amp;sourceID=14","3")</f>
        <v>3</v>
      </c>
      <c r="G7024" s="4" t="str">
        <f>HYPERLINK("http://141.218.60.56/~jnz1568/getInfo.php?workbook=18_08.xlsx&amp;sheet=U0&amp;row=7024&amp;col=7&amp;number=0.000506&amp;sourceID=14","0.000506")</f>
        <v>0.000506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HYPERLINK("http://141.218.60.56/~jnz1568/getInfo.php?workbook=18_08.xlsx&amp;sheet=U0&amp;row=7025&amp;col=6&amp;number=3.1&amp;sourceID=14","3.1")</f>
        <v>3.1</v>
      </c>
      <c r="G7025" s="4" t="str">
        <f>HYPERLINK("http://141.218.60.56/~jnz1568/getInfo.php?workbook=18_08.xlsx&amp;sheet=U0&amp;row=7025&amp;col=7&amp;number=0.000506&amp;sourceID=14","0.000506")</f>
        <v>0.000506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HYPERLINK("http://141.218.60.56/~jnz1568/getInfo.php?workbook=18_08.xlsx&amp;sheet=U0&amp;row=7026&amp;col=6&amp;number=3.2&amp;sourceID=14","3.2")</f>
        <v>3.2</v>
      </c>
      <c r="G7026" s="4" t="str">
        <f>HYPERLINK("http://141.218.60.56/~jnz1568/getInfo.php?workbook=18_08.xlsx&amp;sheet=U0&amp;row=7026&amp;col=7&amp;number=0.000506&amp;sourceID=14","0.000506")</f>
        <v>0.000506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HYPERLINK("http://141.218.60.56/~jnz1568/getInfo.php?workbook=18_08.xlsx&amp;sheet=U0&amp;row=7027&amp;col=6&amp;number=3.3&amp;sourceID=14","3.3")</f>
        <v>3.3</v>
      </c>
      <c r="G7027" s="4" t="str">
        <f>HYPERLINK("http://141.218.60.56/~jnz1568/getInfo.php?workbook=18_08.xlsx&amp;sheet=U0&amp;row=7027&amp;col=7&amp;number=0.000506&amp;sourceID=14","0.000506")</f>
        <v>0.000506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HYPERLINK("http://141.218.60.56/~jnz1568/getInfo.php?workbook=18_08.xlsx&amp;sheet=U0&amp;row=7028&amp;col=6&amp;number=3.4&amp;sourceID=14","3.4")</f>
        <v>3.4</v>
      </c>
      <c r="G7028" s="4" t="str">
        <f>HYPERLINK("http://141.218.60.56/~jnz1568/getInfo.php?workbook=18_08.xlsx&amp;sheet=U0&amp;row=7028&amp;col=7&amp;number=0.000506&amp;sourceID=14","0.000506")</f>
        <v>0.000506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HYPERLINK("http://141.218.60.56/~jnz1568/getInfo.php?workbook=18_08.xlsx&amp;sheet=U0&amp;row=7029&amp;col=6&amp;number=3.5&amp;sourceID=14","3.5")</f>
        <v>3.5</v>
      </c>
      <c r="G7029" s="4" t="str">
        <f>HYPERLINK("http://141.218.60.56/~jnz1568/getInfo.php?workbook=18_08.xlsx&amp;sheet=U0&amp;row=7029&amp;col=7&amp;number=0.000506&amp;sourceID=14","0.000506")</f>
        <v>0.000506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HYPERLINK("http://141.218.60.56/~jnz1568/getInfo.php?workbook=18_08.xlsx&amp;sheet=U0&amp;row=7030&amp;col=6&amp;number=3.6&amp;sourceID=14","3.6")</f>
        <v>3.6</v>
      </c>
      <c r="G7030" s="4" t="str">
        <f>HYPERLINK("http://141.218.60.56/~jnz1568/getInfo.php?workbook=18_08.xlsx&amp;sheet=U0&amp;row=7030&amp;col=7&amp;number=0.000506&amp;sourceID=14","0.000506")</f>
        <v>0.000506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HYPERLINK("http://141.218.60.56/~jnz1568/getInfo.php?workbook=18_08.xlsx&amp;sheet=U0&amp;row=7031&amp;col=6&amp;number=3.7&amp;sourceID=14","3.7")</f>
        <v>3.7</v>
      </c>
      <c r="G7031" s="4" t="str">
        <f>HYPERLINK("http://141.218.60.56/~jnz1568/getInfo.php?workbook=18_08.xlsx&amp;sheet=U0&amp;row=7031&amp;col=7&amp;number=0.000506&amp;sourceID=14","0.000506")</f>
        <v>0.000506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HYPERLINK("http://141.218.60.56/~jnz1568/getInfo.php?workbook=18_08.xlsx&amp;sheet=U0&amp;row=7032&amp;col=6&amp;number=3.8&amp;sourceID=14","3.8")</f>
        <v>3.8</v>
      </c>
      <c r="G7032" s="4" t="str">
        <f>HYPERLINK("http://141.218.60.56/~jnz1568/getInfo.php?workbook=18_08.xlsx&amp;sheet=U0&amp;row=7032&amp;col=7&amp;number=0.000506&amp;sourceID=14","0.000506")</f>
        <v>0.000506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HYPERLINK("http://141.218.60.56/~jnz1568/getInfo.php?workbook=18_08.xlsx&amp;sheet=U0&amp;row=7033&amp;col=6&amp;number=3.9&amp;sourceID=14","3.9")</f>
        <v>3.9</v>
      </c>
      <c r="G7033" s="4" t="str">
        <f>HYPERLINK("http://141.218.60.56/~jnz1568/getInfo.php?workbook=18_08.xlsx&amp;sheet=U0&amp;row=7033&amp;col=7&amp;number=0.000505&amp;sourceID=14","0.000505")</f>
        <v>0.000505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HYPERLINK("http://141.218.60.56/~jnz1568/getInfo.php?workbook=18_08.xlsx&amp;sheet=U0&amp;row=7034&amp;col=6&amp;number=4&amp;sourceID=14","4")</f>
        <v>4</v>
      </c>
      <c r="G7034" s="4" t="str">
        <f>HYPERLINK("http://141.218.60.56/~jnz1568/getInfo.php?workbook=18_08.xlsx&amp;sheet=U0&amp;row=7034&amp;col=7&amp;number=0.000505&amp;sourceID=14","0.000505")</f>
        <v>0.000505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HYPERLINK("http://141.218.60.56/~jnz1568/getInfo.php?workbook=18_08.xlsx&amp;sheet=U0&amp;row=7035&amp;col=6&amp;number=4.1&amp;sourceID=14","4.1")</f>
        <v>4.1</v>
      </c>
      <c r="G7035" s="4" t="str">
        <f>HYPERLINK("http://141.218.60.56/~jnz1568/getInfo.php?workbook=18_08.xlsx&amp;sheet=U0&amp;row=7035&amp;col=7&amp;number=0.000505&amp;sourceID=14","0.000505")</f>
        <v>0.000505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HYPERLINK("http://141.218.60.56/~jnz1568/getInfo.php?workbook=18_08.xlsx&amp;sheet=U0&amp;row=7036&amp;col=6&amp;number=4.2&amp;sourceID=14","4.2")</f>
        <v>4.2</v>
      </c>
      <c r="G7036" s="4" t="str">
        <f>HYPERLINK("http://141.218.60.56/~jnz1568/getInfo.php?workbook=18_08.xlsx&amp;sheet=U0&amp;row=7036&amp;col=7&amp;number=0.000505&amp;sourceID=14","0.000505")</f>
        <v>0.000505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HYPERLINK("http://141.218.60.56/~jnz1568/getInfo.php?workbook=18_08.xlsx&amp;sheet=U0&amp;row=7037&amp;col=6&amp;number=4.3&amp;sourceID=14","4.3")</f>
        <v>4.3</v>
      </c>
      <c r="G7037" s="4" t="str">
        <f>HYPERLINK("http://141.218.60.56/~jnz1568/getInfo.php?workbook=18_08.xlsx&amp;sheet=U0&amp;row=7037&amp;col=7&amp;number=0.000504&amp;sourceID=14","0.000504")</f>
        <v>0.000504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HYPERLINK("http://141.218.60.56/~jnz1568/getInfo.php?workbook=18_08.xlsx&amp;sheet=U0&amp;row=7038&amp;col=6&amp;number=4.4&amp;sourceID=14","4.4")</f>
        <v>4.4</v>
      </c>
      <c r="G7038" s="4" t="str">
        <f>HYPERLINK("http://141.218.60.56/~jnz1568/getInfo.php?workbook=18_08.xlsx&amp;sheet=U0&amp;row=7038&amp;col=7&amp;number=0.000503&amp;sourceID=14","0.000503")</f>
        <v>0.000503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HYPERLINK("http://141.218.60.56/~jnz1568/getInfo.php?workbook=18_08.xlsx&amp;sheet=U0&amp;row=7039&amp;col=6&amp;number=4.5&amp;sourceID=14","4.5")</f>
        <v>4.5</v>
      </c>
      <c r="G7039" s="4" t="str">
        <f>HYPERLINK("http://141.218.60.56/~jnz1568/getInfo.php?workbook=18_08.xlsx&amp;sheet=U0&amp;row=7039&amp;col=7&amp;number=0.000503&amp;sourceID=14","0.000503")</f>
        <v>0.000503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HYPERLINK("http://141.218.60.56/~jnz1568/getInfo.php?workbook=18_08.xlsx&amp;sheet=U0&amp;row=7040&amp;col=6&amp;number=4.6&amp;sourceID=14","4.6")</f>
        <v>4.6</v>
      </c>
      <c r="G7040" s="4" t="str">
        <f>HYPERLINK("http://141.218.60.56/~jnz1568/getInfo.php?workbook=18_08.xlsx&amp;sheet=U0&amp;row=7040&amp;col=7&amp;number=0.000502&amp;sourceID=14","0.000502")</f>
        <v>0.000502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HYPERLINK("http://141.218.60.56/~jnz1568/getInfo.php?workbook=18_08.xlsx&amp;sheet=U0&amp;row=7041&amp;col=6&amp;number=4.7&amp;sourceID=14","4.7")</f>
        <v>4.7</v>
      </c>
      <c r="G7041" s="4" t="str">
        <f>HYPERLINK("http://141.218.60.56/~jnz1568/getInfo.php?workbook=18_08.xlsx&amp;sheet=U0&amp;row=7041&amp;col=7&amp;number=0.000501&amp;sourceID=14","0.000501")</f>
        <v>0.000501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HYPERLINK("http://141.218.60.56/~jnz1568/getInfo.php?workbook=18_08.xlsx&amp;sheet=U0&amp;row=7042&amp;col=6&amp;number=4.8&amp;sourceID=14","4.8")</f>
        <v>4.8</v>
      </c>
      <c r="G7042" s="4" t="str">
        <f>HYPERLINK("http://141.218.60.56/~jnz1568/getInfo.php?workbook=18_08.xlsx&amp;sheet=U0&amp;row=7042&amp;col=7&amp;number=0.000499&amp;sourceID=14","0.000499")</f>
        <v>0.000499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HYPERLINK("http://141.218.60.56/~jnz1568/getInfo.php?workbook=18_08.xlsx&amp;sheet=U0&amp;row=7043&amp;col=6&amp;number=4.9&amp;sourceID=14","4.9")</f>
        <v>4.9</v>
      </c>
      <c r="G7043" s="4" t="str">
        <f>HYPERLINK("http://141.218.60.56/~jnz1568/getInfo.php?workbook=18_08.xlsx&amp;sheet=U0&amp;row=7043&amp;col=7&amp;number=0.000497&amp;sourceID=14","0.000497")</f>
        <v>0.000497</v>
      </c>
    </row>
    <row r="7044" spans="1:7">
      <c r="A7044" s="3">
        <v>18</v>
      </c>
      <c r="B7044" s="3">
        <v>8</v>
      </c>
      <c r="C7044" s="3" t="s">
        <v>79</v>
      </c>
      <c r="D7044" s="3">
        <v>4</v>
      </c>
      <c r="E7044" s="3">
        <v>1</v>
      </c>
      <c r="F7044" s="4" t="str">
        <f>HYPERLINK("http://141.218.60.56/~jnz1568/getInfo.php?workbook=18_08.xlsx&amp;sheet=U0&amp;row=7044&amp;col=6&amp;number=3&amp;sourceID=14","3")</f>
        <v>3</v>
      </c>
      <c r="G7044" s="4" t="str">
        <f>HYPERLINK("http://141.218.60.56/~jnz1568/getInfo.php?workbook=18_08.xlsx&amp;sheet=U0&amp;row=7044&amp;col=7&amp;number=0.00165&amp;sourceID=14","0.00165")</f>
        <v>0.00165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HYPERLINK("http://141.218.60.56/~jnz1568/getInfo.php?workbook=18_08.xlsx&amp;sheet=U0&amp;row=7045&amp;col=6&amp;number=3.1&amp;sourceID=14","3.1")</f>
        <v>3.1</v>
      </c>
      <c r="G7045" s="4" t="str">
        <f>HYPERLINK("http://141.218.60.56/~jnz1568/getInfo.php?workbook=18_08.xlsx&amp;sheet=U0&amp;row=7045&amp;col=7&amp;number=0.00165&amp;sourceID=14","0.00165")</f>
        <v>0.00165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HYPERLINK("http://141.218.60.56/~jnz1568/getInfo.php?workbook=18_08.xlsx&amp;sheet=U0&amp;row=7046&amp;col=6&amp;number=3.2&amp;sourceID=14","3.2")</f>
        <v>3.2</v>
      </c>
      <c r="G7046" s="4" t="str">
        <f>HYPERLINK("http://141.218.60.56/~jnz1568/getInfo.php?workbook=18_08.xlsx&amp;sheet=U0&amp;row=7046&amp;col=7&amp;number=0.00165&amp;sourceID=14","0.00165")</f>
        <v>0.00165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HYPERLINK("http://141.218.60.56/~jnz1568/getInfo.php?workbook=18_08.xlsx&amp;sheet=U0&amp;row=7047&amp;col=6&amp;number=3.3&amp;sourceID=14","3.3")</f>
        <v>3.3</v>
      </c>
      <c r="G7047" s="4" t="str">
        <f>HYPERLINK("http://141.218.60.56/~jnz1568/getInfo.php?workbook=18_08.xlsx&amp;sheet=U0&amp;row=7047&amp;col=7&amp;number=0.00165&amp;sourceID=14","0.00165")</f>
        <v>0.00165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HYPERLINK("http://141.218.60.56/~jnz1568/getInfo.php?workbook=18_08.xlsx&amp;sheet=U0&amp;row=7048&amp;col=6&amp;number=3.4&amp;sourceID=14","3.4")</f>
        <v>3.4</v>
      </c>
      <c r="G7048" s="4" t="str">
        <f>HYPERLINK("http://141.218.60.56/~jnz1568/getInfo.php?workbook=18_08.xlsx&amp;sheet=U0&amp;row=7048&amp;col=7&amp;number=0.00165&amp;sourceID=14","0.00165")</f>
        <v>0.00165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HYPERLINK("http://141.218.60.56/~jnz1568/getInfo.php?workbook=18_08.xlsx&amp;sheet=U0&amp;row=7049&amp;col=6&amp;number=3.5&amp;sourceID=14","3.5")</f>
        <v>3.5</v>
      </c>
      <c r="G7049" s="4" t="str">
        <f>HYPERLINK("http://141.218.60.56/~jnz1568/getInfo.php?workbook=18_08.xlsx&amp;sheet=U0&amp;row=7049&amp;col=7&amp;number=0.00165&amp;sourceID=14","0.00165")</f>
        <v>0.00165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HYPERLINK("http://141.218.60.56/~jnz1568/getInfo.php?workbook=18_08.xlsx&amp;sheet=U0&amp;row=7050&amp;col=6&amp;number=3.6&amp;sourceID=14","3.6")</f>
        <v>3.6</v>
      </c>
      <c r="G7050" s="4" t="str">
        <f>HYPERLINK("http://141.218.60.56/~jnz1568/getInfo.php?workbook=18_08.xlsx&amp;sheet=U0&amp;row=7050&amp;col=7&amp;number=0.00165&amp;sourceID=14","0.00165")</f>
        <v>0.00165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HYPERLINK("http://141.218.60.56/~jnz1568/getInfo.php?workbook=18_08.xlsx&amp;sheet=U0&amp;row=7051&amp;col=6&amp;number=3.7&amp;sourceID=14","3.7")</f>
        <v>3.7</v>
      </c>
      <c r="G7051" s="4" t="str">
        <f>HYPERLINK("http://141.218.60.56/~jnz1568/getInfo.php?workbook=18_08.xlsx&amp;sheet=U0&amp;row=7051&amp;col=7&amp;number=0.00165&amp;sourceID=14","0.00165")</f>
        <v>0.00165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HYPERLINK("http://141.218.60.56/~jnz1568/getInfo.php?workbook=18_08.xlsx&amp;sheet=U0&amp;row=7052&amp;col=6&amp;number=3.8&amp;sourceID=14","3.8")</f>
        <v>3.8</v>
      </c>
      <c r="G7052" s="4" t="str">
        <f>HYPERLINK("http://141.218.60.56/~jnz1568/getInfo.php?workbook=18_08.xlsx&amp;sheet=U0&amp;row=7052&amp;col=7&amp;number=0.00165&amp;sourceID=14","0.00165")</f>
        <v>0.00165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HYPERLINK("http://141.218.60.56/~jnz1568/getInfo.php?workbook=18_08.xlsx&amp;sheet=U0&amp;row=7053&amp;col=6&amp;number=3.9&amp;sourceID=14","3.9")</f>
        <v>3.9</v>
      </c>
      <c r="G7053" s="4" t="str">
        <f>HYPERLINK("http://141.218.60.56/~jnz1568/getInfo.php?workbook=18_08.xlsx&amp;sheet=U0&amp;row=7053&amp;col=7&amp;number=0.00165&amp;sourceID=14","0.00165")</f>
        <v>0.00165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HYPERLINK("http://141.218.60.56/~jnz1568/getInfo.php?workbook=18_08.xlsx&amp;sheet=U0&amp;row=7054&amp;col=6&amp;number=4&amp;sourceID=14","4")</f>
        <v>4</v>
      </c>
      <c r="G7054" s="4" t="str">
        <f>HYPERLINK("http://141.218.60.56/~jnz1568/getInfo.php?workbook=18_08.xlsx&amp;sheet=U0&amp;row=7054&amp;col=7&amp;number=0.00165&amp;sourceID=14","0.00165")</f>
        <v>0.00165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HYPERLINK("http://141.218.60.56/~jnz1568/getInfo.php?workbook=18_08.xlsx&amp;sheet=U0&amp;row=7055&amp;col=6&amp;number=4.1&amp;sourceID=14","4.1")</f>
        <v>4.1</v>
      </c>
      <c r="G7055" s="4" t="str">
        <f>HYPERLINK("http://141.218.60.56/~jnz1568/getInfo.php?workbook=18_08.xlsx&amp;sheet=U0&amp;row=7055&amp;col=7&amp;number=0.00164&amp;sourceID=14","0.00164")</f>
        <v>0.00164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HYPERLINK("http://141.218.60.56/~jnz1568/getInfo.php?workbook=18_08.xlsx&amp;sheet=U0&amp;row=7056&amp;col=6&amp;number=4.2&amp;sourceID=14","4.2")</f>
        <v>4.2</v>
      </c>
      <c r="G7056" s="4" t="str">
        <f>HYPERLINK("http://141.218.60.56/~jnz1568/getInfo.php?workbook=18_08.xlsx&amp;sheet=U0&amp;row=7056&amp;col=7&amp;number=0.00164&amp;sourceID=14","0.00164")</f>
        <v>0.00164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HYPERLINK("http://141.218.60.56/~jnz1568/getInfo.php?workbook=18_08.xlsx&amp;sheet=U0&amp;row=7057&amp;col=6&amp;number=4.3&amp;sourceID=14","4.3")</f>
        <v>4.3</v>
      </c>
      <c r="G7057" s="4" t="str">
        <f>HYPERLINK("http://141.218.60.56/~jnz1568/getInfo.php?workbook=18_08.xlsx&amp;sheet=U0&amp;row=7057&amp;col=7&amp;number=0.00164&amp;sourceID=14","0.00164")</f>
        <v>0.00164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HYPERLINK("http://141.218.60.56/~jnz1568/getInfo.php?workbook=18_08.xlsx&amp;sheet=U0&amp;row=7058&amp;col=6&amp;number=4.4&amp;sourceID=14","4.4")</f>
        <v>4.4</v>
      </c>
      <c r="G7058" s="4" t="str">
        <f>HYPERLINK("http://141.218.60.56/~jnz1568/getInfo.php?workbook=18_08.xlsx&amp;sheet=U0&amp;row=7058&amp;col=7&amp;number=0.00164&amp;sourceID=14","0.00164")</f>
        <v>0.00164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HYPERLINK("http://141.218.60.56/~jnz1568/getInfo.php?workbook=18_08.xlsx&amp;sheet=U0&amp;row=7059&amp;col=6&amp;number=4.5&amp;sourceID=14","4.5")</f>
        <v>4.5</v>
      </c>
      <c r="G7059" s="4" t="str">
        <f>HYPERLINK("http://141.218.60.56/~jnz1568/getInfo.php?workbook=18_08.xlsx&amp;sheet=U0&amp;row=7059&amp;col=7&amp;number=0.00164&amp;sourceID=14","0.00164")</f>
        <v>0.00164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HYPERLINK("http://141.218.60.56/~jnz1568/getInfo.php?workbook=18_08.xlsx&amp;sheet=U0&amp;row=7060&amp;col=6&amp;number=4.6&amp;sourceID=14","4.6")</f>
        <v>4.6</v>
      </c>
      <c r="G7060" s="4" t="str">
        <f>HYPERLINK("http://141.218.60.56/~jnz1568/getInfo.php?workbook=18_08.xlsx&amp;sheet=U0&amp;row=7060&amp;col=7&amp;number=0.00163&amp;sourceID=14","0.00163")</f>
        <v>0.00163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HYPERLINK("http://141.218.60.56/~jnz1568/getInfo.php?workbook=18_08.xlsx&amp;sheet=U0&amp;row=7061&amp;col=6&amp;number=4.7&amp;sourceID=14","4.7")</f>
        <v>4.7</v>
      </c>
      <c r="G7061" s="4" t="str">
        <f>HYPERLINK("http://141.218.60.56/~jnz1568/getInfo.php?workbook=18_08.xlsx&amp;sheet=U0&amp;row=7061&amp;col=7&amp;number=0.00163&amp;sourceID=14","0.00163")</f>
        <v>0.00163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HYPERLINK("http://141.218.60.56/~jnz1568/getInfo.php?workbook=18_08.xlsx&amp;sheet=U0&amp;row=7062&amp;col=6&amp;number=4.8&amp;sourceID=14","4.8")</f>
        <v>4.8</v>
      </c>
      <c r="G7062" s="4" t="str">
        <f>HYPERLINK("http://141.218.60.56/~jnz1568/getInfo.php?workbook=18_08.xlsx&amp;sheet=U0&amp;row=7062&amp;col=7&amp;number=0.00163&amp;sourceID=14","0.00163")</f>
        <v>0.00163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HYPERLINK("http://141.218.60.56/~jnz1568/getInfo.php?workbook=18_08.xlsx&amp;sheet=U0&amp;row=7063&amp;col=6&amp;number=4.9&amp;sourceID=14","4.9")</f>
        <v>4.9</v>
      </c>
      <c r="G7063" s="4" t="str">
        <f>HYPERLINK("http://141.218.60.56/~jnz1568/getInfo.php?workbook=18_08.xlsx&amp;sheet=U0&amp;row=7063&amp;col=7&amp;number=0.00162&amp;sourceID=14","0.00162")</f>
        <v>0.00162</v>
      </c>
    </row>
    <row r="7064" spans="1:7">
      <c r="A7064" s="3">
        <v>18</v>
      </c>
      <c r="B7064" s="3">
        <v>8</v>
      </c>
      <c r="C7064" s="3" t="s">
        <v>79</v>
      </c>
      <c r="D7064" s="3">
        <v>5</v>
      </c>
      <c r="E7064" s="3">
        <v>1</v>
      </c>
      <c r="F7064" s="4" t="str">
        <f>HYPERLINK("http://141.218.60.56/~jnz1568/getInfo.php?workbook=18_08.xlsx&amp;sheet=U0&amp;row=7064&amp;col=6&amp;number=3&amp;sourceID=14","3")</f>
        <v>3</v>
      </c>
      <c r="G7064" s="4" t="str">
        <f>HYPERLINK("http://141.218.60.56/~jnz1568/getInfo.php?workbook=18_08.xlsx&amp;sheet=U0&amp;row=7064&amp;col=7&amp;number=0.00343&amp;sourceID=14","0.00343")</f>
        <v>0.00343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HYPERLINK("http://141.218.60.56/~jnz1568/getInfo.php?workbook=18_08.xlsx&amp;sheet=U0&amp;row=7065&amp;col=6&amp;number=3.1&amp;sourceID=14","3.1")</f>
        <v>3.1</v>
      </c>
      <c r="G7065" s="4" t="str">
        <f>HYPERLINK("http://141.218.60.56/~jnz1568/getInfo.php?workbook=18_08.xlsx&amp;sheet=U0&amp;row=7065&amp;col=7&amp;number=0.00343&amp;sourceID=14","0.00343")</f>
        <v>0.00343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HYPERLINK("http://141.218.60.56/~jnz1568/getInfo.php?workbook=18_08.xlsx&amp;sheet=U0&amp;row=7066&amp;col=6&amp;number=3.2&amp;sourceID=14","3.2")</f>
        <v>3.2</v>
      </c>
      <c r="G7066" s="4" t="str">
        <f>HYPERLINK("http://141.218.60.56/~jnz1568/getInfo.php?workbook=18_08.xlsx&amp;sheet=U0&amp;row=7066&amp;col=7&amp;number=0.00343&amp;sourceID=14","0.00343")</f>
        <v>0.00343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HYPERLINK("http://141.218.60.56/~jnz1568/getInfo.php?workbook=18_08.xlsx&amp;sheet=U0&amp;row=7067&amp;col=6&amp;number=3.3&amp;sourceID=14","3.3")</f>
        <v>3.3</v>
      </c>
      <c r="G7067" s="4" t="str">
        <f>HYPERLINK("http://141.218.60.56/~jnz1568/getInfo.php?workbook=18_08.xlsx&amp;sheet=U0&amp;row=7067&amp;col=7&amp;number=0.00343&amp;sourceID=14","0.00343")</f>
        <v>0.00343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HYPERLINK("http://141.218.60.56/~jnz1568/getInfo.php?workbook=18_08.xlsx&amp;sheet=U0&amp;row=7068&amp;col=6&amp;number=3.4&amp;sourceID=14","3.4")</f>
        <v>3.4</v>
      </c>
      <c r="G7068" s="4" t="str">
        <f>HYPERLINK("http://141.218.60.56/~jnz1568/getInfo.php?workbook=18_08.xlsx&amp;sheet=U0&amp;row=7068&amp;col=7&amp;number=0.00343&amp;sourceID=14","0.00343")</f>
        <v>0.00343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HYPERLINK("http://141.218.60.56/~jnz1568/getInfo.php?workbook=18_08.xlsx&amp;sheet=U0&amp;row=7069&amp;col=6&amp;number=3.5&amp;sourceID=14","3.5")</f>
        <v>3.5</v>
      </c>
      <c r="G7069" s="4" t="str">
        <f>HYPERLINK("http://141.218.60.56/~jnz1568/getInfo.php?workbook=18_08.xlsx&amp;sheet=U0&amp;row=7069&amp;col=7&amp;number=0.00343&amp;sourceID=14","0.00343")</f>
        <v>0.00343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HYPERLINK("http://141.218.60.56/~jnz1568/getInfo.php?workbook=18_08.xlsx&amp;sheet=U0&amp;row=7070&amp;col=6&amp;number=3.6&amp;sourceID=14","3.6")</f>
        <v>3.6</v>
      </c>
      <c r="G7070" s="4" t="str">
        <f>HYPERLINK("http://141.218.60.56/~jnz1568/getInfo.php?workbook=18_08.xlsx&amp;sheet=U0&amp;row=7070&amp;col=7&amp;number=0.00343&amp;sourceID=14","0.00343")</f>
        <v>0.00343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HYPERLINK("http://141.218.60.56/~jnz1568/getInfo.php?workbook=18_08.xlsx&amp;sheet=U0&amp;row=7071&amp;col=6&amp;number=3.7&amp;sourceID=14","3.7")</f>
        <v>3.7</v>
      </c>
      <c r="G7071" s="4" t="str">
        <f>HYPERLINK("http://141.218.60.56/~jnz1568/getInfo.php?workbook=18_08.xlsx&amp;sheet=U0&amp;row=7071&amp;col=7&amp;number=0.00343&amp;sourceID=14","0.00343")</f>
        <v>0.00343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HYPERLINK("http://141.218.60.56/~jnz1568/getInfo.php?workbook=18_08.xlsx&amp;sheet=U0&amp;row=7072&amp;col=6&amp;number=3.8&amp;sourceID=14","3.8")</f>
        <v>3.8</v>
      </c>
      <c r="G7072" s="4" t="str">
        <f>HYPERLINK("http://141.218.60.56/~jnz1568/getInfo.php?workbook=18_08.xlsx&amp;sheet=U0&amp;row=7072&amp;col=7&amp;number=0.00343&amp;sourceID=14","0.00343")</f>
        <v>0.00343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HYPERLINK("http://141.218.60.56/~jnz1568/getInfo.php?workbook=18_08.xlsx&amp;sheet=U0&amp;row=7073&amp;col=6&amp;number=3.9&amp;sourceID=14","3.9")</f>
        <v>3.9</v>
      </c>
      <c r="G7073" s="4" t="str">
        <f>HYPERLINK("http://141.218.60.56/~jnz1568/getInfo.php?workbook=18_08.xlsx&amp;sheet=U0&amp;row=7073&amp;col=7&amp;number=0.00343&amp;sourceID=14","0.00343")</f>
        <v>0.00343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HYPERLINK("http://141.218.60.56/~jnz1568/getInfo.php?workbook=18_08.xlsx&amp;sheet=U0&amp;row=7074&amp;col=6&amp;number=4&amp;sourceID=14","4")</f>
        <v>4</v>
      </c>
      <c r="G7074" s="4" t="str">
        <f>HYPERLINK("http://141.218.60.56/~jnz1568/getInfo.php?workbook=18_08.xlsx&amp;sheet=U0&amp;row=7074&amp;col=7&amp;number=0.00343&amp;sourceID=14","0.00343")</f>
        <v>0.00343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HYPERLINK("http://141.218.60.56/~jnz1568/getInfo.php?workbook=18_08.xlsx&amp;sheet=U0&amp;row=7075&amp;col=6&amp;number=4.1&amp;sourceID=14","4.1")</f>
        <v>4.1</v>
      </c>
      <c r="G7075" s="4" t="str">
        <f>HYPERLINK("http://141.218.60.56/~jnz1568/getInfo.php?workbook=18_08.xlsx&amp;sheet=U0&amp;row=7075&amp;col=7&amp;number=0.00342&amp;sourceID=14","0.00342")</f>
        <v>0.00342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HYPERLINK("http://141.218.60.56/~jnz1568/getInfo.php?workbook=18_08.xlsx&amp;sheet=U0&amp;row=7076&amp;col=6&amp;number=4.2&amp;sourceID=14","4.2")</f>
        <v>4.2</v>
      </c>
      <c r="G7076" s="4" t="str">
        <f>HYPERLINK("http://141.218.60.56/~jnz1568/getInfo.php?workbook=18_08.xlsx&amp;sheet=U0&amp;row=7076&amp;col=7&amp;number=0.00342&amp;sourceID=14","0.00342")</f>
        <v>0.00342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HYPERLINK("http://141.218.60.56/~jnz1568/getInfo.php?workbook=18_08.xlsx&amp;sheet=U0&amp;row=7077&amp;col=6&amp;number=4.3&amp;sourceID=14","4.3")</f>
        <v>4.3</v>
      </c>
      <c r="G7077" s="4" t="str">
        <f>HYPERLINK("http://141.218.60.56/~jnz1568/getInfo.php?workbook=18_08.xlsx&amp;sheet=U0&amp;row=7077&amp;col=7&amp;number=0.00342&amp;sourceID=14","0.00342")</f>
        <v>0.00342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HYPERLINK("http://141.218.60.56/~jnz1568/getInfo.php?workbook=18_08.xlsx&amp;sheet=U0&amp;row=7078&amp;col=6&amp;number=4.4&amp;sourceID=14","4.4")</f>
        <v>4.4</v>
      </c>
      <c r="G7078" s="4" t="str">
        <f>HYPERLINK("http://141.218.60.56/~jnz1568/getInfo.php?workbook=18_08.xlsx&amp;sheet=U0&amp;row=7078&amp;col=7&amp;number=0.00341&amp;sourceID=14","0.00341")</f>
        <v>0.00341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HYPERLINK("http://141.218.60.56/~jnz1568/getInfo.php?workbook=18_08.xlsx&amp;sheet=U0&amp;row=7079&amp;col=6&amp;number=4.5&amp;sourceID=14","4.5")</f>
        <v>4.5</v>
      </c>
      <c r="G7079" s="4" t="str">
        <f>HYPERLINK("http://141.218.60.56/~jnz1568/getInfo.php?workbook=18_08.xlsx&amp;sheet=U0&amp;row=7079&amp;col=7&amp;number=0.00341&amp;sourceID=14","0.00341")</f>
        <v>0.00341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HYPERLINK("http://141.218.60.56/~jnz1568/getInfo.php?workbook=18_08.xlsx&amp;sheet=U0&amp;row=7080&amp;col=6&amp;number=4.6&amp;sourceID=14","4.6")</f>
        <v>4.6</v>
      </c>
      <c r="G7080" s="4" t="str">
        <f>HYPERLINK("http://141.218.60.56/~jnz1568/getInfo.php?workbook=18_08.xlsx&amp;sheet=U0&amp;row=7080&amp;col=7&amp;number=0.0034&amp;sourceID=14","0.0034")</f>
        <v>0.0034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HYPERLINK("http://141.218.60.56/~jnz1568/getInfo.php?workbook=18_08.xlsx&amp;sheet=U0&amp;row=7081&amp;col=6&amp;number=4.7&amp;sourceID=14","4.7")</f>
        <v>4.7</v>
      </c>
      <c r="G7081" s="4" t="str">
        <f>HYPERLINK("http://141.218.60.56/~jnz1568/getInfo.php?workbook=18_08.xlsx&amp;sheet=U0&amp;row=7081&amp;col=7&amp;number=0.0034&amp;sourceID=14","0.0034")</f>
        <v>0.0034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HYPERLINK("http://141.218.60.56/~jnz1568/getInfo.php?workbook=18_08.xlsx&amp;sheet=U0&amp;row=7082&amp;col=6&amp;number=4.8&amp;sourceID=14","4.8")</f>
        <v>4.8</v>
      </c>
      <c r="G7082" s="4" t="str">
        <f>HYPERLINK("http://141.218.60.56/~jnz1568/getInfo.php?workbook=18_08.xlsx&amp;sheet=U0&amp;row=7082&amp;col=7&amp;number=0.00339&amp;sourceID=14","0.00339")</f>
        <v>0.00339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HYPERLINK("http://141.218.60.56/~jnz1568/getInfo.php?workbook=18_08.xlsx&amp;sheet=U0&amp;row=7083&amp;col=6&amp;number=4.9&amp;sourceID=14","4.9")</f>
        <v>4.9</v>
      </c>
      <c r="G7083" s="4" t="str">
        <f>HYPERLINK("http://141.218.60.56/~jnz1568/getInfo.php?workbook=18_08.xlsx&amp;sheet=U0&amp;row=7083&amp;col=7&amp;number=0.00337&amp;sourceID=14","0.00337")</f>
        <v>0.00337</v>
      </c>
    </row>
    <row r="7084" spans="1:7">
      <c r="A7084" s="3">
        <v>18</v>
      </c>
      <c r="B7084" s="3">
        <v>8</v>
      </c>
      <c r="C7084" s="3" t="s">
        <v>79</v>
      </c>
      <c r="D7084" s="3">
        <v>6</v>
      </c>
      <c r="E7084" s="3">
        <v>1</v>
      </c>
      <c r="F7084" s="4" t="str">
        <f>HYPERLINK("http://141.218.60.56/~jnz1568/getInfo.php?workbook=18_08.xlsx&amp;sheet=U0&amp;row=7084&amp;col=6&amp;number=3&amp;sourceID=14","3")</f>
        <v>3</v>
      </c>
      <c r="G7084" s="4" t="str">
        <f>HYPERLINK("http://141.218.60.56/~jnz1568/getInfo.php?workbook=18_08.xlsx&amp;sheet=U0&amp;row=7084&amp;col=7&amp;number=0.00247&amp;sourceID=14","0.00247")</f>
        <v>0.00247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HYPERLINK("http://141.218.60.56/~jnz1568/getInfo.php?workbook=18_08.xlsx&amp;sheet=U0&amp;row=7085&amp;col=6&amp;number=3.1&amp;sourceID=14","3.1")</f>
        <v>3.1</v>
      </c>
      <c r="G7085" s="4" t="str">
        <f>HYPERLINK("http://141.218.60.56/~jnz1568/getInfo.php?workbook=18_08.xlsx&amp;sheet=U0&amp;row=7085&amp;col=7&amp;number=0.00248&amp;sourceID=14","0.00248")</f>
        <v>0.00248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HYPERLINK("http://141.218.60.56/~jnz1568/getInfo.php?workbook=18_08.xlsx&amp;sheet=U0&amp;row=7086&amp;col=6&amp;number=3.2&amp;sourceID=14","3.2")</f>
        <v>3.2</v>
      </c>
      <c r="G7086" s="4" t="str">
        <f>HYPERLINK("http://141.218.60.56/~jnz1568/getInfo.php?workbook=18_08.xlsx&amp;sheet=U0&amp;row=7086&amp;col=7&amp;number=0.00248&amp;sourceID=14","0.00248")</f>
        <v>0.00248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HYPERLINK("http://141.218.60.56/~jnz1568/getInfo.php?workbook=18_08.xlsx&amp;sheet=U0&amp;row=7087&amp;col=6&amp;number=3.3&amp;sourceID=14","3.3")</f>
        <v>3.3</v>
      </c>
      <c r="G7087" s="4" t="str">
        <f>HYPERLINK("http://141.218.60.56/~jnz1568/getInfo.php?workbook=18_08.xlsx&amp;sheet=U0&amp;row=7087&amp;col=7&amp;number=0.00248&amp;sourceID=14","0.00248")</f>
        <v>0.00248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HYPERLINK("http://141.218.60.56/~jnz1568/getInfo.php?workbook=18_08.xlsx&amp;sheet=U0&amp;row=7088&amp;col=6&amp;number=3.4&amp;sourceID=14","3.4")</f>
        <v>3.4</v>
      </c>
      <c r="G7088" s="4" t="str">
        <f>HYPERLINK("http://141.218.60.56/~jnz1568/getInfo.php?workbook=18_08.xlsx&amp;sheet=U0&amp;row=7088&amp;col=7&amp;number=0.00248&amp;sourceID=14","0.00248")</f>
        <v>0.00248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HYPERLINK("http://141.218.60.56/~jnz1568/getInfo.php?workbook=18_08.xlsx&amp;sheet=U0&amp;row=7089&amp;col=6&amp;number=3.5&amp;sourceID=14","3.5")</f>
        <v>3.5</v>
      </c>
      <c r="G7089" s="4" t="str">
        <f>HYPERLINK("http://141.218.60.56/~jnz1568/getInfo.php?workbook=18_08.xlsx&amp;sheet=U0&amp;row=7089&amp;col=7&amp;number=0.00248&amp;sourceID=14","0.00248")</f>
        <v>0.00248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HYPERLINK("http://141.218.60.56/~jnz1568/getInfo.php?workbook=18_08.xlsx&amp;sheet=U0&amp;row=7090&amp;col=6&amp;number=3.6&amp;sourceID=14","3.6")</f>
        <v>3.6</v>
      </c>
      <c r="G7090" s="4" t="str">
        <f>HYPERLINK("http://141.218.60.56/~jnz1568/getInfo.php?workbook=18_08.xlsx&amp;sheet=U0&amp;row=7090&amp;col=7&amp;number=0.00248&amp;sourceID=14","0.00248")</f>
        <v>0.00248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HYPERLINK("http://141.218.60.56/~jnz1568/getInfo.php?workbook=18_08.xlsx&amp;sheet=U0&amp;row=7091&amp;col=6&amp;number=3.7&amp;sourceID=14","3.7")</f>
        <v>3.7</v>
      </c>
      <c r="G7091" s="4" t="str">
        <f>HYPERLINK("http://141.218.60.56/~jnz1568/getInfo.php?workbook=18_08.xlsx&amp;sheet=U0&amp;row=7091&amp;col=7&amp;number=0.00248&amp;sourceID=14","0.00248")</f>
        <v>0.00248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HYPERLINK("http://141.218.60.56/~jnz1568/getInfo.php?workbook=18_08.xlsx&amp;sheet=U0&amp;row=7092&amp;col=6&amp;number=3.8&amp;sourceID=14","3.8")</f>
        <v>3.8</v>
      </c>
      <c r="G7092" s="4" t="str">
        <f>HYPERLINK("http://141.218.60.56/~jnz1568/getInfo.php?workbook=18_08.xlsx&amp;sheet=U0&amp;row=7092&amp;col=7&amp;number=0.00249&amp;sourceID=14","0.00249")</f>
        <v>0.00249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HYPERLINK("http://141.218.60.56/~jnz1568/getInfo.php?workbook=18_08.xlsx&amp;sheet=U0&amp;row=7093&amp;col=6&amp;number=3.9&amp;sourceID=14","3.9")</f>
        <v>3.9</v>
      </c>
      <c r="G7093" s="4" t="str">
        <f>HYPERLINK("http://141.218.60.56/~jnz1568/getInfo.php?workbook=18_08.xlsx&amp;sheet=U0&amp;row=7093&amp;col=7&amp;number=0.00249&amp;sourceID=14","0.00249")</f>
        <v>0.00249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HYPERLINK("http://141.218.60.56/~jnz1568/getInfo.php?workbook=18_08.xlsx&amp;sheet=U0&amp;row=7094&amp;col=6&amp;number=4&amp;sourceID=14","4")</f>
        <v>4</v>
      </c>
      <c r="G7094" s="4" t="str">
        <f>HYPERLINK("http://141.218.60.56/~jnz1568/getInfo.php?workbook=18_08.xlsx&amp;sheet=U0&amp;row=7094&amp;col=7&amp;number=0.0025&amp;sourceID=14","0.0025")</f>
        <v>0.0025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HYPERLINK("http://141.218.60.56/~jnz1568/getInfo.php?workbook=18_08.xlsx&amp;sheet=U0&amp;row=7095&amp;col=6&amp;number=4.1&amp;sourceID=14","4.1")</f>
        <v>4.1</v>
      </c>
      <c r="G7095" s="4" t="str">
        <f>HYPERLINK("http://141.218.60.56/~jnz1568/getInfo.php?workbook=18_08.xlsx&amp;sheet=U0&amp;row=7095&amp;col=7&amp;number=0.0025&amp;sourceID=14","0.0025")</f>
        <v>0.0025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HYPERLINK("http://141.218.60.56/~jnz1568/getInfo.php?workbook=18_08.xlsx&amp;sheet=U0&amp;row=7096&amp;col=6&amp;number=4.2&amp;sourceID=14","4.2")</f>
        <v>4.2</v>
      </c>
      <c r="G7096" s="4" t="str">
        <f>HYPERLINK("http://141.218.60.56/~jnz1568/getInfo.php?workbook=18_08.xlsx&amp;sheet=U0&amp;row=7096&amp;col=7&amp;number=0.00251&amp;sourceID=14","0.00251")</f>
        <v>0.00251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HYPERLINK("http://141.218.60.56/~jnz1568/getInfo.php?workbook=18_08.xlsx&amp;sheet=U0&amp;row=7097&amp;col=6&amp;number=4.3&amp;sourceID=14","4.3")</f>
        <v>4.3</v>
      </c>
      <c r="G7097" s="4" t="str">
        <f>HYPERLINK("http://141.218.60.56/~jnz1568/getInfo.php?workbook=18_08.xlsx&amp;sheet=U0&amp;row=7097&amp;col=7&amp;number=0.00252&amp;sourceID=14","0.00252")</f>
        <v>0.00252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HYPERLINK("http://141.218.60.56/~jnz1568/getInfo.php?workbook=18_08.xlsx&amp;sheet=U0&amp;row=7098&amp;col=6&amp;number=4.4&amp;sourceID=14","4.4")</f>
        <v>4.4</v>
      </c>
      <c r="G7098" s="4" t="str">
        <f>HYPERLINK("http://141.218.60.56/~jnz1568/getInfo.php?workbook=18_08.xlsx&amp;sheet=U0&amp;row=7098&amp;col=7&amp;number=0.00253&amp;sourceID=14","0.00253")</f>
        <v>0.00253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HYPERLINK("http://141.218.60.56/~jnz1568/getInfo.php?workbook=18_08.xlsx&amp;sheet=U0&amp;row=7099&amp;col=6&amp;number=4.5&amp;sourceID=14","4.5")</f>
        <v>4.5</v>
      </c>
      <c r="G7099" s="4" t="str">
        <f>HYPERLINK("http://141.218.60.56/~jnz1568/getInfo.php?workbook=18_08.xlsx&amp;sheet=U0&amp;row=7099&amp;col=7&amp;number=0.00255&amp;sourceID=14","0.00255")</f>
        <v>0.00255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HYPERLINK("http://141.218.60.56/~jnz1568/getInfo.php?workbook=18_08.xlsx&amp;sheet=U0&amp;row=7100&amp;col=6&amp;number=4.6&amp;sourceID=14","4.6")</f>
        <v>4.6</v>
      </c>
      <c r="G7100" s="4" t="str">
        <f>HYPERLINK("http://141.218.60.56/~jnz1568/getInfo.php?workbook=18_08.xlsx&amp;sheet=U0&amp;row=7100&amp;col=7&amp;number=0.00257&amp;sourceID=14","0.00257")</f>
        <v>0.00257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HYPERLINK("http://141.218.60.56/~jnz1568/getInfo.php?workbook=18_08.xlsx&amp;sheet=U0&amp;row=7101&amp;col=6&amp;number=4.7&amp;sourceID=14","4.7")</f>
        <v>4.7</v>
      </c>
      <c r="G7101" s="4" t="str">
        <f>HYPERLINK("http://141.218.60.56/~jnz1568/getInfo.php?workbook=18_08.xlsx&amp;sheet=U0&amp;row=7101&amp;col=7&amp;number=0.0026&amp;sourceID=14","0.0026")</f>
        <v>0.0026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HYPERLINK("http://141.218.60.56/~jnz1568/getInfo.php?workbook=18_08.xlsx&amp;sheet=U0&amp;row=7102&amp;col=6&amp;number=4.8&amp;sourceID=14","4.8")</f>
        <v>4.8</v>
      </c>
      <c r="G7102" s="4" t="str">
        <f>HYPERLINK("http://141.218.60.56/~jnz1568/getInfo.php?workbook=18_08.xlsx&amp;sheet=U0&amp;row=7102&amp;col=7&amp;number=0.00263&amp;sourceID=14","0.00263")</f>
        <v>0.00263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HYPERLINK("http://141.218.60.56/~jnz1568/getInfo.php?workbook=18_08.xlsx&amp;sheet=U0&amp;row=7103&amp;col=6&amp;number=4.9&amp;sourceID=14","4.9")</f>
        <v>4.9</v>
      </c>
      <c r="G7103" s="4" t="str">
        <f>HYPERLINK("http://141.218.60.56/~jnz1568/getInfo.php?workbook=18_08.xlsx&amp;sheet=U0&amp;row=7103&amp;col=7&amp;number=0.00267&amp;sourceID=14","0.00267")</f>
        <v>0.00267</v>
      </c>
    </row>
    <row r="7104" spans="1:7">
      <c r="A7104" s="3">
        <v>18</v>
      </c>
      <c r="B7104" s="3">
        <v>8</v>
      </c>
      <c r="C7104" s="3" t="s">
        <v>79</v>
      </c>
      <c r="D7104" s="3">
        <v>7</v>
      </c>
      <c r="E7104" s="3">
        <v>1</v>
      </c>
      <c r="F7104" s="4" t="str">
        <f>HYPERLINK("http://141.218.60.56/~jnz1568/getInfo.php?workbook=18_08.xlsx&amp;sheet=U0&amp;row=7104&amp;col=6&amp;number=3&amp;sourceID=14","3")</f>
        <v>3</v>
      </c>
      <c r="G7104" s="4" t="str">
        <f>HYPERLINK("http://141.218.60.56/~jnz1568/getInfo.php?workbook=18_08.xlsx&amp;sheet=U0&amp;row=7104&amp;col=7&amp;number=0.000173&amp;sourceID=14","0.000173")</f>
        <v>0.000173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HYPERLINK("http://141.218.60.56/~jnz1568/getInfo.php?workbook=18_08.xlsx&amp;sheet=U0&amp;row=7105&amp;col=6&amp;number=3.1&amp;sourceID=14","3.1")</f>
        <v>3.1</v>
      </c>
      <c r="G7105" s="4" t="str">
        <f>HYPERLINK("http://141.218.60.56/~jnz1568/getInfo.php?workbook=18_08.xlsx&amp;sheet=U0&amp;row=7105&amp;col=7&amp;number=0.000173&amp;sourceID=14","0.000173")</f>
        <v>0.000173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HYPERLINK("http://141.218.60.56/~jnz1568/getInfo.php?workbook=18_08.xlsx&amp;sheet=U0&amp;row=7106&amp;col=6&amp;number=3.2&amp;sourceID=14","3.2")</f>
        <v>3.2</v>
      </c>
      <c r="G7106" s="4" t="str">
        <f>HYPERLINK("http://141.218.60.56/~jnz1568/getInfo.php?workbook=18_08.xlsx&amp;sheet=U0&amp;row=7106&amp;col=7&amp;number=0.000173&amp;sourceID=14","0.000173")</f>
        <v>0.000173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HYPERLINK("http://141.218.60.56/~jnz1568/getInfo.php?workbook=18_08.xlsx&amp;sheet=U0&amp;row=7107&amp;col=6&amp;number=3.3&amp;sourceID=14","3.3")</f>
        <v>3.3</v>
      </c>
      <c r="G7107" s="4" t="str">
        <f>HYPERLINK("http://141.218.60.56/~jnz1568/getInfo.php?workbook=18_08.xlsx&amp;sheet=U0&amp;row=7107&amp;col=7&amp;number=0.000173&amp;sourceID=14","0.000173")</f>
        <v>0.000173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HYPERLINK("http://141.218.60.56/~jnz1568/getInfo.php?workbook=18_08.xlsx&amp;sheet=U0&amp;row=7108&amp;col=6&amp;number=3.4&amp;sourceID=14","3.4")</f>
        <v>3.4</v>
      </c>
      <c r="G7108" s="4" t="str">
        <f>HYPERLINK("http://141.218.60.56/~jnz1568/getInfo.php?workbook=18_08.xlsx&amp;sheet=U0&amp;row=7108&amp;col=7&amp;number=0.000173&amp;sourceID=14","0.000173")</f>
        <v>0.000173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HYPERLINK("http://141.218.60.56/~jnz1568/getInfo.php?workbook=18_08.xlsx&amp;sheet=U0&amp;row=7109&amp;col=6&amp;number=3.5&amp;sourceID=14","3.5")</f>
        <v>3.5</v>
      </c>
      <c r="G7109" s="4" t="str">
        <f>HYPERLINK("http://141.218.60.56/~jnz1568/getInfo.php?workbook=18_08.xlsx&amp;sheet=U0&amp;row=7109&amp;col=7&amp;number=0.000173&amp;sourceID=14","0.000173")</f>
        <v>0.000173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HYPERLINK("http://141.218.60.56/~jnz1568/getInfo.php?workbook=18_08.xlsx&amp;sheet=U0&amp;row=7110&amp;col=6&amp;number=3.6&amp;sourceID=14","3.6")</f>
        <v>3.6</v>
      </c>
      <c r="G7110" s="4" t="str">
        <f>HYPERLINK("http://141.218.60.56/~jnz1568/getInfo.php?workbook=18_08.xlsx&amp;sheet=U0&amp;row=7110&amp;col=7&amp;number=0.000173&amp;sourceID=14","0.000173")</f>
        <v>0.000173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HYPERLINK("http://141.218.60.56/~jnz1568/getInfo.php?workbook=18_08.xlsx&amp;sheet=U0&amp;row=7111&amp;col=6&amp;number=3.7&amp;sourceID=14","3.7")</f>
        <v>3.7</v>
      </c>
      <c r="G7111" s="4" t="str">
        <f>HYPERLINK("http://141.218.60.56/~jnz1568/getInfo.php?workbook=18_08.xlsx&amp;sheet=U0&amp;row=7111&amp;col=7&amp;number=0.000173&amp;sourceID=14","0.000173")</f>
        <v>0.000173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HYPERLINK("http://141.218.60.56/~jnz1568/getInfo.php?workbook=18_08.xlsx&amp;sheet=U0&amp;row=7112&amp;col=6&amp;number=3.8&amp;sourceID=14","3.8")</f>
        <v>3.8</v>
      </c>
      <c r="G7112" s="4" t="str">
        <f>HYPERLINK("http://141.218.60.56/~jnz1568/getInfo.php?workbook=18_08.xlsx&amp;sheet=U0&amp;row=7112&amp;col=7&amp;number=0.000173&amp;sourceID=14","0.000173")</f>
        <v>0.000173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HYPERLINK("http://141.218.60.56/~jnz1568/getInfo.php?workbook=18_08.xlsx&amp;sheet=U0&amp;row=7113&amp;col=6&amp;number=3.9&amp;sourceID=14","3.9")</f>
        <v>3.9</v>
      </c>
      <c r="G7113" s="4" t="str">
        <f>HYPERLINK("http://141.218.60.56/~jnz1568/getInfo.php?workbook=18_08.xlsx&amp;sheet=U0&amp;row=7113&amp;col=7&amp;number=0.000173&amp;sourceID=14","0.000173")</f>
        <v>0.000173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HYPERLINK("http://141.218.60.56/~jnz1568/getInfo.php?workbook=18_08.xlsx&amp;sheet=U0&amp;row=7114&amp;col=6&amp;number=4&amp;sourceID=14","4")</f>
        <v>4</v>
      </c>
      <c r="G7114" s="4" t="str">
        <f>HYPERLINK("http://141.218.60.56/~jnz1568/getInfo.php?workbook=18_08.xlsx&amp;sheet=U0&amp;row=7114&amp;col=7&amp;number=0.000173&amp;sourceID=14","0.000173")</f>
        <v>0.000173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HYPERLINK("http://141.218.60.56/~jnz1568/getInfo.php?workbook=18_08.xlsx&amp;sheet=U0&amp;row=7115&amp;col=6&amp;number=4.1&amp;sourceID=14","4.1")</f>
        <v>4.1</v>
      </c>
      <c r="G7115" s="4" t="str">
        <f>HYPERLINK("http://141.218.60.56/~jnz1568/getInfo.php?workbook=18_08.xlsx&amp;sheet=U0&amp;row=7115&amp;col=7&amp;number=0.000173&amp;sourceID=14","0.000173")</f>
        <v>0.000173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HYPERLINK("http://141.218.60.56/~jnz1568/getInfo.php?workbook=18_08.xlsx&amp;sheet=U0&amp;row=7116&amp;col=6&amp;number=4.2&amp;sourceID=14","4.2")</f>
        <v>4.2</v>
      </c>
      <c r="G7116" s="4" t="str">
        <f>HYPERLINK("http://141.218.60.56/~jnz1568/getInfo.php?workbook=18_08.xlsx&amp;sheet=U0&amp;row=7116&amp;col=7&amp;number=0.000173&amp;sourceID=14","0.000173")</f>
        <v>0.000173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HYPERLINK("http://141.218.60.56/~jnz1568/getInfo.php?workbook=18_08.xlsx&amp;sheet=U0&amp;row=7117&amp;col=6&amp;number=4.3&amp;sourceID=14","4.3")</f>
        <v>4.3</v>
      </c>
      <c r="G7117" s="4" t="str">
        <f>HYPERLINK("http://141.218.60.56/~jnz1568/getInfo.php?workbook=18_08.xlsx&amp;sheet=U0&amp;row=7117&amp;col=7&amp;number=0.000172&amp;sourceID=14","0.000172")</f>
        <v>0.000172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HYPERLINK("http://141.218.60.56/~jnz1568/getInfo.php?workbook=18_08.xlsx&amp;sheet=U0&amp;row=7118&amp;col=6&amp;number=4.4&amp;sourceID=14","4.4")</f>
        <v>4.4</v>
      </c>
      <c r="G7118" s="4" t="str">
        <f>HYPERLINK("http://141.218.60.56/~jnz1568/getInfo.php?workbook=18_08.xlsx&amp;sheet=U0&amp;row=7118&amp;col=7&amp;number=0.000172&amp;sourceID=14","0.000172")</f>
        <v>0.000172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HYPERLINK("http://141.218.60.56/~jnz1568/getInfo.php?workbook=18_08.xlsx&amp;sheet=U0&amp;row=7119&amp;col=6&amp;number=4.5&amp;sourceID=14","4.5")</f>
        <v>4.5</v>
      </c>
      <c r="G7119" s="4" t="str">
        <f>HYPERLINK("http://141.218.60.56/~jnz1568/getInfo.php?workbook=18_08.xlsx&amp;sheet=U0&amp;row=7119&amp;col=7&amp;number=0.000172&amp;sourceID=14","0.000172")</f>
        <v>0.000172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HYPERLINK("http://141.218.60.56/~jnz1568/getInfo.php?workbook=18_08.xlsx&amp;sheet=U0&amp;row=7120&amp;col=6&amp;number=4.6&amp;sourceID=14","4.6")</f>
        <v>4.6</v>
      </c>
      <c r="G7120" s="4" t="str">
        <f>HYPERLINK("http://141.218.60.56/~jnz1568/getInfo.php?workbook=18_08.xlsx&amp;sheet=U0&amp;row=7120&amp;col=7&amp;number=0.000172&amp;sourceID=14","0.000172")</f>
        <v>0.000172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HYPERLINK("http://141.218.60.56/~jnz1568/getInfo.php?workbook=18_08.xlsx&amp;sheet=U0&amp;row=7121&amp;col=6&amp;number=4.7&amp;sourceID=14","4.7")</f>
        <v>4.7</v>
      </c>
      <c r="G7121" s="4" t="str">
        <f>HYPERLINK("http://141.218.60.56/~jnz1568/getInfo.php?workbook=18_08.xlsx&amp;sheet=U0&amp;row=7121&amp;col=7&amp;number=0.000171&amp;sourceID=14","0.000171")</f>
        <v>0.000171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HYPERLINK("http://141.218.60.56/~jnz1568/getInfo.php?workbook=18_08.xlsx&amp;sheet=U0&amp;row=7122&amp;col=6&amp;number=4.8&amp;sourceID=14","4.8")</f>
        <v>4.8</v>
      </c>
      <c r="G7122" s="4" t="str">
        <f>HYPERLINK("http://141.218.60.56/~jnz1568/getInfo.php?workbook=18_08.xlsx&amp;sheet=U0&amp;row=7122&amp;col=7&amp;number=0.000171&amp;sourceID=14","0.000171")</f>
        <v>0.000171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HYPERLINK("http://141.218.60.56/~jnz1568/getInfo.php?workbook=18_08.xlsx&amp;sheet=U0&amp;row=7123&amp;col=6&amp;number=4.9&amp;sourceID=14","4.9")</f>
        <v>4.9</v>
      </c>
      <c r="G7123" s="4" t="str">
        <f>HYPERLINK("http://141.218.60.56/~jnz1568/getInfo.php?workbook=18_08.xlsx&amp;sheet=U0&amp;row=7123&amp;col=7&amp;number=0.00017&amp;sourceID=14","0.00017")</f>
        <v>0.00017</v>
      </c>
    </row>
    <row r="7124" spans="1:7">
      <c r="A7124" s="3">
        <v>18</v>
      </c>
      <c r="B7124" s="3">
        <v>8</v>
      </c>
      <c r="C7124" s="3" t="s">
        <v>79</v>
      </c>
      <c r="D7124" s="3">
        <v>8</v>
      </c>
      <c r="E7124" s="3">
        <v>1</v>
      </c>
      <c r="F7124" s="4" t="str">
        <f>HYPERLINK("http://141.218.60.56/~jnz1568/getInfo.php?workbook=18_08.xlsx&amp;sheet=U0&amp;row=7124&amp;col=6&amp;number=3&amp;sourceID=14","3")</f>
        <v>3</v>
      </c>
      <c r="G7124" s="4" t="str">
        <f>HYPERLINK("http://141.218.60.56/~jnz1568/getInfo.php?workbook=18_08.xlsx&amp;sheet=U0&amp;row=7124&amp;col=7&amp;number=0.000161&amp;sourceID=14","0.000161")</f>
        <v>0.000161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HYPERLINK("http://141.218.60.56/~jnz1568/getInfo.php?workbook=18_08.xlsx&amp;sheet=U0&amp;row=7125&amp;col=6&amp;number=3.1&amp;sourceID=14","3.1")</f>
        <v>3.1</v>
      </c>
      <c r="G7125" s="4" t="str">
        <f>HYPERLINK("http://141.218.60.56/~jnz1568/getInfo.php?workbook=18_08.xlsx&amp;sheet=U0&amp;row=7125&amp;col=7&amp;number=0.000161&amp;sourceID=14","0.000161")</f>
        <v>0.000161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HYPERLINK("http://141.218.60.56/~jnz1568/getInfo.php?workbook=18_08.xlsx&amp;sheet=U0&amp;row=7126&amp;col=6&amp;number=3.2&amp;sourceID=14","3.2")</f>
        <v>3.2</v>
      </c>
      <c r="G7126" s="4" t="str">
        <f>HYPERLINK("http://141.218.60.56/~jnz1568/getInfo.php?workbook=18_08.xlsx&amp;sheet=U0&amp;row=7126&amp;col=7&amp;number=0.000161&amp;sourceID=14","0.000161")</f>
        <v>0.000161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HYPERLINK("http://141.218.60.56/~jnz1568/getInfo.php?workbook=18_08.xlsx&amp;sheet=U0&amp;row=7127&amp;col=6&amp;number=3.3&amp;sourceID=14","3.3")</f>
        <v>3.3</v>
      </c>
      <c r="G7127" s="4" t="str">
        <f>HYPERLINK("http://141.218.60.56/~jnz1568/getInfo.php?workbook=18_08.xlsx&amp;sheet=U0&amp;row=7127&amp;col=7&amp;number=0.000161&amp;sourceID=14","0.000161")</f>
        <v>0.000161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HYPERLINK("http://141.218.60.56/~jnz1568/getInfo.php?workbook=18_08.xlsx&amp;sheet=U0&amp;row=7128&amp;col=6&amp;number=3.4&amp;sourceID=14","3.4")</f>
        <v>3.4</v>
      </c>
      <c r="G7128" s="4" t="str">
        <f>HYPERLINK("http://141.218.60.56/~jnz1568/getInfo.php?workbook=18_08.xlsx&amp;sheet=U0&amp;row=7128&amp;col=7&amp;number=0.000161&amp;sourceID=14","0.000161")</f>
        <v>0.000161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HYPERLINK("http://141.218.60.56/~jnz1568/getInfo.php?workbook=18_08.xlsx&amp;sheet=U0&amp;row=7129&amp;col=6&amp;number=3.5&amp;sourceID=14","3.5")</f>
        <v>3.5</v>
      </c>
      <c r="G7129" s="4" t="str">
        <f>HYPERLINK("http://141.218.60.56/~jnz1568/getInfo.php?workbook=18_08.xlsx&amp;sheet=U0&amp;row=7129&amp;col=7&amp;number=0.000161&amp;sourceID=14","0.000161")</f>
        <v>0.000161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HYPERLINK("http://141.218.60.56/~jnz1568/getInfo.php?workbook=18_08.xlsx&amp;sheet=U0&amp;row=7130&amp;col=6&amp;number=3.6&amp;sourceID=14","3.6")</f>
        <v>3.6</v>
      </c>
      <c r="G7130" s="4" t="str">
        <f>HYPERLINK("http://141.218.60.56/~jnz1568/getInfo.php?workbook=18_08.xlsx&amp;sheet=U0&amp;row=7130&amp;col=7&amp;number=0.000161&amp;sourceID=14","0.000161")</f>
        <v>0.000161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HYPERLINK("http://141.218.60.56/~jnz1568/getInfo.php?workbook=18_08.xlsx&amp;sheet=U0&amp;row=7131&amp;col=6&amp;number=3.7&amp;sourceID=14","3.7")</f>
        <v>3.7</v>
      </c>
      <c r="G7131" s="4" t="str">
        <f>HYPERLINK("http://141.218.60.56/~jnz1568/getInfo.php?workbook=18_08.xlsx&amp;sheet=U0&amp;row=7131&amp;col=7&amp;number=0.000161&amp;sourceID=14","0.000161")</f>
        <v>0.000161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HYPERLINK("http://141.218.60.56/~jnz1568/getInfo.php?workbook=18_08.xlsx&amp;sheet=U0&amp;row=7132&amp;col=6&amp;number=3.8&amp;sourceID=14","3.8")</f>
        <v>3.8</v>
      </c>
      <c r="G7132" s="4" t="str">
        <f>HYPERLINK("http://141.218.60.56/~jnz1568/getInfo.php?workbook=18_08.xlsx&amp;sheet=U0&amp;row=7132&amp;col=7&amp;number=0.000161&amp;sourceID=14","0.000161")</f>
        <v>0.000161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HYPERLINK("http://141.218.60.56/~jnz1568/getInfo.php?workbook=18_08.xlsx&amp;sheet=U0&amp;row=7133&amp;col=6&amp;number=3.9&amp;sourceID=14","3.9")</f>
        <v>3.9</v>
      </c>
      <c r="G7133" s="4" t="str">
        <f>HYPERLINK("http://141.218.60.56/~jnz1568/getInfo.php?workbook=18_08.xlsx&amp;sheet=U0&amp;row=7133&amp;col=7&amp;number=0.000161&amp;sourceID=14","0.000161")</f>
        <v>0.000161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HYPERLINK("http://141.218.60.56/~jnz1568/getInfo.php?workbook=18_08.xlsx&amp;sheet=U0&amp;row=7134&amp;col=6&amp;number=4&amp;sourceID=14","4")</f>
        <v>4</v>
      </c>
      <c r="G7134" s="4" t="str">
        <f>HYPERLINK("http://141.218.60.56/~jnz1568/getInfo.php?workbook=18_08.xlsx&amp;sheet=U0&amp;row=7134&amp;col=7&amp;number=0.000161&amp;sourceID=14","0.000161")</f>
        <v>0.000161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HYPERLINK("http://141.218.60.56/~jnz1568/getInfo.php?workbook=18_08.xlsx&amp;sheet=U0&amp;row=7135&amp;col=6&amp;number=4.1&amp;sourceID=14","4.1")</f>
        <v>4.1</v>
      </c>
      <c r="G7135" s="4" t="str">
        <f>HYPERLINK("http://141.218.60.56/~jnz1568/getInfo.php?workbook=18_08.xlsx&amp;sheet=U0&amp;row=7135&amp;col=7&amp;number=0.000161&amp;sourceID=14","0.000161")</f>
        <v>0.000161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HYPERLINK("http://141.218.60.56/~jnz1568/getInfo.php?workbook=18_08.xlsx&amp;sheet=U0&amp;row=7136&amp;col=6&amp;number=4.2&amp;sourceID=14","4.2")</f>
        <v>4.2</v>
      </c>
      <c r="G7136" s="4" t="str">
        <f>HYPERLINK("http://141.218.60.56/~jnz1568/getInfo.php?workbook=18_08.xlsx&amp;sheet=U0&amp;row=7136&amp;col=7&amp;number=0.000161&amp;sourceID=14","0.000161")</f>
        <v>0.000161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HYPERLINK("http://141.218.60.56/~jnz1568/getInfo.php?workbook=18_08.xlsx&amp;sheet=U0&amp;row=7137&amp;col=6&amp;number=4.3&amp;sourceID=14","4.3")</f>
        <v>4.3</v>
      </c>
      <c r="G7137" s="4" t="str">
        <f>HYPERLINK("http://141.218.60.56/~jnz1568/getInfo.php?workbook=18_08.xlsx&amp;sheet=U0&amp;row=7137&amp;col=7&amp;number=0.000161&amp;sourceID=14","0.000161")</f>
        <v>0.000161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HYPERLINK("http://141.218.60.56/~jnz1568/getInfo.php?workbook=18_08.xlsx&amp;sheet=U0&amp;row=7138&amp;col=6&amp;number=4.4&amp;sourceID=14","4.4")</f>
        <v>4.4</v>
      </c>
      <c r="G7138" s="4" t="str">
        <f>HYPERLINK("http://141.218.60.56/~jnz1568/getInfo.php?workbook=18_08.xlsx&amp;sheet=U0&amp;row=7138&amp;col=7&amp;number=0.00016&amp;sourceID=14","0.00016")</f>
        <v>0.00016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HYPERLINK("http://141.218.60.56/~jnz1568/getInfo.php?workbook=18_08.xlsx&amp;sheet=U0&amp;row=7139&amp;col=6&amp;number=4.5&amp;sourceID=14","4.5")</f>
        <v>4.5</v>
      </c>
      <c r="G7139" s="4" t="str">
        <f>HYPERLINK("http://141.218.60.56/~jnz1568/getInfo.php?workbook=18_08.xlsx&amp;sheet=U0&amp;row=7139&amp;col=7&amp;number=0.00016&amp;sourceID=14","0.00016")</f>
        <v>0.00016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HYPERLINK("http://141.218.60.56/~jnz1568/getInfo.php?workbook=18_08.xlsx&amp;sheet=U0&amp;row=7140&amp;col=6&amp;number=4.6&amp;sourceID=14","4.6")</f>
        <v>4.6</v>
      </c>
      <c r="G7140" s="4" t="str">
        <f>HYPERLINK("http://141.218.60.56/~jnz1568/getInfo.php?workbook=18_08.xlsx&amp;sheet=U0&amp;row=7140&amp;col=7&amp;number=0.00016&amp;sourceID=14","0.00016")</f>
        <v>0.00016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HYPERLINK("http://141.218.60.56/~jnz1568/getInfo.php?workbook=18_08.xlsx&amp;sheet=U0&amp;row=7141&amp;col=6&amp;number=4.7&amp;sourceID=14","4.7")</f>
        <v>4.7</v>
      </c>
      <c r="G7141" s="4" t="str">
        <f>HYPERLINK("http://141.218.60.56/~jnz1568/getInfo.php?workbook=18_08.xlsx&amp;sheet=U0&amp;row=7141&amp;col=7&amp;number=0.000159&amp;sourceID=14","0.000159")</f>
        <v>0.000159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HYPERLINK("http://141.218.60.56/~jnz1568/getInfo.php?workbook=18_08.xlsx&amp;sheet=U0&amp;row=7142&amp;col=6&amp;number=4.8&amp;sourceID=14","4.8")</f>
        <v>4.8</v>
      </c>
      <c r="G7142" s="4" t="str">
        <f>HYPERLINK("http://141.218.60.56/~jnz1568/getInfo.php?workbook=18_08.xlsx&amp;sheet=U0&amp;row=7142&amp;col=7&amp;number=0.000159&amp;sourceID=14","0.000159")</f>
        <v>0.000159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HYPERLINK("http://141.218.60.56/~jnz1568/getInfo.php?workbook=18_08.xlsx&amp;sheet=U0&amp;row=7143&amp;col=6&amp;number=4.9&amp;sourceID=14","4.9")</f>
        <v>4.9</v>
      </c>
      <c r="G7143" s="4" t="str">
        <f>HYPERLINK("http://141.218.60.56/~jnz1568/getInfo.php?workbook=18_08.xlsx&amp;sheet=U0&amp;row=7143&amp;col=7&amp;number=0.000158&amp;sourceID=14","0.000158")</f>
        <v>0.000158</v>
      </c>
    </row>
    <row r="7144" spans="1:7">
      <c r="A7144" s="3">
        <v>18</v>
      </c>
      <c r="B7144" s="3">
        <v>8</v>
      </c>
      <c r="C7144" s="3" t="s">
        <v>79</v>
      </c>
      <c r="D7144" s="3">
        <v>9</v>
      </c>
      <c r="E7144" s="3">
        <v>1</v>
      </c>
      <c r="F7144" s="4" t="str">
        <f>HYPERLINK("http://141.218.60.56/~jnz1568/getInfo.php?workbook=18_08.xlsx&amp;sheet=U0&amp;row=7144&amp;col=6&amp;number=3&amp;sourceID=14","3")</f>
        <v>3</v>
      </c>
      <c r="G7144" s="4" t="str">
        <f>HYPERLINK("http://141.218.60.56/~jnz1568/getInfo.php?workbook=18_08.xlsx&amp;sheet=U0&amp;row=7144&amp;col=7&amp;number=0.000179&amp;sourceID=14","0.000179")</f>
        <v>0.000179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HYPERLINK("http://141.218.60.56/~jnz1568/getInfo.php?workbook=18_08.xlsx&amp;sheet=U0&amp;row=7145&amp;col=6&amp;number=3.1&amp;sourceID=14","3.1")</f>
        <v>3.1</v>
      </c>
      <c r="G7145" s="4" t="str">
        <f>HYPERLINK("http://141.218.60.56/~jnz1568/getInfo.php?workbook=18_08.xlsx&amp;sheet=U0&amp;row=7145&amp;col=7&amp;number=0.000179&amp;sourceID=14","0.000179")</f>
        <v>0.000179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HYPERLINK("http://141.218.60.56/~jnz1568/getInfo.php?workbook=18_08.xlsx&amp;sheet=U0&amp;row=7146&amp;col=6&amp;number=3.2&amp;sourceID=14","3.2")</f>
        <v>3.2</v>
      </c>
      <c r="G7146" s="4" t="str">
        <f>HYPERLINK("http://141.218.60.56/~jnz1568/getInfo.php?workbook=18_08.xlsx&amp;sheet=U0&amp;row=7146&amp;col=7&amp;number=0.000179&amp;sourceID=14","0.000179")</f>
        <v>0.000179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HYPERLINK("http://141.218.60.56/~jnz1568/getInfo.php?workbook=18_08.xlsx&amp;sheet=U0&amp;row=7147&amp;col=6&amp;number=3.3&amp;sourceID=14","3.3")</f>
        <v>3.3</v>
      </c>
      <c r="G7147" s="4" t="str">
        <f>HYPERLINK("http://141.218.60.56/~jnz1568/getInfo.php?workbook=18_08.xlsx&amp;sheet=U0&amp;row=7147&amp;col=7&amp;number=0.000179&amp;sourceID=14","0.000179")</f>
        <v>0.000179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HYPERLINK("http://141.218.60.56/~jnz1568/getInfo.php?workbook=18_08.xlsx&amp;sheet=U0&amp;row=7148&amp;col=6&amp;number=3.4&amp;sourceID=14","3.4")</f>
        <v>3.4</v>
      </c>
      <c r="G7148" s="4" t="str">
        <f>HYPERLINK("http://141.218.60.56/~jnz1568/getInfo.php?workbook=18_08.xlsx&amp;sheet=U0&amp;row=7148&amp;col=7&amp;number=0.000179&amp;sourceID=14","0.000179")</f>
        <v>0.000179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HYPERLINK("http://141.218.60.56/~jnz1568/getInfo.php?workbook=18_08.xlsx&amp;sheet=U0&amp;row=7149&amp;col=6&amp;number=3.5&amp;sourceID=14","3.5")</f>
        <v>3.5</v>
      </c>
      <c r="G7149" s="4" t="str">
        <f>HYPERLINK("http://141.218.60.56/~jnz1568/getInfo.php?workbook=18_08.xlsx&amp;sheet=U0&amp;row=7149&amp;col=7&amp;number=0.000179&amp;sourceID=14","0.000179")</f>
        <v>0.000179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HYPERLINK("http://141.218.60.56/~jnz1568/getInfo.php?workbook=18_08.xlsx&amp;sheet=U0&amp;row=7150&amp;col=6&amp;number=3.6&amp;sourceID=14","3.6")</f>
        <v>3.6</v>
      </c>
      <c r="G7150" s="4" t="str">
        <f>HYPERLINK("http://141.218.60.56/~jnz1568/getInfo.php?workbook=18_08.xlsx&amp;sheet=U0&amp;row=7150&amp;col=7&amp;number=0.000179&amp;sourceID=14","0.000179")</f>
        <v>0.000179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HYPERLINK("http://141.218.60.56/~jnz1568/getInfo.php?workbook=18_08.xlsx&amp;sheet=U0&amp;row=7151&amp;col=6&amp;number=3.7&amp;sourceID=14","3.7")</f>
        <v>3.7</v>
      </c>
      <c r="G7151" s="4" t="str">
        <f>HYPERLINK("http://141.218.60.56/~jnz1568/getInfo.php?workbook=18_08.xlsx&amp;sheet=U0&amp;row=7151&amp;col=7&amp;number=0.000179&amp;sourceID=14","0.000179")</f>
        <v>0.000179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HYPERLINK("http://141.218.60.56/~jnz1568/getInfo.php?workbook=18_08.xlsx&amp;sheet=U0&amp;row=7152&amp;col=6&amp;number=3.8&amp;sourceID=14","3.8")</f>
        <v>3.8</v>
      </c>
      <c r="G7152" s="4" t="str">
        <f>HYPERLINK("http://141.218.60.56/~jnz1568/getInfo.php?workbook=18_08.xlsx&amp;sheet=U0&amp;row=7152&amp;col=7&amp;number=0.000179&amp;sourceID=14","0.000179")</f>
        <v>0.000179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HYPERLINK("http://141.218.60.56/~jnz1568/getInfo.php?workbook=18_08.xlsx&amp;sheet=U0&amp;row=7153&amp;col=6&amp;number=3.9&amp;sourceID=14","3.9")</f>
        <v>3.9</v>
      </c>
      <c r="G7153" s="4" t="str">
        <f>HYPERLINK("http://141.218.60.56/~jnz1568/getInfo.php?workbook=18_08.xlsx&amp;sheet=U0&amp;row=7153&amp;col=7&amp;number=0.000179&amp;sourceID=14","0.000179")</f>
        <v>0.000179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HYPERLINK("http://141.218.60.56/~jnz1568/getInfo.php?workbook=18_08.xlsx&amp;sheet=U0&amp;row=7154&amp;col=6&amp;number=4&amp;sourceID=14","4")</f>
        <v>4</v>
      </c>
      <c r="G7154" s="4" t="str">
        <f>HYPERLINK("http://141.218.60.56/~jnz1568/getInfo.php?workbook=18_08.xlsx&amp;sheet=U0&amp;row=7154&amp;col=7&amp;number=0.000179&amp;sourceID=14","0.000179")</f>
        <v>0.000179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HYPERLINK("http://141.218.60.56/~jnz1568/getInfo.php?workbook=18_08.xlsx&amp;sheet=U0&amp;row=7155&amp;col=6&amp;number=4.1&amp;sourceID=14","4.1")</f>
        <v>4.1</v>
      </c>
      <c r="G7155" s="4" t="str">
        <f>HYPERLINK("http://141.218.60.56/~jnz1568/getInfo.php?workbook=18_08.xlsx&amp;sheet=U0&amp;row=7155&amp;col=7&amp;number=0.000179&amp;sourceID=14","0.000179")</f>
        <v>0.000179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HYPERLINK("http://141.218.60.56/~jnz1568/getInfo.php?workbook=18_08.xlsx&amp;sheet=U0&amp;row=7156&amp;col=6&amp;number=4.2&amp;sourceID=14","4.2")</f>
        <v>4.2</v>
      </c>
      <c r="G7156" s="4" t="str">
        <f>HYPERLINK("http://141.218.60.56/~jnz1568/getInfo.php?workbook=18_08.xlsx&amp;sheet=U0&amp;row=7156&amp;col=7&amp;number=0.000179&amp;sourceID=14","0.000179")</f>
        <v>0.000179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HYPERLINK("http://141.218.60.56/~jnz1568/getInfo.php?workbook=18_08.xlsx&amp;sheet=U0&amp;row=7157&amp;col=6&amp;number=4.3&amp;sourceID=14","4.3")</f>
        <v>4.3</v>
      </c>
      <c r="G7157" s="4" t="str">
        <f>HYPERLINK("http://141.218.60.56/~jnz1568/getInfo.php?workbook=18_08.xlsx&amp;sheet=U0&amp;row=7157&amp;col=7&amp;number=0.000178&amp;sourceID=14","0.000178")</f>
        <v>0.000178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HYPERLINK("http://141.218.60.56/~jnz1568/getInfo.php?workbook=18_08.xlsx&amp;sheet=U0&amp;row=7158&amp;col=6&amp;number=4.4&amp;sourceID=14","4.4")</f>
        <v>4.4</v>
      </c>
      <c r="G7158" s="4" t="str">
        <f>HYPERLINK("http://141.218.60.56/~jnz1568/getInfo.php?workbook=18_08.xlsx&amp;sheet=U0&amp;row=7158&amp;col=7&amp;number=0.000178&amp;sourceID=14","0.000178")</f>
        <v>0.000178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HYPERLINK("http://141.218.60.56/~jnz1568/getInfo.php?workbook=18_08.xlsx&amp;sheet=U0&amp;row=7159&amp;col=6&amp;number=4.5&amp;sourceID=14","4.5")</f>
        <v>4.5</v>
      </c>
      <c r="G7159" s="4" t="str">
        <f>HYPERLINK("http://141.218.60.56/~jnz1568/getInfo.php?workbook=18_08.xlsx&amp;sheet=U0&amp;row=7159&amp;col=7&amp;number=0.000178&amp;sourceID=14","0.000178")</f>
        <v>0.000178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HYPERLINK("http://141.218.60.56/~jnz1568/getInfo.php?workbook=18_08.xlsx&amp;sheet=U0&amp;row=7160&amp;col=6&amp;number=4.6&amp;sourceID=14","4.6")</f>
        <v>4.6</v>
      </c>
      <c r="G7160" s="4" t="str">
        <f>HYPERLINK("http://141.218.60.56/~jnz1568/getInfo.php?workbook=18_08.xlsx&amp;sheet=U0&amp;row=7160&amp;col=7&amp;number=0.000177&amp;sourceID=14","0.000177")</f>
        <v>0.000177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HYPERLINK("http://141.218.60.56/~jnz1568/getInfo.php?workbook=18_08.xlsx&amp;sheet=U0&amp;row=7161&amp;col=6&amp;number=4.7&amp;sourceID=14","4.7")</f>
        <v>4.7</v>
      </c>
      <c r="G7161" s="4" t="str">
        <f>HYPERLINK("http://141.218.60.56/~jnz1568/getInfo.php?workbook=18_08.xlsx&amp;sheet=U0&amp;row=7161&amp;col=7&amp;number=0.000177&amp;sourceID=14","0.000177")</f>
        <v>0.000177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HYPERLINK("http://141.218.60.56/~jnz1568/getInfo.php?workbook=18_08.xlsx&amp;sheet=U0&amp;row=7162&amp;col=6&amp;number=4.8&amp;sourceID=14","4.8")</f>
        <v>4.8</v>
      </c>
      <c r="G7162" s="4" t="str">
        <f>HYPERLINK("http://141.218.60.56/~jnz1568/getInfo.php?workbook=18_08.xlsx&amp;sheet=U0&amp;row=7162&amp;col=7&amp;number=0.000176&amp;sourceID=14","0.000176")</f>
        <v>0.000176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HYPERLINK("http://141.218.60.56/~jnz1568/getInfo.php?workbook=18_08.xlsx&amp;sheet=U0&amp;row=7163&amp;col=6&amp;number=4.9&amp;sourceID=14","4.9")</f>
        <v>4.9</v>
      </c>
      <c r="G7163" s="4" t="str">
        <f>HYPERLINK("http://141.218.60.56/~jnz1568/getInfo.php?workbook=18_08.xlsx&amp;sheet=U0&amp;row=7163&amp;col=7&amp;number=0.000176&amp;sourceID=14","0.000176")</f>
        <v>0.000176</v>
      </c>
    </row>
    <row r="7164" spans="1:7">
      <c r="A7164" s="3">
        <v>18</v>
      </c>
      <c r="B7164" s="3">
        <v>8</v>
      </c>
      <c r="C7164" s="3" t="s">
        <v>80</v>
      </c>
      <c r="D7164" s="3">
        <v>0</v>
      </c>
      <c r="E7164" s="3">
        <v>1</v>
      </c>
      <c r="F7164" s="4" t="str">
        <f>HYPERLINK("http://141.218.60.56/~jnz1568/getInfo.php?workbook=18_08.xlsx&amp;sheet=U0&amp;row=7164&amp;col=6&amp;number=3&amp;sourceID=14","3")</f>
        <v>3</v>
      </c>
      <c r="G7164" s="4" t="str">
        <f>HYPERLINK("http://141.218.60.56/~jnz1568/getInfo.php?workbook=18_08.xlsx&amp;sheet=U0&amp;row=7164&amp;col=7&amp;number=0.000138&amp;sourceID=14","0.000138")</f>
        <v>0.000138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HYPERLINK("http://141.218.60.56/~jnz1568/getInfo.php?workbook=18_08.xlsx&amp;sheet=U0&amp;row=7165&amp;col=6&amp;number=3.1&amp;sourceID=14","3.1")</f>
        <v>3.1</v>
      </c>
      <c r="G7165" s="4" t="str">
        <f>HYPERLINK("http://141.218.60.56/~jnz1568/getInfo.php?workbook=18_08.xlsx&amp;sheet=U0&amp;row=7165&amp;col=7&amp;number=0.000138&amp;sourceID=14","0.000138")</f>
        <v>0.000138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HYPERLINK("http://141.218.60.56/~jnz1568/getInfo.php?workbook=18_08.xlsx&amp;sheet=U0&amp;row=7166&amp;col=6&amp;number=3.2&amp;sourceID=14","3.2")</f>
        <v>3.2</v>
      </c>
      <c r="G7166" s="4" t="str">
        <f>HYPERLINK("http://141.218.60.56/~jnz1568/getInfo.php?workbook=18_08.xlsx&amp;sheet=U0&amp;row=7166&amp;col=7&amp;number=0.000138&amp;sourceID=14","0.000138")</f>
        <v>0.000138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HYPERLINK("http://141.218.60.56/~jnz1568/getInfo.php?workbook=18_08.xlsx&amp;sheet=U0&amp;row=7167&amp;col=6&amp;number=3.3&amp;sourceID=14","3.3")</f>
        <v>3.3</v>
      </c>
      <c r="G7167" s="4" t="str">
        <f>HYPERLINK("http://141.218.60.56/~jnz1568/getInfo.php?workbook=18_08.xlsx&amp;sheet=U0&amp;row=7167&amp;col=7&amp;number=0.000138&amp;sourceID=14","0.000138")</f>
        <v>0.000138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HYPERLINK("http://141.218.60.56/~jnz1568/getInfo.php?workbook=18_08.xlsx&amp;sheet=U0&amp;row=7168&amp;col=6&amp;number=3.4&amp;sourceID=14","3.4")</f>
        <v>3.4</v>
      </c>
      <c r="G7168" s="4" t="str">
        <f>HYPERLINK("http://141.218.60.56/~jnz1568/getInfo.php?workbook=18_08.xlsx&amp;sheet=U0&amp;row=7168&amp;col=7&amp;number=0.000138&amp;sourceID=14","0.000138")</f>
        <v>0.000138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HYPERLINK("http://141.218.60.56/~jnz1568/getInfo.php?workbook=18_08.xlsx&amp;sheet=U0&amp;row=7169&amp;col=6&amp;number=3.5&amp;sourceID=14","3.5")</f>
        <v>3.5</v>
      </c>
      <c r="G7169" s="4" t="str">
        <f>HYPERLINK("http://141.218.60.56/~jnz1568/getInfo.php?workbook=18_08.xlsx&amp;sheet=U0&amp;row=7169&amp;col=7&amp;number=0.000138&amp;sourceID=14","0.000138")</f>
        <v>0.000138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HYPERLINK("http://141.218.60.56/~jnz1568/getInfo.php?workbook=18_08.xlsx&amp;sheet=U0&amp;row=7170&amp;col=6&amp;number=3.6&amp;sourceID=14","3.6")</f>
        <v>3.6</v>
      </c>
      <c r="G7170" s="4" t="str">
        <f>HYPERLINK("http://141.218.60.56/~jnz1568/getInfo.php?workbook=18_08.xlsx&amp;sheet=U0&amp;row=7170&amp;col=7&amp;number=0.000138&amp;sourceID=14","0.000138")</f>
        <v>0.000138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HYPERLINK("http://141.218.60.56/~jnz1568/getInfo.php?workbook=18_08.xlsx&amp;sheet=U0&amp;row=7171&amp;col=6&amp;number=3.7&amp;sourceID=14","3.7")</f>
        <v>3.7</v>
      </c>
      <c r="G7171" s="4" t="str">
        <f>HYPERLINK("http://141.218.60.56/~jnz1568/getInfo.php?workbook=18_08.xlsx&amp;sheet=U0&amp;row=7171&amp;col=7&amp;number=0.000138&amp;sourceID=14","0.000138")</f>
        <v>0.000138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HYPERLINK("http://141.218.60.56/~jnz1568/getInfo.php?workbook=18_08.xlsx&amp;sheet=U0&amp;row=7172&amp;col=6&amp;number=3.8&amp;sourceID=14","3.8")</f>
        <v>3.8</v>
      </c>
      <c r="G7172" s="4" t="str">
        <f>HYPERLINK("http://141.218.60.56/~jnz1568/getInfo.php?workbook=18_08.xlsx&amp;sheet=U0&amp;row=7172&amp;col=7&amp;number=0.000138&amp;sourceID=14","0.000138")</f>
        <v>0.000138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HYPERLINK("http://141.218.60.56/~jnz1568/getInfo.php?workbook=18_08.xlsx&amp;sheet=U0&amp;row=7173&amp;col=6&amp;number=3.9&amp;sourceID=14","3.9")</f>
        <v>3.9</v>
      </c>
      <c r="G7173" s="4" t="str">
        <f>HYPERLINK("http://141.218.60.56/~jnz1568/getInfo.php?workbook=18_08.xlsx&amp;sheet=U0&amp;row=7173&amp;col=7&amp;number=0.000138&amp;sourceID=14","0.000138")</f>
        <v>0.000138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HYPERLINK("http://141.218.60.56/~jnz1568/getInfo.php?workbook=18_08.xlsx&amp;sheet=U0&amp;row=7174&amp;col=6&amp;number=4&amp;sourceID=14","4")</f>
        <v>4</v>
      </c>
      <c r="G7174" s="4" t="str">
        <f>HYPERLINK("http://141.218.60.56/~jnz1568/getInfo.php?workbook=18_08.xlsx&amp;sheet=U0&amp;row=7174&amp;col=7&amp;number=0.000138&amp;sourceID=14","0.000138")</f>
        <v>0.000138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HYPERLINK("http://141.218.60.56/~jnz1568/getInfo.php?workbook=18_08.xlsx&amp;sheet=U0&amp;row=7175&amp;col=6&amp;number=4.1&amp;sourceID=14","4.1")</f>
        <v>4.1</v>
      </c>
      <c r="G7175" s="4" t="str">
        <f>HYPERLINK("http://141.218.60.56/~jnz1568/getInfo.php?workbook=18_08.xlsx&amp;sheet=U0&amp;row=7175&amp;col=7&amp;number=0.000138&amp;sourceID=14","0.000138")</f>
        <v>0.000138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HYPERLINK("http://141.218.60.56/~jnz1568/getInfo.php?workbook=18_08.xlsx&amp;sheet=U0&amp;row=7176&amp;col=6&amp;number=4.2&amp;sourceID=14","4.2")</f>
        <v>4.2</v>
      </c>
      <c r="G7176" s="4" t="str">
        <f>HYPERLINK("http://141.218.60.56/~jnz1568/getInfo.php?workbook=18_08.xlsx&amp;sheet=U0&amp;row=7176&amp;col=7&amp;number=0.000138&amp;sourceID=14","0.000138")</f>
        <v>0.000138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HYPERLINK("http://141.218.60.56/~jnz1568/getInfo.php?workbook=18_08.xlsx&amp;sheet=U0&amp;row=7177&amp;col=6&amp;number=4.3&amp;sourceID=14","4.3")</f>
        <v>4.3</v>
      </c>
      <c r="G7177" s="4" t="str">
        <f>HYPERLINK("http://141.218.60.56/~jnz1568/getInfo.php?workbook=18_08.xlsx&amp;sheet=U0&amp;row=7177&amp;col=7&amp;number=0.000138&amp;sourceID=14","0.000138")</f>
        <v>0.000138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HYPERLINK("http://141.218.60.56/~jnz1568/getInfo.php?workbook=18_08.xlsx&amp;sheet=U0&amp;row=7178&amp;col=6&amp;number=4.4&amp;sourceID=14","4.4")</f>
        <v>4.4</v>
      </c>
      <c r="G7178" s="4" t="str">
        <f>HYPERLINK("http://141.218.60.56/~jnz1568/getInfo.php?workbook=18_08.xlsx&amp;sheet=U0&amp;row=7178&amp;col=7&amp;number=0.000137&amp;sourceID=14","0.000137")</f>
        <v>0.000137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HYPERLINK("http://141.218.60.56/~jnz1568/getInfo.php?workbook=18_08.xlsx&amp;sheet=U0&amp;row=7179&amp;col=6&amp;number=4.5&amp;sourceID=14","4.5")</f>
        <v>4.5</v>
      </c>
      <c r="G7179" s="4" t="str">
        <f>HYPERLINK("http://141.218.60.56/~jnz1568/getInfo.php?workbook=18_08.xlsx&amp;sheet=U0&amp;row=7179&amp;col=7&amp;number=0.000137&amp;sourceID=14","0.000137")</f>
        <v>0.000137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HYPERLINK("http://141.218.60.56/~jnz1568/getInfo.php?workbook=18_08.xlsx&amp;sheet=U0&amp;row=7180&amp;col=6&amp;number=4.6&amp;sourceID=14","4.6")</f>
        <v>4.6</v>
      </c>
      <c r="G7180" s="4" t="str">
        <f>HYPERLINK("http://141.218.60.56/~jnz1568/getInfo.php?workbook=18_08.xlsx&amp;sheet=U0&amp;row=7180&amp;col=7&amp;number=0.000137&amp;sourceID=14","0.000137")</f>
        <v>0.000137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HYPERLINK("http://141.218.60.56/~jnz1568/getInfo.php?workbook=18_08.xlsx&amp;sheet=U0&amp;row=7181&amp;col=6&amp;number=4.7&amp;sourceID=14","4.7")</f>
        <v>4.7</v>
      </c>
      <c r="G7181" s="4" t="str">
        <f>HYPERLINK("http://141.218.60.56/~jnz1568/getInfo.php?workbook=18_08.xlsx&amp;sheet=U0&amp;row=7181&amp;col=7&amp;number=0.000137&amp;sourceID=14","0.000137")</f>
        <v>0.000137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HYPERLINK("http://141.218.60.56/~jnz1568/getInfo.php?workbook=18_08.xlsx&amp;sheet=U0&amp;row=7182&amp;col=6&amp;number=4.8&amp;sourceID=14","4.8")</f>
        <v>4.8</v>
      </c>
      <c r="G7182" s="4" t="str">
        <f>HYPERLINK("http://141.218.60.56/~jnz1568/getInfo.php?workbook=18_08.xlsx&amp;sheet=U0&amp;row=7182&amp;col=7&amp;number=0.000137&amp;sourceID=14","0.000137")</f>
        <v>0.000137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HYPERLINK("http://141.218.60.56/~jnz1568/getInfo.php?workbook=18_08.xlsx&amp;sheet=U0&amp;row=7183&amp;col=6&amp;number=4.9&amp;sourceID=14","4.9")</f>
        <v>4.9</v>
      </c>
      <c r="G7183" s="4" t="str">
        <f>HYPERLINK("http://141.218.60.56/~jnz1568/getInfo.php?workbook=18_08.xlsx&amp;sheet=U0&amp;row=7183&amp;col=7&amp;number=0.000136&amp;sourceID=14","0.000136")</f>
        <v>0.000136</v>
      </c>
    </row>
    <row r="7184" spans="1:7">
      <c r="A7184" s="3">
        <v>18</v>
      </c>
      <c r="B7184" s="3">
        <v>8</v>
      </c>
      <c r="C7184" s="3" t="s">
        <v>80</v>
      </c>
      <c r="D7184" s="3">
        <v>1</v>
      </c>
      <c r="E7184" s="3">
        <v>1</v>
      </c>
      <c r="F7184" s="4" t="str">
        <f>HYPERLINK("http://141.218.60.56/~jnz1568/getInfo.php?workbook=18_08.xlsx&amp;sheet=U0&amp;row=7184&amp;col=6&amp;number=3&amp;sourceID=14","3")</f>
        <v>3</v>
      </c>
      <c r="G7184" s="4" t="str">
        <f>HYPERLINK("http://141.218.60.56/~jnz1568/getInfo.php?workbook=18_08.xlsx&amp;sheet=U0&amp;row=7184&amp;col=7&amp;number=2.72e-05&amp;sourceID=14","2.72e-05")</f>
        <v>2.72e-05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HYPERLINK("http://141.218.60.56/~jnz1568/getInfo.php?workbook=18_08.xlsx&amp;sheet=U0&amp;row=7185&amp;col=6&amp;number=3.1&amp;sourceID=14","3.1")</f>
        <v>3.1</v>
      </c>
      <c r="G7185" s="4" t="str">
        <f>HYPERLINK("http://141.218.60.56/~jnz1568/getInfo.php?workbook=18_08.xlsx&amp;sheet=U0&amp;row=7185&amp;col=7&amp;number=2.72e-05&amp;sourceID=14","2.72e-05")</f>
        <v>2.72e-05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HYPERLINK("http://141.218.60.56/~jnz1568/getInfo.php?workbook=18_08.xlsx&amp;sheet=U0&amp;row=7186&amp;col=6&amp;number=3.2&amp;sourceID=14","3.2")</f>
        <v>3.2</v>
      </c>
      <c r="G7186" s="4" t="str">
        <f>HYPERLINK("http://141.218.60.56/~jnz1568/getInfo.php?workbook=18_08.xlsx&amp;sheet=U0&amp;row=7186&amp;col=7&amp;number=2.72e-05&amp;sourceID=14","2.72e-05")</f>
        <v>2.72e-05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HYPERLINK("http://141.218.60.56/~jnz1568/getInfo.php?workbook=18_08.xlsx&amp;sheet=U0&amp;row=7187&amp;col=6&amp;number=3.3&amp;sourceID=14","3.3")</f>
        <v>3.3</v>
      </c>
      <c r="G7187" s="4" t="str">
        <f>HYPERLINK("http://141.218.60.56/~jnz1568/getInfo.php?workbook=18_08.xlsx&amp;sheet=U0&amp;row=7187&amp;col=7&amp;number=2.72e-05&amp;sourceID=14","2.72e-05")</f>
        <v>2.72e-05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HYPERLINK("http://141.218.60.56/~jnz1568/getInfo.php?workbook=18_08.xlsx&amp;sheet=U0&amp;row=7188&amp;col=6&amp;number=3.4&amp;sourceID=14","3.4")</f>
        <v>3.4</v>
      </c>
      <c r="G7188" s="4" t="str">
        <f>HYPERLINK("http://141.218.60.56/~jnz1568/getInfo.php?workbook=18_08.xlsx&amp;sheet=U0&amp;row=7188&amp;col=7&amp;number=2.72e-05&amp;sourceID=14","2.72e-05")</f>
        <v>2.72e-05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HYPERLINK("http://141.218.60.56/~jnz1568/getInfo.php?workbook=18_08.xlsx&amp;sheet=U0&amp;row=7189&amp;col=6&amp;number=3.5&amp;sourceID=14","3.5")</f>
        <v>3.5</v>
      </c>
      <c r="G7189" s="4" t="str">
        <f>HYPERLINK("http://141.218.60.56/~jnz1568/getInfo.php?workbook=18_08.xlsx&amp;sheet=U0&amp;row=7189&amp;col=7&amp;number=2.72e-05&amp;sourceID=14","2.72e-05")</f>
        <v>2.72e-05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HYPERLINK("http://141.218.60.56/~jnz1568/getInfo.php?workbook=18_08.xlsx&amp;sheet=U0&amp;row=7190&amp;col=6&amp;number=3.6&amp;sourceID=14","3.6")</f>
        <v>3.6</v>
      </c>
      <c r="G7190" s="4" t="str">
        <f>HYPERLINK("http://141.218.60.56/~jnz1568/getInfo.php?workbook=18_08.xlsx&amp;sheet=U0&amp;row=7190&amp;col=7&amp;number=2.72e-05&amp;sourceID=14","2.72e-05")</f>
        <v>2.72e-05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HYPERLINK("http://141.218.60.56/~jnz1568/getInfo.php?workbook=18_08.xlsx&amp;sheet=U0&amp;row=7191&amp;col=6&amp;number=3.7&amp;sourceID=14","3.7")</f>
        <v>3.7</v>
      </c>
      <c r="G7191" s="4" t="str">
        <f>HYPERLINK("http://141.218.60.56/~jnz1568/getInfo.php?workbook=18_08.xlsx&amp;sheet=U0&amp;row=7191&amp;col=7&amp;number=2.72e-05&amp;sourceID=14","2.72e-05")</f>
        <v>2.72e-05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HYPERLINK("http://141.218.60.56/~jnz1568/getInfo.php?workbook=18_08.xlsx&amp;sheet=U0&amp;row=7192&amp;col=6&amp;number=3.8&amp;sourceID=14","3.8")</f>
        <v>3.8</v>
      </c>
      <c r="G7192" s="4" t="str">
        <f>HYPERLINK("http://141.218.60.56/~jnz1568/getInfo.php?workbook=18_08.xlsx&amp;sheet=U0&amp;row=7192&amp;col=7&amp;number=2.72e-05&amp;sourceID=14","2.72e-05")</f>
        <v>2.72e-05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HYPERLINK("http://141.218.60.56/~jnz1568/getInfo.php?workbook=18_08.xlsx&amp;sheet=U0&amp;row=7193&amp;col=6&amp;number=3.9&amp;sourceID=14","3.9")</f>
        <v>3.9</v>
      </c>
      <c r="G7193" s="4" t="str">
        <f>HYPERLINK("http://141.218.60.56/~jnz1568/getInfo.php?workbook=18_08.xlsx&amp;sheet=U0&amp;row=7193&amp;col=7&amp;number=2.72e-05&amp;sourceID=14","2.72e-05")</f>
        <v>2.72e-05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HYPERLINK("http://141.218.60.56/~jnz1568/getInfo.php?workbook=18_08.xlsx&amp;sheet=U0&amp;row=7194&amp;col=6&amp;number=4&amp;sourceID=14","4")</f>
        <v>4</v>
      </c>
      <c r="G7194" s="4" t="str">
        <f>HYPERLINK("http://141.218.60.56/~jnz1568/getInfo.php?workbook=18_08.xlsx&amp;sheet=U0&amp;row=7194&amp;col=7&amp;number=2.72e-05&amp;sourceID=14","2.72e-05")</f>
        <v>2.72e-05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HYPERLINK("http://141.218.60.56/~jnz1568/getInfo.php?workbook=18_08.xlsx&amp;sheet=U0&amp;row=7195&amp;col=6&amp;number=4.1&amp;sourceID=14","4.1")</f>
        <v>4.1</v>
      </c>
      <c r="G7195" s="4" t="str">
        <f>HYPERLINK("http://141.218.60.56/~jnz1568/getInfo.php?workbook=18_08.xlsx&amp;sheet=U0&amp;row=7195&amp;col=7&amp;number=2.72e-05&amp;sourceID=14","2.72e-05")</f>
        <v>2.72e-05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HYPERLINK("http://141.218.60.56/~jnz1568/getInfo.php?workbook=18_08.xlsx&amp;sheet=U0&amp;row=7196&amp;col=6&amp;number=4.2&amp;sourceID=14","4.2")</f>
        <v>4.2</v>
      </c>
      <c r="G7196" s="4" t="str">
        <f>HYPERLINK("http://141.218.60.56/~jnz1568/getInfo.php?workbook=18_08.xlsx&amp;sheet=U0&amp;row=7196&amp;col=7&amp;number=2.72e-05&amp;sourceID=14","2.72e-05")</f>
        <v>2.72e-05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HYPERLINK("http://141.218.60.56/~jnz1568/getInfo.php?workbook=18_08.xlsx&amp;sheet=U0&amp;row=7197&amp;col=6&amp;number=4.3&amp;sourceID=14","4.3")</f>
        <v>4.3</v>
      </c>
      <c r="G7197" s="4" t="str">
        <f>HYPERLINK("http://141.218.60.56/~jnz1568/getInfo.php?workbook=18_08.xlsx&amp;sheet=U0&amp;row=7197&amp;col=7&amp;number=2.72e-05&amp;sourceID=14","2.72e-05")</f>
        <v>2.72e-05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HYPERLINK("http://141.218.60.56/~jnz1568/getInfo.php?workbook=18_08.xlsx&amp;sheet=U0&amp;row=7198&amp;col=6&amp;number=4.4&amp;sourceID=14","4.4")</f>
        <v>4.4</v>
      </c>
      <c r="G7198" s="4" t="str">
        <f>HYPERLINK("http://141.218.60.56/~jnz1568/getInfo.php?workbook=18_08.xlsx&amp;sheet=U0&amp;row=7198&amp;col=7&amp;number=2.72e-05&amp;sourceID=14","2.72e-05")</f>
        <v>2.72e-05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HYPERLINK("http://141.218.60.56/~jnz1568/getInfo.php?workbook=18_08.xlsx&amp;sheet=U0&amp;row=7199&amp;col=6&amp;number=4.5&amp;sourceID=14","4.5")</f>
        <v>4.5</v>
      </c>
      <c r="G7199" s="4" t="str">
        <f>HYPERLINK("http://141.218.60.56/~jnz1568/getInfo.php?workbook=18_08.xlsx&amp;sheet=U0&amp;row=7199&amp;col=7&amp;number=2.72e-05&amp;sourceID=14","2.72e-05")</f>
        <v>2.72e-05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HYPERLINK("http://141.218.60.56/~jnz1568/getInfo.php?workbook=18_08.xlsx&amp;sheet=U0&amp;row=7200&amp;col=6&amp;number=4.6&amp;sourceID=14","4.6")</f>
        <v>4.6</v>
      </c>
      <c r="G7200" s="4" t="str">
        <f>HYPERLINK("http://141.218.60.56/~jnz1568/getInfo.php?workbook=18_08.xlsx&amp;sheet=U0&amp;row=7200&amp;col=7&amp;number=2.71e-05&amp;sourceID=14","2.71e-05")</f>
        <v>2.71e-05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HYPERLINK("http://141.218.60.56/~jnz1568/getInfo.php?workbook=18_08.xlsx&amp;sheet=U0&amp;row=7201&amp;col=6&amp;number=4.7&amp;sourceID=14","4.7")</f>
        <v>4.7</v>
      </c>
      <c r="G7201" s="4" t="str">
        <f>HYPERLINK("http://141.218.60.56/~jnz1568/getInfo.php?workbook=18_08.xlsx&amp;sheet=U0&amp;row=7201&amp;col=7&amp;number=2.71e-05&amp;sourceID=14","2.71e-05")</f>
        <v>2.71e-05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HYPERLINK("http://141.218.60.56/~jnz1568/getInfo.php?workbook=18_08.xlsx&amp;sheet=U0&amp;row=7202&amp;col=6&amp;number=4.8&amp;sourceID=14","4.8")</f>
        <v>4.8</v>
      </c>
      <c r="G7202" s="4" t="str">
        <f>HYPERLINK("http://141.218.60.56/~jnz1568/getInfo.php?workbook=18_08.xlsx&amp;sheet=U0&amp;row=7202&amp;col=7&amp;number=2.71e-05&amp;sourceID=14","2.71e-05")</f>
        <v>2.71e-05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HYPERLINK("http://141.218.60.56/~jnz1568/getInfo.php?workbook=18_08.xlsx&amp;sheet=U0&amp;row=7203&amp;col=6&amp;number=4.9&amp;sourceID=14","4.9")</f>
        <v>4.9</v>
      </c>
      <c r="G7203" s="4" t="str">
        <f>HYPERLINK("http://141.218.60.56/~jnz1568/getInfo.php?workbook=18_08.xlsx&amp;sheet=U0&amp;row=7203&amp;col=7&amp;number=2.71e-05&amp;sourceID=14","2.71e-05")</f>
        <v>2.71e-05</v>
      </c>
    </row>
    <row r="7204" spans="1:7">
      <c r="A7204" s="3">
        <v>18</v>
      </c>
      <c r="B7204" s="3">
        <v>8</v>
      </c>
      <c r="C7204" s="3" t="s">
        <v>80</v>
      </c>
      <c r="D7204" s="3">
        <v>2</v>
      </c>
      <c r="E7204" s="3">
        <v>1</v>
      </c>
      <c r="F7204" s="4" t="str">
        <f>HYPERLINK("http://141.218.60.56/~jnz1568/getInfo.php?workbook=18_08.xlsx&amp;sheet=U0&amp;row=7204&amp;col=6&amp;number=3&amp;sourceID=14","3")</f>
        <v>3</v>
      </c>
      <c r="G7204" s="4" t="str">
        <f>HYPERLINK("http://141.218.60.56/~jnz1568/getInfo.php?workbook=18_08.xlsx&amp;sheet=U0&amp;row=7204&amp;col=7&amp;number=7.45e-06&amp;sourceID=14","7.45e-06")</f>
        <v>7.45e-06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HYPERLINK("http://141.218.60.56/~jnz1568/getInfo.php?workbook=18_08.xlsx&amp;sheet=U0&amp;row=7205&amp;col=6&amp;number=3.1&amp;sourceID=14","3.1")</f>
        <v>3.1</v>
      </c>
      <c r="G7205" s="4" t="str">
        <f>HYPERLINK("http://141.218.60.56/~jnz1568/getInfo.php?workbook=18_08.xlsx&amp;sheet=U0&amp;row=7205&amp;col=7&amp;number=7.44e-06&amp;sourceID=14","7.44e-06")</f>
        <v>7.44e-06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HYPERLINK("http://141.218.60.56/~jnz1568/getInfo.php?workbook=18_08.xlsx&amp;sheet=U0&amp;row=7206&amp;col=6&amp;number=3.2&amp;sourceID=14","3.2")</f>
        <v>3.2</v>
      </c>
      <c r="G7206" s="4" t="str">
        <f>HYPERLINK("http://141.218.60.56/~jnz1568/getInfo.php?workbook=18_08.xlsx&amp;sheet=U0&amp;row=7206&amp;col=7&amp;number=7.44e-06&amp;sourceID=14","7.44e-06")</f>
        <v>7.44e-06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HYPERLINK("http://141.218.60.56/~jnz1568/getInfo.php?workbook=18_08.xlsx&amp;sheet=U0&amp;row=7207&amp;col=6&amp;number=3.3&amp;sourceID=14","3.3")</f>
        <v>3.3</v>
      </c>
      <c r="G7207" s="4" t="str">
        <f>HYPERLINK("http://141.218.60.56/~jnz1568/getInfo.php?workbook=18_08.xlsx&amp;sheet=U0&amp;row=7207&amp;col=7&amp;number=7.44e-06&amp;sourceID=14","7.44e-06")</f>
        <v>7.44e-06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HYPERLINK("http://141.218.60.56/~jnz1568/getInfo.php?workbook=18_08.xlsx&amp;sheet=U0&amp;row=7208&amp;col=6&amp;number=3.4&amp;sourceID=14","3.4")</f>
        <v>3.4</v>
      </c>
      <c r="G7208" s="4" t="str">
        <f>HYPERLINK("http://141.218.60.56/~jnz1568/getInfo.php?workbook=18_08.xlsx&amp;sheet=U0&amp;row=7208&amp;col=7&amp;number=7.44e-06&amp;sourceID=14","7.44e-06")</f>
        <v>7.44e-06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HYPERLINK("http://141.218.60.56/~jnz1568/getInfo.php?workbook=18_08.xlsx&amp;sheet=U0&amp;row=7209&amp;col=6&amp;number=3.5&amp;sourceID=14","3.5")</f>
        <v>3.5</v>
      </c>
      <c r="G7209" s="4" t="str">
        <f>HYPERLINK("http://141.218.60.56/~jnz1568/getInfo.php?workbook=18_08.xlsx&amp;sheet=U0&amp;row=7209&amp;col=7&amp;number=7.44e-06&amp;sourceID=14","7.44e-06")</f>
        <v>7.44e-06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HYPERLINK("http://141.218.60.56/~jnz1568/getInfo.php?workbook=18_08.xlsx&amp;sheet=U0&amp;row=7210&amp;col=6&amp;number=3.6&amp;sourceID=14","3.6")</f>
        <v>3.6</v>
      </c>
      <c r="G7210" s="4" t="str">
        <f>HYPERLINK("http://141.218.60.56/~jnz1568/getInfo.php?workbook=18_08.xlsx&amp;sheet=U0&amp;row=7210&amp;col=7&amp;number=7.44e-06&amp;sourceID=14","7.44e-06")</f>
        <v>7.44e-06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HYPERLINK("http://141.218.60.56/~jnz1568/getInfo.php?workbook=18_08.xlsx&amp;sheet=U0&amp;row=7211&amp;col=6&amp;number=3.7&amp;sourceID=14","3.7")</f>
        <v>3.7</v>
      </c>
      <c r="G7211" s="4" t="str">
        <f>HYPERLINK("http://141.218.60.56/~jnz1568/getInfo.php?workbook=18_08.xlsx&amp;sheet=U0&amp;row=7211&amp;col=7&amp;number=7.43e-06&amp;sourceID=14","7.43e-06")</f>
        <v>7.43e-06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HYPERLINK("http://141.218.60.56/~jnz1568/getInfo.php?workbook=18_08.xlsx&amp;sheet=U0&amp;row=7212&amp;col=6&amp;number=3.8&amp;sourceID=14","3.8")</f>
        <v>3.8</v>
      </c>
      <c r="G7212" s="4" t="str">
        <f>HYPERLINK("http://141.218.60.56/~jnz1568/getInfo.php?workbook=18_08.xlsx&amp;sheet=U0&amp;row=7212&amp;col=7&amp;number=7.43e-06&amp;sourceID=14","7.43e-06")</f>
        <v>7.43e-06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HYPERLINK("http://141.218.60.56/~jnz1568/getInfo.php?workbook=18_08.xlsx&amp;sheet=U0&amp;row=7213&amp;col=6&amp;number=3.9&amp;sourceID=14","3.9")</f>
        <v>3.9</v>
      </c>
      <c r="G7213" s="4" t="str">
        <f>HYPERLINK("http://141.218.60.56/~jnz1568/getInfo.php?workbook=18_08.xlsx&amp;sheet=U0&amp;row=7213&amp;col=7&amp;number=7.43e-06&amp;sourceID=14","7.43e-06")</f>
        <v>7.43e-06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HYPERLINK("http://141.218.60.56/~jnz1568/getInfo.php?workbook=18_08.xlsx&amp;sheet=U0&amp;row=7214&amp;col=6&amp;number=4&amp;sourceID=14","4")</f>
        <v>4</v>
      </c>
      <c r="G7214" s="4" t="str">
        <f>HYPERLINK("http://141.218.60.56/~jnz1568/getInfo.php?workbook=18_08.xlsx&amp;sheet=U0&amp;row=7214&amp;col=7&amp;number=7.42e-06&amp;sourceID=14","7.42e-06")</f>
        <v>7.42e-06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HYPERLINK("http://141.218.60.56/~jnz1568/getInfo.php?workbook=18_08.xlsx&amp;sheet=U0&amp;row=7215&amp;col=6&amp;number=4.1&amp;sourceID=14","4.1")</f>
        <v>4.1</v>
      </c>
      <c r="G7215" s="4" t="str">
        <f>HYPERLINK("http://141.218.60.56/~jnz1568/getInfo.php?workbook=18_08.xlsx&amp;sheet=U0&amp;row=7215&amp;col=7&amp;number=7.42e-06&amp;sourceID=14","7.42e-06")</f>
        <v>7.42e-06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HYPERLINK("http://141.218.60.56/~jnz1568/getInfo.php?workbook=18_08.xlsx&amp;sheet=U0&amp;row=7216&amp;col=6&amp;number=4.2&amp;sourceID=14","4.2")</f>
        <v>4.2</v>
      </c>
      <c r="G7216" s="4" t="str">
        <f>HYPERLINK("http://141.218.60.56/~jnz1568/getInfo.php?workbook=18_08.xlsx&amp;sheet=U0&amp;row=7216&amp;col=7&amp;number=7.41e-06&amp;sourceID=14","7.41e-06")</f>
        <v>7.41e-06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HYPERLINK("http://141.218.60.56/~jnz1568/getInfo.php?workbook=18_08.xlsx&amp;sheet=U0&amp;row=7217&amp;col=6&amp;number=4.3&amp;sourceID=14","4.3")</f>
        <v>4.3</v>
      </c>
      <c r="G7217" s="4" t="str">
        <f>HYPERLINK("http://141.218.60.56/~jnz1568/getInfo.php?workbook=18_08.xlsx&amp;sheet=U0&amp;row=7217&amp;col=7&amp;number=7.4e-06&amp;sourceID=14","7.4e-06")</f>
        <v>7.4e-06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HYPERLINK("http://141.218.60.56/~jnz1568/getInfo.php?workbook=18_08.xlsx&amp;sheet=U0&amp;row=7218&amp;col=6&amp;number=4.4&amp;sourceID=14","4.4")</f>
        <v>4.4</v>
      </c>
      <c r="G7218" s="4" t="str">
        <f>HYPERLINK("http://141.218.60.56/~jnz1568/getInfo.php?workbook=18_08.xlsx&amp;sheet=U0&amp;row=7218&amp;col=7&amp;number=7.38e-06&amp;sourceID=14","7.38e-06")</f>
        <v>7.38e-06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HYPERLINK("http://141.218.60.56/~jnz1568/getInfo.php?workbook=18_08.xlsx&amp;sheet=U0&amp;row=7219&amp;col=6&amp;number=4.5&amp;sourceID=14","4.5")</f>
        <v>4.5</v>
      </c>
      <c r="G7219" s="4" t="str">
        <f>HYPERLINK("http://141.218.60.56/~jnz1568/getInfo.php?workbook=18_08.xlsx&amp;sheet=U0&amp;row=7219&amp;col=7&amp;number=7.37e-06&amp;sourceID=14","7.37e-06")</f>
        <v>7.37e-06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HYPERLINK("http://141.218.60.56/~jnz1568/getInfo.php?workbook=18_08.xlsx&amp;sheet=U0&amp;row=7220&amp;col=6&amp;number=4.6&amp;sourceID=14","4.6")</f>
        <v>4.6</v>
      </c>
      <c r="G7220" s="4" t="str">
        <f>HYPERLINK("http://141.218.60.56/~jnz1568/getInfo.php?workbook=18_08.xlsx&amp;sheet=U0&amp;row=7220&amp;col=7&amp;number=7.34e-06&amp;sourceID=14","7.34e-06")</f>
        <v>7.34e-06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HYPERLINK("http://141.218.60.56/~jnz1568/getInfo.php?workbook=18_08.xlsx&amp;sheet=U0&amp;row=7221&amp;col=6&amp;number=4.7&amp;sourceID=14","4.7")</f>
        <v>4.7</v>
      </c>
      <c r="G7221" s="4" t="str">
        <f>HYPERLINK("http://141.218.60.56/~jnz1568/getInfo.php?workbook=18_08.xlsx&amp;sheet=U0&amp;row=7221&amp;col=7&amp;number=7.32e-06&amp;sourceID=14","7.32e-06")</f>
        <v>7.32e-06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HYPERLINK("http://141.218.60.56/~jnz1568/getInfo.php?workbook=18_08.xlsx&amp;sheet=U0&amp;row=7222&amp;col=6&amp;number=4.8&amp;sourceID=14","4.8")</f>
        <v>4.8</v>
      </c>
      <c r="G7222" s="4" t="str">
        <f>HYPERLINK("http://141.218.60.56/~jnz1568/getInfo.php?workbook=18_08.xlsx&amp;sheet=U0&amp;row=7222&amp;col=7&amp;number=7.29e-06&amp;sourceID=14","7.29e-06")</f>
        <v>7.29e-06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HYPERLINK("http://141.218.60.56/~jnz1568/getInfo.php?workbook=18_08.xlsx&amp;sheet=U0&amp;row=7223&amp;col=6&amp;number=4.9&amp;sourceID=14","4.9")</f>
        <v>4.9</v>
      </c>
      <c r="G7223" s="4" t="str">
        <f>HYPERLINK("http://141.218.60.56/~jnz1568/getInfo.php?workbook=18_08.xlsx&amp;sheet=U0&amp;row=7223&amp;col=7&amp;number=7.24e-06&amp;sourceID=14","7.24e-06")</f>
        <v>7.24e-06</v>
      </c>
    </row>
    <row r="7224" spans="1:7">
      <c r="A7224" s="3">
        <v>18</v>
      </c>
      <c r="B7224" s="3">
        <v>8</v>
      </c>
      <c r="C7224" s="3" t="s">
        <v>80</v>
      </c>
      <c r="D7224" s="3">
        <v>3</v>
      </c>
      <c r="E7224" s="3">
        <v>1</v>
      </c>
      <c r="F7224" s="4" t="str">
        <f>HYPERLINK("http://141.218.60.56/~jnz1568/getInfo.php?workbook=18_08.xlsx&amp;sheet=U0&amp;row=7224&amp;col=6&amp;number=3&amp;sourceID=14","3")</f>
        <v>3</v>
      </c>
      <c r="G7224" s="4" t="str">
        <f>HYPERLINK("http://141.218.60.56/~jnz1568/getInfo.php?workbook=18_08.xlsx&amp;sheet=U0&amp;row=7224&amp;col=7&amp;number=5.33e-06&amp;sourceID=14","5.33e-06")</f>
        <v>5.33e-06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HYPERLINK("http://141.218.60.56/~jnz1568/getInfo.php?workbook=18_08.xlsx&amp;sheet=U0&amp;row=7225&amp;col=6&amp;number=3.1&amp;sourceID=14","3.1")</f>
        <v>3.1</v>
      </c>
      <c r="G7225" s="4" t="str">
        <f>HYPERLINK("http://141.218.60.56/~jnz1568/getInfo.php?workbook=18_08.xlsx&amp;sheet=U0&amp;row=7225&amp;col=7&amp;number=5.33e-06&amp;sourceID=14","5.33e-06")</f>
        <v>5.33e-06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HYPERLINK("http://141.218.60.56/~jnz1568/getInfo.php?workbook=18_08.xlsx&amp;sheet=U0&amp;row=7226&amp;col=6&amp;number=3.2&amp;sourceID=14","3.2")</f>
        <v>3.2</v>
      </c>
      <c r="G7226" s="4" t="str">
        <f>HYPERLINK("http://141.218.60.56/~jnz1568/getInfo.php?workbook=18_08.xlsx&amp;sheet=U0&amp;row=7226&amp;col=7&amp;number=5.33e-06&amp;sourceID=14","5.33e-06")</f>
        <v>5.33e-06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HYPERLINK("http://141.218.60.56/~jnz1568/getInfo.php?workbook=18_08.xlsx&amp;sheet=U0&amp;row=7227&amp;col=6&amp;number=3.3&amp;sourceID=14","3.3")</f>
        <v>3.3</v>
      </c>
      <c r="G7227" s="4" t="str">
        <f>HYPERLINK("http://141.218.60.56/~jnz1568/getInfo.php?workbook=18_08.xlsx&amp;sheet=U0&amp;row=7227&amp;col=7&amp;number=5.33e-06&amp;sourceID=14","5.33e-06")</f>
        <v>5.33e-06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HYPERLINK("http://141.218.60.56/~jnz1568/getInfo.php?workbook=18_08.xlsx&amp;sheet=U0&amp;row=7228&amp;col=6&amp;number=3.4&amp;sourceID=14","3.4")</f>
        <v>3.4</v>
      </c>
      <c r="G7228" s="4" t="str">
        <f>HYPERLINK("http://141.218.60.56/~jnz1568/getInfo.php?workbook=18_08.xlsx&amp;sheet=U0&amp;row=7228&amp;col=7&amp;number=5.33e-06&amp;sourceID=14","5.33e-06")</f>
        <v>5.33e-06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HYPERLINK("http://141.218.60.56/~jnz1568/getInfo.php?workbook=18_08.xlsx&amp;sheet=U0&amp;row=7229&amp;col=6&amp;number=3.5&amp;sourceID=14","3.5")</f>
        <v>3.5</v>
      </c>
      <c r="G7229" s="4" t="str">
        <f>HYPERLINK("http://141.218.60.56/~jnz1568/getInfo.php?workbook=18_08.xlsx&amp;sheet=U0&amp;row=7229&amp;col=7&amp;number=5.33e-06&amp;sourceID=14","5.33e-06")</f>
        <v>5.33e-06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HYPERLINK("http://141.218.60.56/~jnz1568/getInfo.php?workbook=18_08.xlsx&amp;sheet=U0&amp;row=7230&amp;col=6&amp;number=3.6&amp;sourceID=14","3.6")</f>
        <v>3.6</v>
      </c>
      <c r="G7230" s="4" t="str">
        <f>HYPERLINK("http://141.218.60.56/~jnz1568/getInfo.php?workbook=18_08.xlsx&amp;sheet=U0&amp;row=7230&amp;col=7&amp;number=5.33e-06&amp;sourceID=14","5.33e-06")</f>
        <v>5.33e-06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HYPERLINK("http://141.218.60.56/~jnz1568/getInfo.php?workbook=18_08.xlsx&amp;sheet=U0&amp;row=7231&amp;col=6&amp;number=3.7&amp;sourceID=14","3.7")</f>
        <v>3.7</v>
      </c>
      <c r="G7231" s="4" t="str">
        <f>HYPERLINK("http://141.218.60.56/~jnz1568/getInfo.php?workbook=18_08.xlsx&amp;sheet=U0&amp;row=7231&amp;col=7&amp;number=5.33e-06&amp;sourceID=14","5.33e-06")</f>
        <v>5.33e-06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HYPERLINK("http://141.218.60.56/~jnz1568/getInfo.php?workbook=18_08.xlsx&amp;sheet=U0&amp;row=7232&amp;col=6&amp;number=3.8&amp;sourceID=14","3.8")</f>
        <v>3.8</v>
      </c>
      <c r="G7232" s="4" t="str">
        <f>HYPERLINK("http://141.218.60.56/~jnz1568/getInfo.php?workbook=18_08.xlsx&amp;sheet=U0&amp;row=7232&amp;col=7&amp;number=5.32e-06&amp;sourceID=14","5.32e-06")</f>
        <v>5.32e-06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HYPERLINK("http://141.218.60.56/~jnz1568/getInfo.php?workbook=18_08.xlsx&amp;sheet=U0&amp;row=7233&amp;col=6&amp;number=3.9&amp;sourceID=14","3.9")</f>
        <v>3.9</v>
      </c>
      <c r="G7233" s="4" t="str">
        <f>HYPERLINK("http://141.218.60.56/~jnz1568/getInfo.php?workbook=18_08.xlsx&amp;sheet=U0&amp;row=7233&amp;col=7&amp;number=5.32e-06&amp;sourceID=14","5.32e-06")</f>
        <v>5.32e-06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HYPERLINK("http://141.218.60.56/~jnz1568/getInfo.php?workbook=18_08.xlsx&amp;sheet=U0&amp;row=7234&amp;col=6&amp;number=4&amp;sourceID=14","4")</f>
        <v>4</v>
      </c>
      <c r="G7234" s="4" t="str">
        <f>HYPERLINK("http://141.218.60.56/~jnz1568/getInfo.php?workbook=18_08.xlsx&amp;sheet=U0&amp;row=7234&amp;col=7&amp;number=5.32e-06&amp;sourceID=14","5.32e-06")</f>
        <v>5.32e-06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HYPERLINK("http://141.218.60.56/~jnz1568/getInfo.php?workbook=18_08.xlsx&amp;sheet=U0&amp;row=7235&amp;col=6&amp;number=4.1&amp;sourceID=14","4.1")</f>
        <v>4.1</v>
      </c>
      <c r="G7235" s="4" t="str">
        <f>HYPERLINK("http://141.218.60.56/~jnz1568/getInfo.php?workbook=18_08.xlsx&amp;sheet=U0&amp;row=7235&amp;col=7&amp;number=5.31e-06&amp;sourceID=14","5.31e-06")</f>
        <v>5.31e-06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HYPERLINK("http://141.218.60.56/~jnz1568/getInfo.php?workbook=18_08.xlsx&amp;sheet=U0&amp;row=7236&amp;col=6&amp;number=4.2&amp;sourceID=14","4.2")</f>
        <v>4.2</v>
      </c>
      <c r="G7236" s="4" t="str">
        <f>HYPERLINK("http://141.218.60.56/~jnz1568/getInfo.php?workbook=18_08.xlsx&amp;sheet=U0&amp;row=7236&amp;col=7&amp;number=5.31e-06&amp;sourceID=14","5.31e-06")</f>
        <v>5.31e-06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HYPERLINK("http://141.218.60.56/~jnz1568/getInfo.php?workbook=18_08.xlsx&amp;sheet=U0&amp;row=7237&amp;col=6&amp;number=4.3&amp;sourceID=14","4.3")</f>
        <v>4.3</v>
      </c>
      <c r="G7237" s="4" t="str">
        <f>HYPERLINK("http://141.218.60.56/~jnz1568/getInfo.php?workbook=18_08.xlsx&amp;sheet=U0&amp;row=7237&amp;col=7&amp;number=5.3e-06&amp;sourceID=14","5.3e-06")</f>
        <v>5.3e-06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HYPERLINK("http://141.218.60.56/~jnz1568/getInfo.php?workbook=18_08.xlsx&amp;sheet=U0&amp;row=7238&amp;col=6&amp;number=4.4&amp;sourceID=14","4.4")</f>
        <v>4.4</v>
      </c>
      <c r="G7238" s="4" t="str">
        <f>HYPERLINK("http://141.218.60.56/~jnz1568/getInfo.php?workbook=18_08.xlsx&amp;sheet=U0&amp;row=7238&amp;col=7&amp;number=5.29e-06&amp;sourceID=14","5.29e-06")</f>
        <v>5.29e-06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HYPERLINK("http://141.218.60.56/~jnz1568/getInfo.php?workbook=18_08.xlsx&amp;sheet=U0&amp;row=7239&amp;col=6&amp;number=4.5&amp;sourceID=14","4.5")</f>
        <v>4.5</v>
      </c>
      <c r="G7239" s="4" t="str">
        <f>HYPERLINK("http://141.218.60.56/~jnz1568/getInfo.php?workbook=18_08.xlsx&amp;sheet=U0&amp;row=7239&amp;col=7&amp;number=5.28e-06&amp;sourceID=14","5.28e-06")</f>
        <v>5.28e-06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HYPERLINK("http://141.218.60.56/~jnz1568/getInfo.php?workbook=18_08.xlsx&amp;sheet=U0&amp;row=7240&amp;col=6&amp;number=4.6&amp;sourceID=14","4.6")</f>
        <v>4.6</v>
      </c>
      <c r="G7240" s="4" t="str">
        <f>HYPERLINK("http://141.218.60.56/~jnz1568/getInfo.php?workbook=18_08.xlsx&amp;sheet=U0&amp;row=7240&amp;col=7&amp;number=5.27e-06&amp;sourceID=14","5.27e-06")</f>
        <v>5.27e-06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HYPERLINK("http://141.218.60.56/~jnz1568/getInfo.php?workbook=18_08.xlsx&amp;sheet=U0&amp;row=7241&amp;col=6&amp;number=4.7&amp;sourceID=14","4.7")</f>
        <v>4.7</v>
      </c>
      <c r="G7241" s="4" t="str">
        <f>HYPERLINK("http://141.218.60.56/~jnz1568/getInfo.php?workbook=18_08.xlsx&amp;sheet=U0&amp;row=7241&amp;col=7&amp;number=5.26e-06&amp;sourceID=14","5.26e-06")</f>
        <v>5.26e-06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HYPERLINK("http://141.218.60.56/~jnz1568/getInfo.php?workbook=18_08.xlsx&amp;sheet=U0&amp;row=7242&amp;col=6&amp;number=4.8&amp;sourceID=14","4.8")</f>
        <v>4.8</v>
      </c>
      <c r="G7242" s="4" t="str">
        <f>HYPERLINK("http://141.218.60.56/~jnz1568/getInfo.php?workbook=18_08.xlsx&amp;sheet=U0&amp;row=7242&amp;col=7&amp;number=5.23e-06&amp;sourceID=14","5.23e-06")</f>
        <v>5.23e-06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HYPERLINK("http://141.218.60.56/~jnz1568/getInfo.php?workbook=18_08.xlsx&amp;sheet=U0&amp;row=7243&amp;col=6&amp;number=4.9&amp;sourceID=14","4.9")</f>
        <v>4.9</v>
      </c>
      <c r="G7243" s="4" t="str">
        <f>HYPERLINK("http://141.218.60.56/~jnz1568/getInfo.php?workbook=18_08.xlsx&amp;sheet=U0&amp;row=7243&amp;col=7&amp;number=5.21e-06&amp;sourceID=14","5.21e-06")</f>
        <v>5.21e-06</v>
      </c>
    </row>
    <row r="7244" spans="1:7">
      <c r="A7244" s="3">
        <v>18</v>
      </c>
      <c r="B7244" s="3">
        <v>8</v>
      </c>
      <c r="C7244" s="3" t="s">
        <v>80</v>
      </c>
      <c r="D7244" s="3">
        <v>4</v>
      </c>
      <c r="E7244" s="3">
        <v>1</v>
      </c>
      <c r="F7244" s="4" t="str">
        <f>HYPERLINK("http://141.218.60.56/~jnz1568/getInfo.php?workbook=18_08.xlsx&amp;sheet=U0&amp;row=7244&amp;col=6&amp;number=3&amp;sourceID=14","3")</f>
        <v>3</v>
      </c>
      <c r="G7244" s="4" t="str">
        <f>HYPERLINK("http://141.218.60.56/~jnz1568/getInfo.php?workbook=18_08.xlsx&amp;sheet=U0&amp;row=7244&amp;col=7&amp;number=8.8e-05&amp;sourceID=14","8.8e-05")</f>
        <v>8.8e-05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HYPERLINK("http://141.218.60.56/~jnz1568/getInfo.php?workbook=18_08.xlsx&amp;sheet=U0&amp;row=7245&amp;col=6&amp;number=3.1&amp;sourceID=14","3.1")</f>
        <v>3.1</v>
      </c>
      <c r="G7245" s="4" t="str">
        <f>HYPERLINK("http://141.218.60.56/~jnz1568/getInfo.php?workbook=18_08.xlsx&amp;sheet=U0&amp;row=7245&amp;col=7&amp;number=8.8e-05&amp;sourceID=14","8.8e-05")</f>
        <v>8.8e-05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HYPERLINK("http://141.218.60.56/~jnz1568/getInfo.php?workbook=18_08.xlsx&amp;sheet=U0&amp;row=7246&amp;col=6&amp;number=3.2&amp;sourceID=14","3.2")</f>
        <v>3.2</v>
      </c>
      <c r="G7246" s="4" t="str">
        <f>HYPERLINK("http://141.218.60.56/~jnz1568/getInfo.php?workbook=18_08.xlsx&amp;sheet=U0&amp;row=7246&amp;col=7&amp;number=8.8e-05&amp;sourceID=14","8.8e-05")</f>
        <v>8.8e-05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HYPERLINK("http://141.218.60.56/~jnz1568/getInfo.php?workbook=18_08.xlsx&amp;sheet=U0&amp;row=7247&amp;col=6&amp;number=3.3&amp;sourceID=14","3.3")</f>
        <v>3.3</v>
      </c>
      <c r="G7247" s="4" t="str">
        <f>HYPERLINK("http://141.218.60.56/~jnz1568/getInfo.php?workbook=18_08.xlsx&amp;sheet=U0&amp;row=7247&amp;col=7&amp;number=8.8e-05&amp;sourceID=14","8.8e-05")</f>
        <v>8.8e-05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HYPERLINK("http://141.218.60.56/~jnz1568/getInfo.php?workbook=18_08.xlsx&amp;sheet=U0&amp;row=7248&amp;col=6&amp;number=3.4&amp;sourceID=14","3.4")</f>
        <v>3.4</v>
      </c>
      <c r="G7248" s="4" t="str">
        <f>HYPERLINK("http://141.218.60.56/~jnz1568/getInfo.php?workbook=18_08.xlsx&amp;sheet=U0&amp;row=7248&amp;col=7&amp;number=8.8e-05&amp;sourceID=14","8.8e-05")</f>
        <v>8.8e-05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HYPERLINK("http://141.218.60.56/~jnz1568/getInfo.php?workbook=18_08.xlsx&amp;sheet=U0&amp;row=7249&amp;col=6&amp;number=3.5&amp;sourceID=14","3.5")</f>
        <v>3.5</v>
      </c>
      <c r="G7249" s="4" t="str">
        <f>HYPERLINK("http://141.218.60.56/~jnz1568/getInfo.php?workbook=18_08.xlsx&amp;sheet=U0&amp;row=7249&amp;col=7&amp;number=8.8e-05&amp;sourceID=14","8.8e-05")</f>
        <v>8.8e-05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HYPERLINK("http://141.218.60.56/~jnz1568/getInfo.php?workbook=18_08.xlsx&amp;sheet=U0&amp;row=7250&amp;col=6&amp;number=3.6&amp;sourceID=14","3.6")</f>
        <v>3.6</v>
      </c>
      <c r="G7250" s="4" t="str">
        <f>HYPERLINK("http://141.218.60.56/~jnz1568/getInfo.php?workbook=18_08.xlsx&amp;sheet=U0&amp;row=7250&amp;col=7&amp;number=8.8e-05&amp;sourceID=14","8.8e-05")</f>
        <v>8.8e-05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HYPERLINK("http://141.218.60.56/~jnz1568/getInfo.php?workbook=18_08.xlsx&amp;sheet=U0&amp;row=7251&amp;col=6&amp;number=3.7&amp;sourceID=14","3.7")</f>
        <v>3.7</v>
      </c>
      <c r="G7251" s="4" t="str">
        <f>HYPERLINK("http://141.218.60.56/~jnz1568/getInfo.php?workbook=18_08.xlsx&amp;sheet=U0&amp;row=7251&amp;col=7&amp;number=8.8e-05&amp;sourceID=14","8.8e-05")</f>
        <v>8.8e-05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HYPERLINK("http://141.218.60.56/~jnz1568/getInfo.php?workbook=18_08.xlsx&amp;sheet=U0&amp;row=7252&amp;col=6&amp;number=3.8&amp;sourceID=14","3.8")</f>
        <v>3.8</v>
      </c>
      <c r="G7252" s="4" t="str">
        <f>HYPERLINK("http://141.218.60.56/~jnz1568/getInfo.php?workbook=18_08.xlsx&amp;sheet=U0&amp;row=7252&amp;col=7&amp;number=8.79e-05&amp;sourceID=14","8.79e-05")</f>
        <v>8.79e-05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HYPERLINK("http://141.218.60.56/~jnz1568/getInfo.php?workbook=18_08.xlsx&amp;sheet=U0&amp;row=7253&amp;col=6&amp;number=3.9&amp;sourceID=14","3.9")</f>
        <v>3.9</v>
      </c>
      <c r="G7253" s="4" t="str">
        <f>HYPERLINK("http://141.218.60.56/~jnz1568/getInfo.php?workbook=18_08.xlsx&amp;sheet=U0&amp;row=7253&amp;col=7&amp;number=8.79e-05&amp;sourceID=14","8.79e-05")</f>
        <v>8.79e-05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HYPERLINK("http://141.218.60.56/~jnz1568/getInfo.php?workbook=18_08.xlsx&amp;sheet=U0&amp;row=7254&amp;col=6&amp;number=4&amp;sourceID=14","4")</f>
        <v>4</v>
      </c>
      <c r="G7254" s="4" t="str">
        <f>HYPERLINK("http://141.218.60.56/~jnz1568/getInfo.php?workbook=18_08.xlsx&amp;sheet=U0&amp;row=7254&amp;col=7&amp;number=8.79e-05&amp;sourceID=14","8.79e-05")</f>
        <v>8.79e-05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HYPERLINK("http://141.218.60.56/~jnz1568/getInfo.php?workbook=18_08.xlsx&amp;sheet=U0&amp;row=7255&amp;col=6&amp;number=4.1&amp;sourceID=14","4.1")</f>
        <v>4.1</v>
      </c>
      <c r="G7255" s="4" t="str">
        <f>HYPERLINK("http://141.218.60.56/~jnz1568/getInfo.php?workbook=18_08.xlsx&amp;sheet=U0&amp;row=7255&amp;col=7&amp;number=8.78e-05&amp;sourceID=14","8.78e-05")</f>
        <v>8.78e-05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HYPERLINK("http://141.218.60.56/~jnz1568/getInfo.php?workbook=18_08.xlsx&amp;sheet=U0&amp;row=7256&amp;col=6&amp;number=4.2&amp;sourceID=14","4.2")</f>
        <v>4.2</v>
      </c>
      <c r="G7256" s="4" t="str">
        <f>HYPERLINK("http://141.218.60.56/~jnz1568/getInfo.php?workbook=18_08.xlsx&amp;sheet=U0&amp;row=7256&amp;col=7&amp;number=8.78e-05&amp;sourceID=14","8.78e-05")</f>
        <v>8.78e-05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HYPERLINK("http://141.218.60.56/~jnz1568/getInfo.php?workbook=18_08.xlsx&amp;sheet=U0&amp;row=7257&amp;col=6&amp;number=4.3&amp;sourceID=14","4.3")</f>
        <v>4.3</v>
      </c>
      <c r="G7257" s="4" t="str">
        <f>HYPERLINK("http://141.218.60.56/~jnz1568/getInfo.php?workbook=18_08.xlsx&amp;sheet=U0&amp;row=7257&amp;col=7&amp;number=8.77e-05&amp;sourceID=14","8.77e-05")</f>
        <v>8.77e-05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HYPERLINK("http://141.218.60.56/~jnz1568/getInfo.php?workbook=18_08.xlsx&amp;sheet=U0&amp;row=7258&amp;col=6&amp;number=4.4&amp;sourceID=14","4.4")</f>
        <v>4.4</v>
      </c>
      <c r="G7258" s="4" t="str">
        <f>HYPERLINK("http://141.218.60.56/~jnz1568/getInfo.php?workbook=18_08.xlsx&amp;sheet=U0&amp;row=7258&amp;col=7&amp;number=8.76e-05&amp;sourceID=14","8.76e-05")</f>
        <v>8.76e-05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HYPERLINK("http://141.218.60.56/~jnz1568/getInfo.php?workbook=18_08.xlsx&amp;sheet=U0&amp;row=7259&amp;col=6&amp;number=4.5&amp;sourceID=14","4.5")</f>
        <v>4.5</v>
      </c>
      <c r="G7259" s="4" t="str">
        <f>HYPERLINK("http://141.218.60.56/~jnz1568/getInfo.php?workbook=18_08.xlsx&amp;sheet=U0&amp;row=7259&amp;col=7&amp;number=8.75e-05&amp;sourceID=14","8.75e-05")</f>
        <v>8.75e-05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HYPERLINK("http://141.218.60.56/~jnz1568/getInfo.php?workbook=18_08.xlsx&amp;sheet=U0&amp;row=7260&amp;col=6&amp;number=4.6&amp;sourceID=14","4.6")</f>
        <v>4.6</v>
      </c>
      <c r="G7260" s="4" t="str">
        <f>HYPERLINK("http://141.218.60.56/~jnz1568/getInfo.php?workbook=18_08.xlsx&amp;sheet=U0&amp;row=7260&amp;col=7&amp;number=8.74e-05&amp;sourceID=14","8.74e-05")</f>
        <v>8.74e-05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HYPERLINK("http://141.218.60.56/~jnz1568/getInfo.php?workbook=18_08.xlsx&amp;sheet=U0&amp;row=7261&amp;col=6&amp;number=4.7&amp;sourceID=14","4.7")</f>
        <v>4.7</v>
      </c>
      <c r="G7261" s="4" t="str">
        <f>HYPERLINK("http://141.218.60.56/~jnz1568/getInfo.php?workbook=18_08.xlsx&amp;sheet=U0&amp;row=7261&amp;col=7&amp;number=8.72e-05&amp;sourceID=14","8.72e-05")</f>
        <v>8.72e-05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HYPERLINK("http://141.218.60.56/~jnz1568/getInfo.php?workbook=18_08.xlsx&amp;sheet=U0&amp;row=7262&amp;col=6&amp;number=4.8&amp;sourceID=14","4.8")</f>
        <v>4.8</v>
      </c>
      <c r="G7262" s="4" t="str">
        <f>HYPERLINK("http://141.218.60.56/~jnz1568/getInfo.php?workbook=18_08.xlsx&amp;sheet=U0&amp;row=7262&amp;col=7&amp;number=8.7e-05&amp;sourceID=14","8.7e-05")</f>
        <v>8.7e-05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HYPERLINK("http://141.218.60.56/~jnz1568/getInfo.php?workbook=18_08.xlsx&amp;sheet=U0&amp;row=7263&amp;col=6&amp;number=4.9&amp;sourceID=14","4.9")</f>
        <v>4.9</v>
      </c>
      <c r="G7263" s="4" t="str">
        <f>HYPERLINK("http://141.218.60.56/~jnz1568/getInfo.php?workbook=18_08.xlsx&amp;sheet=U0&amp;row=7263&amp;col=7&amp;number=8.67e-05&amp;sourceID=14","8.67e-05")</f>
        <v>8.67e-05</v>
      </c>
    </row>
    <row r="7264" spans="1:7">
      <c r="A7264" s="3">
        <v>18</v>
      </c>
      <c r="B7264" s="3">
        <v>8</v>
      </c>
      <c r="C7264" s="3" t="s">
        <v>80</v>
      </c>
      <c r="D7264" s="3">
        <v>5</v>
      </c>
      <c r="E7264" s="3">
        <v>1</v>
      </c>
      <c r="F7264" s="4" t="str">
        <f>HYPERLINK("http://141.218.60.56/~jnz1568/getInfo.php?workbook=18_08.xlsx&amp;sheet=U0&amp;row=7264&amp;col=6&amp;number=3&amp;sourceID=14","3")</f>
        <v>3</v>
      </c>
      <c r="G7264" s="4" t="str">
        <f>HYPERLINK("http://141.218.60.56/~jnz1568/getInfo.php?workbook=18_08.xlsx&amp;sheet=U0&amp;row=7264&amp;col=7&amp;number=0.00017&amp;sourceID=14","0.00017")</f>
        <v>0.00017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HYPERLINK("http://141.218.60.56/~jnz1568/getInfo.php?workbook=18_08.xlsx&amp;sheet=U0&amp;row=7265&amp;col=6&amp;number=3.1&amp;sourceID=14","3.1")</f>
        <v>3.1</v>
      </c>
      <c r="G7265" s="4" t="str">
        <f>HYPERLINK("http://141.218.60.56/~jnz1568/getInfo.php?workbook=18_08.xlsx&amp;sheet=U0&amp;row=7265&amp;col=7&amp;number=0.00017&amp;sourceID=14","0.00017")</f>
        <v>0.00017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HYPERLINK("http://141.218.60.56/~jnz1568/getInfo.php?workbook=18_08.xlsx&amp;sheet=U0&amp;row=7266&amp;col=6&amp;number=3.2&amp;sourceID=14","3.2")</f>
        <v>3.2</v>
      </c>
      <c r="G7266" s="4" t="str">
        <f>HYPERLINK("http://141.218.60.56/~jnz1568/getInfo.php?workbook=18_08.xlsx&amp;sheet=U0&amp;row=7266&amp;col=7&amp;number=0.00017&amp;sourceID=14","0.00017")</f>
        <v>0.00017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HYPERLINK("http://141.218.60.56/~jnz1568/getInfo.php?workbook=18_08.xlsx&amp;sheet=U0&amp;row=7267&amp;col=6&amp;number=3.3&amp;sourceID=14","3.3")</f>
        <v>3.3</v>
      </c>
      <c r="G7267" s="4" t="str">
        <f>HYPERLINK("http://141.218.60.56/~jnz1568/getInfo.php?workbook=18_08.xlsx&amp;sheet=U0&amp;row=7267&amp;col=7&amp;number=0.00017&amp;sourceID=14","0.00017")</f>
        <v>0.00017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HYPERLINK("http://141.218.60.56/~jnz1568/getInfo.php?workbook=18_08.xlsx&amp;sheet=U0&amp;row=7268&amp;col=6&amp;number=3.4&amp;sourceID=14","3.4")</f>
        <v>3.4</v>
      </c>
      <c r="G7268" s="4" t="str">
        <f>HYPERLINK("http://141.218.60.56/~jnz1568/getInfo.php?workbook=18_08.xlsx&amp;sheet=U0&amp;row=7268&amp;col=7&amp;number=0.00017&amp;sourceID=14","0.00017")</f>
        <v>0.00017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HYPERLINK("http://141.218.60.56/~jnz1568/getInfo.php?workbook=18_08.xlsx&amp;sheet=U0&amp;row=7269&amp;col=6&amp;number=3.5&amp;sourceID=14","3.5")</f>
        <v>3.5</v>
      </c>
      <c r="G7269" s="4" t="str">
        <f>HYPERLINK("http://141.218.60.56/~jnz1568/getInfo.php?workbook=18_08.xlsx&amp;sheet=U0&amp;row=7269&amp;col=7&amp;number=0.00017&amp;sourceID=14","0.00017")</f>
        <v>0.00017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HYPERLINK("http://141.218.60.56/~jnz1568/getInfo.php?workbook=18_08.xlsx&amp;sheet=U0&amp;row=7270&amp;col=6&amp;number=3.6&amp;sourceID=14","3.6")</f>
        <v>3.6</v>
      </c>
      <c r="G7270" s="4" t="str">
        <f>HYPERLINK("http://141.218.60.56/~jnz1568/getInfo.php?workbook=18_08.xlsx&amp;sheet=U0&amp;row=7270&amp;col=7&amp;number=0.00017&amp;sourceID=14","0.00017")</f>
        <v>0.00017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HYPERLINK("http://141.218.60.56/~jnz1568/getInfo.php?workbook=18_08.xlsx&amp;sheet=U0&amp;row=7271&amp;col=6&amp;number=3.7&amp;sourceID=14","3.7")</f>
        <v>3.7</v>
      </c>
      <c r="G7271" s="4" t="str">
        <f>HYPERLINK("http://141.218.60.56/~jnz1568/getInfo.php?workbook=18_08.xlsx&amp;sheet=U0&amp;row=7271&amp;col=7&amp;number=0.00017&amp;sourceID=14","0.00017")</f>
        <v>0.00017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HYPERLINK("http://141.218.60.56/~jnz1568/getInfo.php?workbook=18_08.xlsx&amp;sheet=U0&amp;row=7272&amp;col=6&amp;number=3.8&amp;sourceID=14","3.8")</f>
        <v>3.8</v>
      </c>
      <c r="G7272" s="4" t="str">
        <f>HYPERLINK("http://141.218.60.56/~jnz1568/getInfo.php?workbook=18_08.xlsx&amp;sheet=U0&amp;row=7272&amp;col=7&amp;number=0.00017&amp;sourceID=14","0.00017")</f>
        <v>0.00017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HYPERLINK("http://141.218.60.56/~jnz1568/getInfo.php?workbook=18_08.xlsx&amp;sheet=U0&amp;row=7273&amp;col=6&amp;number=3.9&amp;sourceID=14","3.9")</f>
        <v>3.9</v>
      </c>
      <c r="G7273" s="4" t="str">
        <f>HYPERLINK("http://141.218.60.56/~jnz1568/getInfo.php?workbook=18_08.xlsx&amp;sheet=U0&amp;row=7273&amp;col=7&amp;number=0.000169&amp;sourceID=14","0.000169")</f>
        <v>0.000169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HYPERLINK("http://141.218.60.56/~jnz1568/getInfo.php?workbook=18_08.xlsx&amp;sheet=U0&amp;row=7274&amp;col=6&amp;number=4&amp;sourceID=14","4")</f>
        <v>4</v>
      </c>
      <c r="G7274" s="4" t="str">
        <f>HYPERLINK("http://141.218.60.56/~jnz1568/getInfo.php?workbook=18_08.xlsx&amp;sheet=U0&amp;row=7274&amp;col=7&amp;number=0.000169&amp;sourceID=14","0.000169")</f>
        <v>0.000169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HYPERLINK("http://141.218.60.56/~jnz1568/getInfo.php?workbook=18_08.xlsx&amp;sheet=U0&amp;row=7275&amp;col=6&amp;number=4.1&amp;sourceID=14","4.1")</f>
        <v>4.1</v>
      </c>
      <c r="G7275" s="4" t="str">
        <f>HYPERLINK("http://141.218.60.56/~jnz1568/getInfo.php?workbook=18_08.xlsx&amp;sheet=U0&amp;row=7275&amp;col=7&amp;number=0.000169&amp;sourceID=14","0.000169")</f>
        <v>0.000169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HYPERLINK("http://141.218.60.56/~jnz1568/getInfo.php?workbook=18_08.xlsx&amp;sheet=U0&amp;row=7276&amp;col=6&amp;number=4.2&amp;sourceID=14","4.2")</f>
        <v>4.2</v>
      </c>
      <c r="G7276" s="4" t="str">
        <f>HYPERLINK("http://141.218.60.56/~jnz1568/getInfo.php?workbook=18_08.xlsx&amp;sheet=U0&amp;row=7276&amp;col=7&amp;number=0.000169&amp;sourceID=14","0.000169")</f>
        <v>0.000169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HYPERLINK("http://141.218.60.56/~jnz1568/getInfo.php?workbook=18_08.xlsx&amp;sheet=U0&amp;row=7277&amp;col=6&amp;number=4.3&amp;sourceID=14","4.3")</f>
        <v>4.3</v>
      </c>
      <c r="G7277" s="4" t="str">
        <f>HYPERLINK("http://141.218.60.56/~jnz1568/getInfo.php?workbook=18_08.xlsx&amp;sheet=U0&amp;row=7277&amp;col=7&amp;number=0.000169&amp;sourceID=14","0.000169")</f>
        <v>0.000169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HYPERLINK("http://141.218.60.56/~jnz1568/getInfo.php?workbook=18_08.xlsx&amp;sheet=U0&amp;row=7278&amp;col=6&amp;number=4.4&amp;sourceID=14","4.4")</f>
        <v>4.4</v>
      </c>
      <c r="G7278" s="4" t="str">
        <f>HYPERLINK("http://141.218.60.56/~jnz1568/getInfo.php?workbook=18_08.xlsx&amp;sheet=U0&amp;row=7278&amp;col=7&amp;number=0.000169&amp;sourceID=14","0.000169")</f>
        <v>0.000169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HYPERLINK("http://141.218.60.56/~jnz1568/getInfo.php?workbook=18_08.xlsx&amp;sheet=U0&amp;row=7279&amp;col=6&amp;number=4.5&amp;sourceID=14","4.5")</f>
        <v>4.5</v>
      </c>
      <c r="G7279" s="4" t="str">
        <f>HYPERLINK("http://141.218.60.56/~jnz1568/getInfo.php?workbook=18_08.xlsx&amp;sheet=U0&amp;row=7279&amp;col=7&amp;number=0.000169&amp;sourceID=14","0.000169")</f>
        <v>0.000169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HYPERLINK("http://141.218.60.56/~jnz1568/getInfo.php?workbook=18_08.xlsx&amp;sheet=U0&amp;row=7280&amp;col=6&amp;number=4.6&amp;sourceID=14","4.6")</f>
        <v>4.6</v>
      </c>
      <c r="G7280" s="4" t="str">
        <f>HYPERLINK("http://141.218.60.56/~jnz1568/getInfo.php?workbook=18_08.xlsx&amp;sheet=U0&amp;row=7280&amp;col=7&amp;number=0.000169&amp;sourceID=14","0.000169")</f>
        <v>0.000169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HYPERLINK("http://141.218.60.56/~jnz1568/getInfo.php?workbook=18_08.xlsx&amp;sheet=U0&amp;row=7281&amp;col=6&amp;number=4.7&amp;sourceID=14","4.7")</f>
        <v>4.7</v>
      </c>
      <c r="G7281" s="4" t="str">
        <f>HYPERLINK("http://141.218.60.56/~jnz1568/getInfo.php?workbook=18_08.xlsx&amp;sheet=U0&amp;row=7281&amp;col=7&amp;number=0.000168&amp;sourceID=14","0.000168")</f>
        <v>0.000168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HYPERLINK("http://141.218.60.56/~jnz1568/getInfo.php?workbook=18_08.xlsx&amp;sheet=U0&amp;row=7282&amp;col=6&amp;number=4.8&amp;sourceID=14","4.8")</f>
        <v>4.8</v>
      </c>
      <c r="G7282" s="4" t="str">
        <f>HYPERLINK("http://141.218.60.56/~jnz1568/getInfo.php?workbook=18_08.xlsx&amp;sheet=U0&amp;row=7282&amp;col=7&amp;number=0.000168&amp;sourceID=14","0.000168")</f>
        <v>0.000168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HYPERLINK("http://141.218.60.56/~jnz1568/getInfo.php?workbook=18_08.xlsx&amp;sheet=U0&amp;row=7283&amp;col=6&amp;number=4.9&amp;sourceID=14","4.9")</f>
        <v>4.9</v>
      </c>
      <c r="G7283" s="4" t="str">
        <f>HYPERLINK("http://141.218.60.56/~jnz1568/getInfo.php?workbook=18_08.xlsx&amp;sheet=U0&amp;row=7283&amp;col=7&amp;number=0.000167&amp;sourceID=14","0.000167")</f>
        <v>0.000167</v>
      </c>
    </row>
    <row r="7284" spans="1:7">
      <c r="A7284" s="3">
        <v>18</v>
      </c>
      <c r="B7284" s="3">
        <v>8</v>
      </c>
      <c r="C7284" s="3" t="s">
        <v>80</v>
      </c>
      <c r="D7284" s="3">
        <v>6</v>
      </c>
      <c r="E7284" s="3">
        <v>1</v>
      </c>
      <c r="F7284" s="4" t="str">
        <f>HYPERLINK("http://141.218.60.56/~jnz1568/getInfo.php?workbook=18_08.xlsx&amp;sheet=U0&amp;row=7284&amp;col=6&amp;number=3&amp;sourceID=14","3")</f>
        <v>3</v>
      </c>
      <c r="G7284" s="4" t="str">
        <f>HYPERLINK("http://141.218.60.56/~jnz1568/getInfo.php?workbook=18_08.xlsx&amp;sheet=U0&amp;row=7284&amp;col=7&amp;number=0.0016&amp;sourceID=14","0.0016")</f>
        <v>0.0016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HYPERLINK("http://141.218.60.56/~jnz1568/getInfo.php?workbook=18_08.xlsx&amp;sheet=U0&amp;row=7285&amp;col=6&amp;number=3.1&amp;sourceID=14","3.1")</f>
        <v>3.1</v>
      </c>
      <c r="G7285" s="4" t="str">
        <f>HYPERLINK("http://141.218.60.56/~jnz1568/getInfo.php?workbook=18_08.xlsx&amp;sheet=U0&amp;row=7285&amp;col=7&amp;number=0.0016&amp;sourceID=14","0.0016")</f>
        <v>0.0016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HYPERLINK("http://141.218.60.56/~jnz1568/getInfo.php?workbook=18_08.xlsx&amp;sheet=U0&amp;row=7286&amp;col=6&amp;number=3.2&amp;sourceID=14","3.2")</f>
        <v>3.2</v>
      </c>
      <c r="G7286" s="4" t="str">
        <f>HYPERLINK("http://141.218.60.56/~jnz1568/getInfo.php?workbook=18_08.xlsx&amp;sheet=U0&amp;row=7286&amp;col=7&amp;number=0.0016&amp;sourceID=14","0.0016")</f>
        <v>0.0016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HYPERLINK("http://141.218.60.56/~jnz1568/getInfo.php?workbook=18_08.xlsx&amp;sheet=U0&amp;row=7287&amp;col=6&amp;number=3.3&amp;sourceID=14","3.3")</f>
        <v>3.3</v>
      </c>
      <c r="G7287" s="4" t="str">
        <f>HYPERLINK("http://141.218.60.56/~jnz1568/getInfo.php?workbook=18_08.xlsx&amp;sheet=U0&amp;row=7287&amp;col=7&amp;number=0.0016&amp;sourceID=14","0.0016")</f>
        <v>0.0016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HYPERLINK("http://141.218.60.56/~jnz1568/getInfo.php?workbook=18_08.xlsx&amp;sheet=U0&amp;row=7288&amp;col=6&amp;number=3.4&amp;sourceID=14","3.4")</f>
        <v>3.4</v>
      </c>
      <c r="G7288" s="4" t="str">
        <f>HYPERLINK("http://141.218.60.56/~jnz1568/getInfo.php?workbook=18_08.xlsx&amp;sheet=U0&amp;row=7288&amp;col=7&amp;number=0.0016&amp;sourceID=14","0.0016")</f>
        <v>0.0016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HYPERLINK("http://141.218.60.56/~jnz1568/getInfo.php?workbook=18_08.xlsx&amp;sheet=U0&amp;row=7289&amp;col=6&amp;number=3.5&amp;sourceID=14","3.5")</f>
        <v>3.5</v>
      </c>
      <c r="G7289" s="4" t="str">
        <f>HYPERLINK("http://141.218.60.56/~jnz1568/getInfo.php?workbook=18_08.xlsx&amp;sheet=U0&amp;row=7289&amp;col=7&amp;number=0.0016&amp;sourceID=14","0.0016")</f>
        <v>0.0016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HYPERLINK("http://141.218.60.56/~jnz1568/getInfo.php?workbook=18_08.xlsx&amp;sheet=U0&amp;row=7290&amp;col=6&amp;number=3.6&amp;sourceID=14","3.6")</f>
        <v>3.6</v>
      </c>
      <c r="G7290" s="4" t="str">
        <f>HYPERLINK("http://141.218.60.56/~jnz1568/getInfo.php?workbook=18_08.xlsx&amp;sheet=U0&amp;row=7290&amp;col=7&amp;number=0.0016&amp;sourceID=14","0.0016")</f>
        <v>0.0016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HYPERLINK("http://141.218.60.56/~jnz1568/getInfo.php?workbook=18_08.xlsx&amp;sheet=U0&amp;row=7291&amp;col=6&amp;number=3.7&amp;sourceID=14","3.7")</f>
        <v>3.7</v>
      </c>
      <c r="G7291" s="4" t="str">
        <f>HYPERLINK("http://141.218.60.56/~jnz1568/getInfo.php?workbook=18_08.xlsx&amp;sheet=U0&amp;row=7291&amp;col=7&amp;number=0.0016&amp;sourceID=14","0.0016")</f>
        <v>0.0016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HYPERLINK("http://141.218.60.56/~jnz1568/getInfo.php?workbook=18_08.xlsx&amp;sheet=U0&amp;row=7292&amp;col=6&amp;number=3.8&amp;sourceID=14","3.8")</f>
        <v>3.8</v>
      </c>
      <c r="G7292" s="4" t="str">
        <f>HYPERLINK("http://141.218.60.56/~jnz1568/getInfo.php?workbook=18_08.xlsx&amp;sheet=U0&amp;row=7292&amp;col=7&amp;number=0.0016&amp;sourceID=14","0.0016")</f>
        <v>0.0016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HYPERLINK("http://141.218.60.56/~jnz1568/getInfo.php?workbook=18_08.xlsx&amp;sheet=U0&amp;row=7293&amp;col=6&amp;number=3.9&amp;sourceID=14","3.9")</f>
        <v>3.9</v>
      </c>
      <c r="G7293" s="4" t="str">
        <f>HYPERLINK("http://141.218.60.56/~jnz1568/getInfo.php?workbook=18_08.xlsx&amp;sheet=U0&amp;row=7293&amp;col=7&amp;number=0.0016&amp;sourceID=14","0.0016")</f>
        <v>0.0016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HYPERLINK("http://141.218.60.56/~jnz1568/getInfo.php?workbook=18_08.xlsx&amp;sheet=U0&amp;row=7294&amp;col=6&amp;number=4&amp;sourceID=14","4")</f>
        <v>4</v>
      </c>
      <c r="G7294" s="4" t="str">
        <f>HYPERLINK("http://141.218.60.56/~jnz1568/getInfo.php?workbook=18_08.xlsx&amp;sheet=U0&amp;row=7294&amp;col=7&amp;number=0.0016&amp;sourceID=14","0.0016")</f>
        <v>0.0016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HYPERLINK("http://141.218.60.56/~jnz1568/getInfo.php?workbook=18_08.xlsx&amp;sheet=U0&amp;row=7295&amp;col=6&amp;number=4.1&amp;sourceID=14","4.1")</f>
        <v>4.1</v>
      </c>
      <c r="G7295" s="4" t="str">
        <f>HYPERLINK("http://141.218.60.56/~jnz1568/getInfo.php?workbook=18_08.xlsx&amp;sheet=U0&amp;row=7295&amp;col=7&amp;number=0.0016&amp;sourceID=14","0.0016")</f>
        <v>0.0016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HYPERLINK("http://141.218.60.56/~jnz1568/getInfo.php?workbook=18_08.xlsx&amp;sheet=U0&amp;row=7296&amp;col=6&amp;number=4.2&amp;sourceID=14","4.2")</f>
        <v>4.2</v>
      </c>
      <c r="G7296" s="4" t="str">
        <f>HYPERLINK("http://141.218.60.56/~jnz1568/getInfo.php?workbook=18_08.xlsx&amp;sheet=U0&amp;row=7296&amp;col=7&amp;number=0.0016&amp;sourceID=14","0.0016")</f>
        <v>0.0016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HYPERLINK("http://141.218.60.56/~jnz1568/getInfo.php?workbook=18_08.xlsx&amp;sheet=U0&amp;row=7297&amp;col=6&amp;number=4.3&amp;sourceID=14","4.3")</f>
        <v>4.3</v>
      </c>
      <c r="G7297" s="4" t="str">
        <f>HYPERLINK("http://141.218.60.56/~jnz1568/getInfo.php?workbook=18_08.xlsx&amp;sheet=U0&amp;row=7297&amp;col=7&amp;number=0.00159&amp;sourceID=14","0.00159")</f>
        <v>0.00159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HYPERLINK("http://141.218.60.56/~jnz1568/getInfo.php?workbook=18_08.xlsx&amp;sheet=U0&amp;row=7298&amp;col=6&amp;number=4.4&amp;sourceID=14","4.4")</f>
        <v>4.4</v>
      </c>
      <c r="G7298" s="4" t="str">
        <f>HYPERLINK("http://141.218.60.56/~jnz1568/getInfo.php?workbook=18_08.xlsx&amp;sheet=U0&amp;row=7298&amp;col=7&amp;number=0.00159&amp;sourceID=14","0.00159")</f>
        <v>0.00159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HYPERLINK("http://141.218.60.56/~jnz1568/getInfo.php?workbook=18_08.xlsx&amp;sheet=U0&amp;row=7299&amp;col=6&amp;number=4.5&amp;sourceID=14","4.5")</f>
        <v>4.5</v>
      </c>
      <c r="G7299" s="4" t="str">
        <f>HYPERLINK("http://141.218.60.56/~jnz1568/getInfo.php?workbook=18_08.xlsx&amp;sheet=U0&amp;row=7299&amp;col=7&amp;number=0.00159&amp;sourceID=14","0.00159")</f>
        <v>0.00159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HYPERLINK("http://141.218.60.56/~jnz1568/getInfo.php?workbook=18_08.xlsx&amp;sheet=U0&amp;row=7300&amp;col=6&amp;number=4.6&amp;sourceID=14","4.6")</f>
        <v>4.6</v>
      </c>
      <c r="G7300" s="4" t="str">
        <f>HYPERLINK("http://141.218.60.56/~jnz1568/getInfo.php?workbook=18_08.xlsx&amp;sheet=U0&amp;row=7300&amp;col=7&amp;number=0.00159&amp;sourceID=14","0.00159")</f>
        <v>0.00159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HYPERLINK("http://141.218.60.56/~jnz1568/getInfo.php?workbook=18_08.xlsx&amp;sheet=U0&amp;row=7301&amp;col=6&amp;number=4.7&amp;sourceID=14","4.7")</f>
        <v>4.7</v>
      </c>
      <c r="G7301" s="4" t="str">
        <f>HYPERLINK("http://141.218.60.56/~jnz1568/getInfo.php?workbook=18_08.xlsx&amp;sheet=U0&amp;row=7301&amp;col=7&amp;number=0.00158&amp;sourceID=14","0.00158")</f>
        <v>0.00158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HYPERLINK("http://141.218.60.56/~jnz1568/getInfo.php?workbook=18_08.xlsx&amp;sheet=U0&amp;row=7302&amp;col=6&amp;number=4.8&amp;sourceID=14","4.8")</f>
        <v>4.8</v>
      </c>
      <c r="G7302" s="4" t="str">
        <f>HYPERLINK("http://141.218.60.56/~jnz1568/getInfo.php?workbook=18_08.xlsx&amp;sheet=U0&amp;row=7302&amp;col=7&amp;number=0.00158&amp;sourceID=14","0.00158")</f>
        <v>0.00158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HYPERLINK("http://141.218.60.56/~jnz1568/getInfo.php?workbook=18_08.xlsx&amp;sheet=U0&amp;row=7303&amp;col=6&amp;number=4.9&amp;sourceID=14","4.9")</f>
        <v>4.9</v>
      </c>
      <c r="G7303" s="4" t="str">
        <f>HYPERLINK("http://141.218.60.56/~jnz1568/getInfo.php?workbook=18_08.xlsx&amp;sheet=U0&amp;row=7303&amp;col=7&amp;number=0.00157&amp;sourceID=14","0.00157")</f>
        <v>0.00157</v>
      </c>
    </row>
    <row r="7304" spans="1:7">
      <c r="A7304" s="3">
        <v>18</v>
      </c>
      <c r="B7304" s="3">
        <v>8</v>
      </c>
      <c r="C7304" s="3" t="s">
        <v>80</v>
      </c>
      <c r="D7304" s="3">
        <v>7</v>
      </c>
      <c r="E7304" s="3">
        <v>1</v>
      </c>
      <c r="F7304" s="4" t="str">
        <f>HYPERLINK("http://141.218.60.56/~jnz1568/getInfo.php?workbook=18_08.xlsx&amp;sheet=U0&amp;row=7304&amp;col=6&amp;number=3&amp;sourceID=14","3")</f>
        <v>3</v>
      </c>
      <c r="G7304" s="4" t="str">
        <f>HYPERLINK("http://141.218.60.56/~jnz1568/getInfo.php?workbook=18_08.xlsx&amp;sheet=U0&amp;row=7304&amp;col=7&amp;number=0.000342&amp;sourceID=14","0.000342")</f>
        <v>0.000342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HYPERLINK("http://141.218.60.56/~jnz1568/getInfo.php?workbook=18_08.xlsx&amp;sheet=U0&amp;row=7305&amp;col=6&amp;number=3.1&amp;sourceID=14","3.1")</f>
        <v>3.1</v>
      </c>
      <c r="G7305" s="4" t="str">
        <f>HYPERLINK("http://141.218.60.56/~jnz1568/getInfo.php?workbook=18_08.xlsx&amp;sheet=U0&amp;row=7305&amp;col=7&amp;number=0.000342&amp;sourceID=14","0.000342")</f>
        <v>0.000342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HYPERLINK("http://141.218.60.56/~jnz1568/getInfo.php?workbook=18_08.xlsx&amp;sheet=U0&amp;row=7306&amp;col=6&amp;number=3.2&amp;sourceID=14","3.2")</f>
        <v>3.2</v>
      </c>
      <c r="G7306" s="4" t="str">
        <f>HYPERLINK("http://141.218.60.56/~jnz1568/getInfo.php?workbook=18_08.xlsx&amp;sheet=U0&amp;row=7306&amp;col=7&amp;number=0.000342&amp;sourceID=14","0.000342")</f>
        <v>0.000342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HYPERLINK("http://141.218.60.56/~jnz1568/getInfo.php?workbook=18_08.xlsx&amp;sheet=U0&amp;row=7307&amp;col=6&amp;number=3.3&amp;sourceID=14","3.3")</f>
        <v>3.3</v>
      </c>
      <c r="G7307" s="4" t="str">
        <f>HYPERLINK("http://141.218.60.56/~jnz1568/getInfo.php?workbook=18_08.xlsx&amp;sheet=U0&amp;row=7307&amp;col=7&amp;number=0.000342&amp;sourceID=14","0.000342")</f>
        <v>0.000342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HYPERLINK("http://141.218.60.56/~jnz1568/getInfo.php?workbook=18_08.xlsx&amp;sheet=U0&amp;row=7308&amp;col=6&amp;number=3.4&amp;sourceID=14","3.4")</f>
        <v>3.4</v>
      </c>
      <c r="G7308" s="4" t="str">
        <f>HYPERLINK("http://141.218.60.56/~jnz1568/getInfo.php?workbook=18_08.xlsx&amp;sheet=U0&amp;row=7308&amp;col=7&amp;number=0.000342&amp;sourceID=14","0.000342")</f>
        <v>0.000342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HYPERLINK("http://141.218.60.56/~jnz1568/getInfo.php?workbook=18_08.xlsx&amp;sheet=U0&amp;row=7309&amp;col=6&amp;number=3.5&amp;sourceID=14","3.5")</f>
        <v>3.5</v>
      </c>
      <c r="G7309" s="4" t="str">
        <f>HYPERLINK("http://141.218.60.56/~jnz1568/getInfo.php?workbook=18_08.xlsx&amp;sheet=U0&amp;row=7309&amp;col=7&amp;number=0.000342&amp;sourceID=14","0.000342")</f>
        <v>0.000342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HYPERLINK("http://141.218.60.56/~jnz1568/getInfo.php?workbook=18_08.xlsx&amp;sheet=U0&amp;row=7310&amp;col=6&amp;number=3.6&amp;sourceID=14","3.6")</f>
        <v>3.6</v>
      </c>
      <c r="G7310" s="4" t="str">
        <f>HYPERLINK("http://141.218.60.56/~jnz1568/getInfo.php?workbook=18_08.xlsx&amp;sheet=U0&amp;row=7310&amp;col=7&amp;number=0.000342&amp;sourceID=14","0.000342")</f>
        <v>0.000342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HYPERLINK("http://141.218.60.56/~jnz1568/getInfo.php?workbook=18_08.xlsx&amp;sheet=U0&amp;row=7311&amp;col=6&amp;number=3.7&amp;sourceID=14","3.7")</f>
        <v>3.7</v>
      </c>
      <c r="G7311" s="4" t="str">
        <f>HYPERLINK("http://141.218.60.56/~jnz1568/getInfo.php?workbook=18_08.xlsx&amp;sheet=U0&amp;row=7311&amp;col=7&amp;number=0.000342&amp;sourceID=14","0.000342")</f>
        <v>0.000342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HYPERLINK("http://141.218.60.56/~jnz1568/getInfo.php?workbook=18_08.xlsx&amp;sheet=U0&amp;row=7312&amp;col=6&amp;number=3.8&amp;sourceID=14","3.8")</f>
        <v>3.8</v>
      </c>
      <c r="G7312" s="4" t="str">
        <f>HYPERLINK("http://141.218.60.56/~jnz1568/getInfo.php?workbook=18_08.xlsx&amp;sheet=U0&amp;row=7312&amp;col=7&amp;number=0.000342&amp;sourceID=14","0.000342")</f>
        <v>0.000342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HYPERLINK("http://141.218.60.56/~jnz1568/getInfo.php?workbook=18_08.xlsx&amp;sheet=U0&amp;row=7313&amp;col=6&amp;number=3.9&amp;sourceID=14","3.9")</f>
        <v>3.9</v>
      </c>
      <c r="G7313" s="4" t="str">
        <f>HYPERLINK("http://141.218.60.56/~jnz1568/getInfo.php?workbook=18_08.xlsx&amp;sheet=U0&amp;row=7313&amp;col=7&amp;number=0.000342&amp;sourceID=14","0.000342")</f>
        <v>0.000342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HYPERLINK("http://141.218.60.56/~jnz1568/getInfo.php?workbook=18_08.xlsx&amp;sheet=U0&amp;row=7314&amp;col=6&amp;number=4&amp;sourceID=14","4")</f>
        <v>4</v>
      </c>
      <c r="G7314" s="4" t="str">
        <f>HYPERLINK("http://141.218.60.56/~jnz1568/getInfo.php?workbook=18_08.xlsx&amp;sheet=U0&amp;row=7314&amp;col=7&amp;number=0.000342&amp;sourceID=14","0.000342")</f>
        <v>0.000342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HYPERLINK("http://141.218.60.56/~jnz1568/getInfo.php?workbook=18_08.xlsx&amp;sheet=U0&amp;row=7315&amp;col=6&amp;number=4.1&amp;sourceID=14","4.1")</f>
        <v>4.1</v>
      </c>
      <c r="G7315" s="4" t="str">
        <f>HYPERLINK("http://141.218.60.56/~jnz1568/getInfo.php?workbook=18_08.xlsx&amp;sheet=U0&amp;row=7315&amp;col=7&amp;number=0.000341&amp;sourceID=14","0.000341")</f>
        <v>0.000341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HYPERLINK("http://141.218.60.56/~jnz1568/getInfo.php?workbook=18_08.xlsx&amp;sheet=U0&amp;row=7316&amp;col=6&amp;number=4.2&amp;sourceID=14","4.2")</f>
        <v>4.2</v>
      </c>
      <c r="G7316" s="4" t="str">
        <f>HYPERLINK("http://141.218.60.56/~jnz1568/getInfo.php?workbook=18_08.xlsx&amp;sheet=U0&amp;row=7316&amp;col=7&amp;number=0.000341&amp;sourceID=14","0.000341")</f>
        <v>0.000341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HYPERLINK("http://141.218.60.56/~jnz1568/getInfo.php?workbook=18_08.xlsx&amp;sheet=U0&amp;row=7317&amp;col=6&amp;number=4.3&amp;sourceID=14","4.3")</f>
        <v>4.3</v>
      </c>
      <c r="G7317" s="4" t="str">
        <f>HYPERLINK("http://141.218.60.56/~jnz1568/getInfo.php?workbook=18_08.xlsx&amp;sheet=U0&amp;row=7317&amp;col=7&amp;number=0.000341&amp;sourceID=14","0.000341")</f>
        <v>0.000341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HYPERLINK("http://141.218.60.56/~jnz1568/getInfo.php?workbook=18_08.xlsx&amp;sheet=U0&amp;row=7318&amp;col=6&amp;number=4.4&amp;sourceID=14","4.4")</f>
        <v>4.4</v>
      </c>
      <c r="G7318" s="4" t="str">
        <f>HYPERLINK("http://141.218.60.56/~jnz1568/getInfo.php?workbook=18_08.xlsx&amp;sheet=U0&amp;row=7318&amp;col=7&amp;number=0.000341&amp;sourceID=14","0.000341")</f>
        <v>0.000341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HYPERLINK("http://141.218.60.56/~jnz1568/getInfo.php?workbook=18_08.xlsx&amp;sheet=U0&amp;row=7319&amp;col=6&amp;number=4.5&amp;sourceID=14","4.5")</f>
        <v>4.5</v>
      </c>
      <c r="G7319" s="4" t="str">
        <f>HYPERLINK("http://141.218.60.56/~jnz1568/getInfo.php?workbook=18_08.xlsx&amp;sheet=U0&amp;row=7319&amp;col=7&amp;number=0.000341&amp;sourceID=14","0.000341")</f>
        <v>0.000341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HYPERLINK("http://141.218.60.56/~jnz1568/getInfo.php?workbook=18_08.xlsx&amp;sheet=U0&amp;row=7320&amp;col=6&amp;number=4.6&amp;sourceID=14","4.6")</f>
        <v>4.6</v>
      </c>
      <c r="G7320" s="4" t="str">
        <f>HYPERLINK("http://141.218.60.56/~jnz1568/getInfo.php?workbook=18_08.xlsx&amp;sheet=U0&amp;row=7320&amp;col=7&amp;number=0.000341&amp;sourceID=14","0.000341")</f>
        <v>0.000341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HYPERLINK("http://141.218.60.56/~jnz1568/getInfo.php?workbook=18_08.xlsx&amp;sheet=U0&amp;row=7321&amp;col=6&amp;number=4.7&amp;sourceID=14","4.7")</f>
        <v>4.7</v>
      </c>
      <c r="G7321" s="4" t="str">
        <f>HYPERLINK("http://141.218.60.56/~jnz1568/getInfo.php?workbook=18_08.xlsx&amp;sheet=U0&amp;row=7321&amp;col=7&amp;number=0.00034&amp;sourceID=14","0.00034")</f>
        <v>0.00034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HYPERLINK("http://141.218.60.56/~jnz1568/getInfo.php?workbook=18_08.xlsx&amp;sheet=U0&amp;row=7322&amp;col=6&amp;number=4.8&amp;sourceID=14","4.8")</f>
        <v>4.8</v>
      </c>
      <c r="G7322" s="4" t="str">
        <f>HYPERLINK("http://141.218.60.56/~jnz1568/getInfo.php?workbook=18_08.xlsx&amp;sheet=U0&amp;row=7322&amp;col=7&amp;number=0.00034&amp;sourceID=14","0.00034")</f>
        <v>0.00034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HYPERLINK("http://141.218.60.56/~jnz1568/getInfo.php?workbook=18_08.xlsx&amp;sheet=U0&amp;row=7323&amp;col=6&amp;number=4.9&amp;sourceID=14","4.9")</f>
        <v>4.9</v>
      </c>
      <c r="G7323" s="4" t="str">
        <f>HYPERLINK("http://141.218.60.56/~jnz1568/getInfo.php?workbook=18_08.xlsx&amp;sheet=U0&amp;row=7323&amp;col=7&amp;number=0.00034&amp;sourceID=14","0.00034")</f>
        <v>0.00034</v>
      </c>
    </row>
    <row r="7324" spans="1:7">
      <c r="A7324" s="3">
        <v>18</v>
      </c>
      <c r="B7324" s="3">
        <v>8</v>
      </c>
      <c r="C7324" s="3" t="s">
        <v>80</v>
      </c>
      <c r="D7324" s="3">
        <v>8</v>
      </c>
      <c r="E7324" s="3">
        <v>1</v>
      </c>
      <c r="F7324" s="4" t="str">
        <f>HYPERLINK("http://141.218.60.56/~jnz1568/getInfo.php?workbook=18_08.xlsx&amp;sheet=U0&amp;row=7324&amp;col=6&amp;number=3&amp;sourceID=14","3")</f>
        <v>3</v>
      </c>
      <c r="G7324" s="4" t="str">
        <f>HYPERLINK("http://141.218.60.56/~jnz1568/getInfo.php?workbook=18_08.xlsx&amp;sheet=U0&amp;row=7324&amp;col=7&amp;number=2.5e-06&amp;sourceID=14","2.5e-06")</f>
        <v>2.5e-06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HYPERLINK("http://141.218.60.56/~jnz1568/getInfo.php?workbook=18_08.xlsx&amp;sheet=U0&amp;row=7325&amp;col=6&amp;number=3.1&amp;sourceID=14","3.1")</f>
        <v>3.1</v>
      </c>
      <c r="G7325" s="4" t="str">
        <f>HYPERLINK("http://141.218.60.56/~jnz1568/getInfo.php?workbook=18_08.xlsx&amp;sheet=U0&amp;row=7325&amp;col=7&amp;number=2.5e-06&amp;sourceID=14","2.5e-06")</f>
        <v>2.5e-06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HYPERLINK("http://141.218.60.56/~jnz1568/getInfo.php?workbook=18_08.xlsx&amp;sheet=U0&amp;row=7326&amp;col=6&amp;number=3.2&amp;sourceID=14","3.2")</f>
        <v>3.2</v>
      </c>
      <c r="G7326" s="4" t="str">
        <f>HYPERLINK("http://141.218.60.56/~jnz1568/getInfo.php?workbook=18_08.xlsx&amp;sheet=U0&amp;row=7326&amp;col=7&amp;number=2.5e-06&amp;sourceID=14","2.5e-06")</f>
        <v>2.5e-06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HYPERLINK("http://141.218.60.56/~jnz1568/getInfo.php?workbook=18_08.xlsx&amp;sheet=U0&amp;row=7327&amp;col=6&amp;number=3.3&amp;sourceID=14","3.3")</f>
        <v>3.3</v>
      </c>
      <c r="G7327" s="4" t="str">
        <f>HYPERLINK("http://141.218.60.56/~jnz1568/getInfo.php?workbook=18_08.xlsx&amp;sheet=U0&amp;row=7327&amp;col=7&amp;number=2.5e-06&amp;sourceID=14","2.5e-06")</f>
        <v>2.5e-06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HYPERLINK("http://141.218.60.56/~jnz1568/getInfo.php?workbook=18_08.xlsx&amp;sheet=U0&amp;row=7328&amp;col=6&amp;number=3.4&amp;sourceID=14","3.4")</f>
        <v>3.4</v>
      </c>
      <c r="G7328" s="4" t="str">
        <f>HYPERLINK("http://141.218.60.56/~jnz1568/getInfo.php?workbook=18_08.xlsx&amp;sheet=U0&amp;row=7328&amp;col=7&amp;number=2.5e-06&amp;sourceID=14","2.5e-06")</f>
        <v>2.5e-06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HYPERLINK("http://141.218.60.56/~jnz1568/getInfo.php?workbook=18_08.xlsx&amp;sheet=U0&amp;row=7329&amp;col=6&amp;number=3.5&amp;sourceID=14","3.5")</f>
        <v>3.5</v>
      </c>
      <c r="G7329" s="4" t="str">
        <f>HYPERLINK("http://141.218.60.56/~jnz1568/getInfo.php?workbook=18_08.xlsx&amp;sheet=U0&amp;row=7329&amp;col=7&amp;number=2.5e-06&amp;sourceID=14","2.5e-06")</f>
        <v>2.5e-06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HYPERLINK("http://141.218.60.56/~jnz1568/getInfo.php?workbook=18_08.xlsx&amp;sheet=U0&amp;row=7330&amp;col=6&amp;number=3.6&amp;sourceID=14","3.6")</f>
        <v>3.6</v>
      </c>
      <c r="G7330" s="4" t="str">
        <f>HYPERLINK("http://141.218.60.56/~jnz1568/getInfo.php?workbook=18_08.xlsx&amp;sheet=U0&amp;row=7330&amp;col=7&amp;number=2.5e-06&amp;sourceID=14","2.5e-06")</f>
        <v>2.5e-06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HYPERLINK("http://141.218.60.56/~jnz1568/getInfo.php?workbook=18_08.xlsx&amp;sheet=U0&amp;row=7331&amp;col=6&amp;number=3.7&amp;sourceID=14","3.7")</f>
        <v>3.7</v>
      </c>
      <c r="G7331" s="4" t="str">
        <f>HYPERLINK("http://141.218.60.56/~jnz1568/getInfo.php?workbook=18_08.xlsx&amp;sheet=U0&amp;row=7331&amp;col=7&amp;number=2.5e-06&amp;sourceID=14","2.5e-06")</f>
        <v>2.5e-06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HYPERLINK("http://141.218.60.56/~jnz1568/getInfo.php?workbook=18_08.xlsx&amp;sheet=U0&amp;row=7332&amp;col=6&amp;number=3.8&amp;sourceID=14","3.8")</f>
        <v>3.8</v>
      </c>
      <c r="G7332" s="4" t="str">
        <f>HYPERLINK("http://141.218.60.56/~jnz1568/getInfo.php?workbook=18_08.xlsx&amp;sheet=U0&amp;row=7332&amp;col=7&amp;number=2.5e-06&amp;sourceID=14","2.5e-06")</f>
        <v>2.5e-06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HYPERLINK("http://141.218.60.56/~jnz1568/getInfo.php?workbook=18_08.xlsx&amp;sheet=U0&amp;row=7333&amp;col=6&amp;number=3.9&amp;sourceID=14","3.9")</f>
        <v>3.9</v>
      </c>
      <c r="G7333" s="4" t="str">
        <f>HYPERLINK("http://141.218.60.56/~jnz1568/getInfo.php?workbook=18_08.xlsx&amp;sheet=U0&amp;row=7333&amp;col=7&amp;number=2.5e-06&amp;sourceID=14","2.5e-06")</f>
        <v>2.5e-06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HYPERLINK("http://141.218.60.56/~jnz1568/getInfo.php?workbook=18_08.xlsx&amp;sheet=U0&amp;row=7334&amp;col=6&amp;number=4&amp;sourceID=14","4")</f>
        <v>4</v>
      </c>
      <c r="G7334" s="4" t="str">
        <f>HYPERLINK("http://141.218.60.56/~jnz1568/getInfo.php?workbook=18_08.xlsx&amp;sheet=U0&amp;row=7334&amp;col=7&amp;number=2.5e-06&amp;sourceID=14","2.5e-06")</f>
        <v>2.5e-06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HYPERLINK("http://141.218.60.56/~jnz1568/getInfo.php?workbook=18_08.xlsx&amp;sheet=U0&amp;row=7335&amp;col=6&amp;number=4.1&amp;sourceID=14","4.1")</f>
        <v>4.1</v>
      </c>
      <c r="G7335" s="4" t="str">
        <f>HYPERLINK("http://141.218.60.56/~jnz1568/getInfo.php?workbook=18_08.xlsx&amp;sheet=U0&amp;row=7335&amp;col=7&amp;number=2.5e-06&amp;sourceID=14","2.5e-06")</f>
        <v>2.5e-06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HYPERLINK("http://141.218.60.56/~jnz1568/getInfo.php?workbook=18_08.xlsx&amp;sheet=U0&amp;row=7336&amp;col=6&amp;number=4.2&amp;sourceID=14","4.2")</f>
        <v>4.2</v>
      </c>
      <c r="G7336" s="4" t="str">
        <f>HYPERLINK("http://141.218.60.56/~jnz1568/getInfo.php?workbook=18_08.xlsx&amp;sheet=U0&amp;row=7336&amp;col=7&amp;number=2.49e-06&amp;sourceID=14","2.49e-06")</f>
        <v>2.49e-06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HYPERLINK("http://141.218.60.56/~jnz1568/getInfo.php?workbook=18_08.xlsx&amp;sheet=U0&amp;row=7337&amp;col=6&amp;number=4.3&amp;sourceID=14","4.3")</f>
        <v>4.3</v>
      </c>
      <c r="G7337" s="4" t="str">
        <f>HYPERLINK("http://141.218.60.56/~jnz1568/getInfo.php?workbook=18_08.xlsx&amp;sheet=U0&amp;row=7337&amp;col=7&amp;number=2.49e-06&amp;sourceID=14","2.49e-06")</f>
        <v>2.49e-06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HYPERLINK("http://141.218.60.56/~jnz1568/getInfo.php?workbook=18_08.xlsx&amp;sheet=U0&amp;row=7338&amp;col=6&amp;number=4.4&amp;sourceID=14","4.4")</f>
        <v>4.4</v>
      </c>
      <c r="G7338" s="4" t="str">
        <f>HYPERLINK("http://141.218.60.56/~jnz1568/getInfo.php?workbook=18_08.xlsx&amp;sheet=U0&amp;row=7338&amp;col=7&amp;number=2.49e-06&amp;sourceID=14","2.49e-06")</f>
        <v>2.49e-06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HYPERLINK("http://141.218.60.56/~jnz1568/getInfo.php?workbook=18_08.xlsx&amp;sheet=U0&amp;row=7339&amp;col=6&amp;number=4.5&amp;sourceID=14","4.5")</f>
        <v>4.5</v>
      </c>
      <c r="G7339" s="4" t="str">
        <f>HYPERLINK("http://141.218.60.56/~jnz1568/getInfo.php?workbook=18_08.xlsx&amp;sheet=U0&amp;row=7339&amp;col=7&amp;number=2.48e-06&amp;sourceID=14","2.48e-06")</f>
        <v>2.48e-06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HYPERLINK("http://141.218.60.56/~jnz1568/getInfo.php?workbook=18_08.xlsx&amp;sheet=U0&amp;row=7340&amp;col=6&amp;number=4.6&amp;sourceID=14","4.6")</f>
        <v>4.6</v>
      </c>
      <c r="G7340" s="4" t="str">
        <f>HYPERLINK("http://141.218.60.56/~jnz1568/getInfo.php?workbook=18_08.xlsx&amp;sheet=U0&amp;row=7340&amp;col=7&amp;number=2.48e-06&amp;sourceID=14","2.48e-06")</f>
        <v>2.48e-06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HYPERLINK("http://141.218.60.56/~jnz1568/getInfo.php?workbook=18_08.xlsx&amp;sheet=U0&amp;row=7341&amp;col=6&amp;number=4.7&amp;sourceID=14","4.7")</f>
        <v>4.7</v>
      </c>
      <c r="G7341" s="4" t="str">
        <f>HYPERLINK("http://141.218.60.56/~jnz1568/getInfo.php?workbook=18_08.xlsx&amp;sheet=U0&amp;row=7341&amp;col=7&amp;number=2.47e-06&amp;sourceID=14","2.47e-06")</f>
        <v>2.47e-06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HYPERLINK("http://141.218.60.56/~jnz1568/getInfo.php?workbook=18_08.xlsx&amp;sheet=U0&amp;row=7342&amp;col=6&amp;number=4.8&amp;sourceID=14","4.8")</f>
        <v>4.8</v>
      </c>
      <c r="G7342" s="4" t="str">
        <f>HYPERLINK("http://141.218.60.56/~jnz1568/getInfo.php?workbook=18_08.xlsx&amp;sheet=U0&amp;row=7342&amp;col=7&amp;number=2.46e-06&amp;sourceID=14","2.46e-06")</f>
        <v>2.46e-06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HYPERLINK("http://141.218.60.56/~jnz1568/getInfo.php?workbook=18_08.xlsx&amp;sheet=U0&amp;row=7343&amp;col=6&amp;number=4.9&amp;sourceID=14","4.9")</f>
        <v>4.9</v>
      </c>
      <c r="G7343" s="4" t="str">
        <f>HYPERLINK("http://141.218.60.56/~jnz1568/getInfo.php?workbook=18_08.xlsx&amp;sheet=U0&amp;row=7343&amp;col=7&amp;number=2.45e-06&amp;sourceID=14","2.45e-06")</f>
        <v>2.45e-06</v>
      </c>
    </row>
    <row r="7344" spans="1:7">
      <c r="A7344" s="3">
        <v>18</v>
      </c>
      <c r="B7344" s="3">
        <v>8</v>
      </c>
      <c r="C7344" s="3" t="s">
        <v>80</v>
      </c>
      <c r="D7344" s="3">
        <v>9</v>
      </c>
      <c r="E7344" s="3">
        <v>1</v>
      </c>
      <c r="F7344" s="4" t="str">
        <f>HYPERLINK("http://141.218.60.56/~jnz1568/getInfo.php?workbook=18_08.xlsx&amp;sheet=U0&amp;row=7344&amp;col=6&amp;number=3&amp;sourceID=14","3")</f>
        <v>3</v>
      </c>
      <c r="G7344" s="4" t="str">
        <f>HYPERLINK("http://141.218.60.56/~jnz1568/getInfo.php?workbook=18_08.xlsx&amp;sheet=U0&amp;row=7344&amp;col=7&amp;number=5.93e-06&amp;sourceID=14","5.93e-06")</f>
        <v>5.93e-06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HYPERLINK("http://141.218.60.56/~jnz1568/getInfo.php?workbook=18_08.xlsx&amp;sheet=U0&amp;row=7345&amp;col=6&amp;number=3.1&amp;sourceID=14","3.1")</f>
        <v>3.1</v>
      </c>
      <c r="G7345" s="4" t="str">
        <f>HYPERLINK("http://141.218.60.56/~jnz1568/getInfo.php?workbook=18_08.xlsx&amp;sheet=U0&amp;row=7345&amp;col=7&amp;number=5.93e-06&amp;sourceID=14","5.93e-06")</f>
        <v>5.93e-06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HYPERLINK("http://141.218.60.56/~jnz1568/getInfo.php?workbook=18_08.xlsx&amp;sheet=U0&amp;row=7346&amp;col=6&amp;number=3.2&amp;sourceID=14","3.2")</f>
        <v>3.2</v>
      </c>
      <c r="G7346" s="4" t="str">
        <f>HYPERLINK("http://141.218.60.56/~jnz1568/getInfo.php?workbook=18_08.xlsx&amp;sheet=U0&amp;row=7346&amp;col=7&amp;number=5.93e-06&amp;sourceID=14","5.93e-06")</f>
        <v>5.93e-06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HYPERLINK("http://141.218.60.56/~jnz1568/getInfo.php?workbook=18_08.xlsx&amp;sheet=U0&amp;row=7347&amp;col=6&amp;number=3.3&amp;sourceID=14","3.3")</f>
        <v>3.3</v>
      </c>
      <c r="G7347" s="4" t="str">
        <f>HYPERLINK("http://141.218.60.56/~jnz1568/getInfo.php?workbook=18_08.xlsx&amp;sheet=U0&amp;row=7347&amp;col=7&amp;number=5.93e-06&amp;sourceID=14","5.93e-06")</f>
        <v>5.93e-06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HYPERLINK("http://141.218.60.56/~jnz1568/getInfo.php?workbook=18_08.xlsx&amp;sheet=U0&amp;row=7348&amp;col=6&amp;number=3.4&amp;sourceID=14","3.4")</f>
        <v>3.4</v>
      </c>
      <c r="G7348" s="4" t="str">
        <f>HYPERLINK("http://141.218.60.56/~jnz1568/getInfo.php?workbook=18_08.xlsx&amp;sheet=U0&amp;row=7348&amp;col=7&amp;number=5.93e-06&amp;sourceID=14","5.93e-06")</f>
        <v>5.93e-06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HYPERLINK("http://141.218.60.56/~jnz1568/getInfo.php?workbook=18_08.xlsx&amp;sheet=U0&amp;row=7349&amp;col=6&amp;number=3.5&amp;sourceID=14","3.5")</f>
        <v>3.5</v>
      </c>
      <c r="G7349" s="4" t="str">
        <f>HYPERLINK("http://141.218.60.56/~jnz1568/getInfo.php?workbook=18_08.xlsx&amp;sheet=U0&amp;row=7349&amp;col=7&amp;number=5.93e-06&amp;sourceID=14","5.93e-06")</f>
        <v>5.93e-06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HYPERLINK("http://141.218.60.56/~jnz1568/getInfo.php?workbook=18_08.xlsx&amp;sheet=U0&amp;row=7350&amp;col=6&amp;number=3.6&amp;sourceID=14","3.6")</f>
        <v>3.6</v>
      </c>
      <c r="G7350" s="4" t="str">
        <f>HYPERLINK("http://141.218.60.56/~jnz1568/getInfo.php?workbook=18_08.xlsx&amp;sheet=U0&amp;row=7350&amp;col=7&amp;number=5.93e-06&amp;sourceID=14","5.93e-06")</f>
        <v>5.93e-06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HYPERLINK("http://141.218.60.56/~jnz1568/getInfo.php?workbook=18_08.xlsx&amp;sheet=U0&amp;row=7351&amp;col=6&amp;number=3.7&amp;sourceID=14","3.7")</f>
        <v>3.7</v>
      </c>
      <c r="G7351" s="4" t="str">
        <f>HYPERLINK("http://141.218.60.56/~jnz1568/getInfo.php?workbook=18_08.xlsx&amp;sheet=U0&amp;row=7351&amp;col=7&amp;number=5.92e-06&amp;sourceID=14","5.92e-06")</f>
        <v>5.92e-06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HYPERLINK("http://141.218.60.56/~jnz1568/getInfo.php?workbook=18_08.xlsx&amp;sheet=U0&amp;row=7352&amp;col=6&amp;number=3.8&amp;sourceID=14","3.8")</f>
        <v>3.8</v>
      </c>
      <c r="G7352" s="4" t="str">
        <f>HYPERLINK("http://141.218.60.56/~jnz1568/getInfo.php?workbook=18_08.xlsx&amp;sheet=U0&amp;row=7352&amp;col=7&amp;number=5.92e-06&amp;sourceID=14","5.92e-06")</f>
        <v>5.92e-06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HYPERLINK("http://141.218.60.56/~jnz1568/getInfo.php?workbook=18_08.xlsx&amp;sheet=U0&amp;row=7353&amp;col=6&amp;number=3.9&amp;sourceID=14","3.9")</f>
        <v>3.9</v>
      </c>
      <c r="G7353" s="4" t="str">
        <f>HYPERLINK("http://141.218.60.56/~jnz1568/getInfo.php?workbook=18_08.xlsx&amp;sheet=U0&amp;row=7353&amp;col=7&amp;number=5.92e-06&amp;sourceID=14","5.92e-06")</f>
        <v>5.92e-06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HYPERLINK("http://141.218.60.56/~jnz1568/getInfo.php?workbook=18_08.xlsx&amp;sheet=U0&amp;row=7354&amp;col=6&amp;number=4&amp;sourceID=14","4")</f>
        <v>4</v>
      </c>
      <c r="G7354" s="4" t="str">
        <f>HYPERLINK("http://141.218.60.56/~jnz1568/getInfo.php?workbook=18_08.xlsx&amp;sheet=U0&amp;row=7354&amp;col=7&amp;number=5.92e-06&amp;sourceID=14","5.92e-06")</f>
        <v>5.92e-06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HYPERLINK("http://141.218.60.56/~jnz1568/getInfo.php?workbook=18_08.xlsx&amp;sheet=U0&amp;row=7355&amp;col=6&amp;number=4.1&amp;sourceID=14","4.1")</f>
        <v>4.1</v>
      </c>
      <c r="G7355" s="4" t="str">
        <f>HYPERLINK("http://141.218.60.56/~jnz1568/getInfo.php?workbook=18_08.xlsx&amp;sheet=U0&amp;row=7355&amp;col=7&amp;number=5.91e-06&amp;sourceID=14","5.91e-06")</f>
        <v>5.91e-06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HYPERLINK("http://141.218.60.56/~jnz1568/getInfo.php?workbook=18_08.xlsx&amp;sheet=U0&amp;row=7356&amp;col=6&amp;number=4.2&amp;sourceID=14","4.2")</f>
        <v>4.2</v>
      </c>
      <c r="G7356" s="4" t="str">
        <f>HYPERLINK("http://141.218.60.56/~jnz1568/getInfo.php?workbook=18_08.xlsx&amp;sheet=U0&amp;row=7356&amp;col=7&amp;number=5.91e-06&amp;sourceID=14","5.91e-06")</f>
        <v>5.91e-06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HYPERLINK("http://141.218.60.56/~jnz1568/getInfo.php?workbook=18_08.xlsx&amp;sheet=U0&amp;row=7357&amp;col=6&amp;number=4.3&amp;sourceID=14","4.3")</f>
        <v>4.3</v>
      </c>
      <c r="G7357" s="4" t="str">
        <f>HYPERLINK("http://141.218.60.56/~jnz1568/getInfo.php?workbook=18_08.xlsx&amp;sheet=U0&amp;row=7357&amp;col=7&amp;number=5.9e-06&amp;sourceID=14","5.9e-06")</f>
        <v>5.9e-06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HYPERLINK("http://141.218.60.56/~jnz1568/getInfo.php?workbook=18_08.xlsx&amp;sheet=U0&amp;row=7358&amp;col=6&amp;number=4.4&amp;sourceID=14","4.4")</f>
        <v>4.4</v>
      </c>
      <c r="G7358" s="4" t="str">
        <f>HYPERLINK("http://141.218.60.56/~jnz1568/getInfo.php?workbook=18_08.xlsx&amp;sheet=U0&amp;row=7358&amp;col=7&amp;number=5.89e-06&amp;sourceID=14","5.89e-06")</f>
        <v>5.89e-06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HYPERLINK("http://141.218.60.56/~jnz1568/getInfo.php?workbook=18_08.xlsx&amp;sheet=U0&amp;row=7359&amp;col=6&amp;number=4.5&amp;sourceID=14","4.5")</f>
        <v>4.5</v>
      </c>
      <c r="G7359" s="4" t="str">
        <f>HYPERLINK("http://141.218.60.56/~jnz1568/getInfo.php?workbook=18_08.xlsx&amp;sheet=U0&amp;row=7359&amp;col=7&amp;number=5.88e-06&amp;sourceID=14","5.88e-06")</f>
        <v>5.88e-06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HYPERLINK("http://141.218.60.56/~jnz1568/getInfo.php?workbook=18_08.xlsx&amp;sheet=U0&amp;row=7360&amp;col=6&amp;number=4.6&amp;sourceID=14","4.6")</f>
        <v>4.6</v>
      </c>
      <c r="G7360" s="4" t="str">
        <f>HYPERLINK("http://141.218.60.56/~jnz1568/getInfo.php?workbook=18_08.xlsx&amp;sheet=U0&amp;row=7360&amp;col=7&amp;number=5.87e-06&amp;sourceID=14","5.87e-06")</f>
        <v>5.87e-06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HYPERLINK("http://141.218.60.56/~jnz1568/getInfo.php?workbook=18_08.xlsx&amp;sheet=U0&amp;row=7361&amp;col=6&amp;number=4.7&amp;sourceID=14","4.7")</f>
        <v>4.7</v>
      </c>
      <c r="G7361" s="4" t="str">
        <f>HYPERLINK("http://141.218.60.56/~jnz1568/getInfo.php?workbook=18_08.xlsx&amp;sheet=U0&amp;row=7361&amp;col=7&amp;number=5.85e-06&amp;sourceID=14","5.85e-06")</f>
        <v>5.85e-06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HYPERLINK("http://141.218.60.56/~jnz1568/getInfo.php?workbook=18_08.xlsx&amp;sheet=U0&amp;row=7362&amp;col=6&amp;number=4.8&amp;sourceID=14","4.8")</f>
        <v>4.8</v>
      </c>
      <c r="G7362" s="4" t="str">
        <f>HYPERLINK("http://141.218.60.56/~jnz1568/getInfo.php?workbook=18_08.xlsx&amp;sheet=U0&amp;row=7362&amp;col=7&amp;number=5.83e-06&amp;sourceID=14","5.83e-06")</f>
        <v>5.83e-06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HYPERLINK("http://141.218.60.56/~jnz1568/getInfo.php?workbook=18_08.xlsx&amp;sheet=U0&amp;row=7363&amp;col=6&amp;number=4.9&amp;sourceID=14","4.9")</f>
        <v>4.9</v>
      </c>
      <c r="G7363" s="4" t="str">
        <f>HYPERLINK("http://141.218.60.56/~jnz1568/getInfo.php?workbook=18_08.xlsx&amp;sheet=U0&amp;row=7363&amp;col=7&amp;number=5.8e-06&amp;sourceID=14","5.8e-06")</f>
        <v>5.8e-06</v>
      </c>
    </row>
    <row r="7364" spans="1:7">
      <c r="A7364" s="3">
        <v>18</v>
      </c>
      <c r="B7364" s="3">
        <v>8</v>
      </c>
      <c r="C7364" s="3" t="s">
        <v>81</v>
      </c>
      <c r="D7364" s="3">
        <v>0</v>
      </c>
      <c r="E7364" s="3">
        <v>1</v>
      </c>
      <c r="F7364" s="4" t="str">
        <f>HYPERLINK("http://141.218.60.56/~jnz1568/getInfo.php?workbook=18_08.xlsx&amp;sheet=U0&amp;row=7364&amp;col=6&amp;number=3&amp;sourceID=14","3")</f>
        <v>3</v>
      </c>
      <c r="G7364" s="4" t="str">
        <f>HYPERLINK("http://141.218.60.56/~jnz1568/getInfo.php?workbook=18_08.xlsx&amp;sheet=U0&amp;row=7364&amp;col=7&amp;number=5.9e-06&amp;sourceID=14","5.9e-06")</f>
        <v>5.9e-06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HYPERLINK("http://141.218.60.56/~jnz1568/getInfo.php?workbook=18_08.xlsx&amp;sheet=U0&amp;row=7365&amp;col=6&amp;number=3.1&amp;sourceID=14","3.1")</f>
        <v>3.1</v>
      </c>
      <c r="G7365" s="4" t="str">
        <f>HYPERLINK("http://141.218.60.56/~jnz1568/getInfo.php?workbook=18_08.xlsx&amp;sheet=U0&amp;row=7365&amp;col=7&amp;number=5.9e-06&amp;sourceID=14","5.9e-06")</f>
        <v>5.9e-06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HYPERLINK("http://141.218.60.56/~jnz1568/getInfo.php?workbook=18_08.xlsx&amp;sheet=U0&amp;row=7366&amp;col=6&amp;number=3.2&amp;sourceID=14","3.2")</f>
        <v>3.2</v>
      </c>
      <c r="G7366" s="4" t="str">
        <f>HYPERLINK("http://141.218.60.56/~jnz1568/getInfo.php?workbook=18_08.xlsx&amp;sheet=U0&amp;row=7366&amp;col=7&amp;number=5.9e-06&amp;sourceID=14","5.9e-06")</f>
        <v>5.9e-06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HYPERLINK("http://141.218.60.56/~jnz1568/getInfo.php?workbook=18_08.xlsx&amp;sheet=U0&amp;row=7367&amp;col=6&amp;number=3.3&amp;sourceID=14","3.3")</f>
        <v>3.3</v>
      </c>
      <c r="G7367" s="4" t="str">
        <f>HYPERLINK("http://141.218.60.56/~jnz1568/getInfo.php?workbook=18_08.xlsx&amp;sheet=U0&amp;row=7367&amp;col=7&amp;number=5.9e-06&amp;sourceID=14","5.9e-06")</f>
        <v>5.9e-06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HYPERLINK("http://141.218.60.56/~jnz1568/getInfo.php?workbook=18_08.xlsx&amp;sheet=U0&amp;row=7368&amp;col=6&amp;number=3.4&amp;sourceID=14","3.4")</f>
        <v>3.4</v>
      </c>
      <c r="G7368" s="4" t="str">
        <f>HYPERLINK("http://141.218.60.56/~jnz1568/getInfo.php?workbook=18_08.xlsx&amp;sheet=U0&amp;row=7368&amp;col=7&amp;number=5.9e-06&amp;sourceID=14","5.9e-06")</f>
        <v>5.9e-06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HYPERLINK("http://141.218.60.56/~jnz1568/getInfo.php?workbook=18_08.xlsx&amp;sheet=U0&amp;row=7369&amp;col=6&amp;number=3.5&amp;sourceID=14","3.5")</f>
        <v>3.5</v>
      </c>
      <c r="G7369" s="4" t="str">
        <f>HYPERLINK("http://141.218.60.56/~jnz1568/getInfo.php?workbook=18_08.xlsx&amp;sheet=U0&amp;row=7369&amp;col=7&amp;number=5.9e-06&amp;sourceID=14","5.9e-06")</f>
        <v>5.9e-06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HYPERLINK("http://141.218.60.56/~jnz1568/getInfo.php?workbook=18_08.xlsx&amp;sheet=U0&amp;row=7370&amp;col=6&amp;number=3.6&amp;sourceID=14","3.6")</f>
        <v>3.6</v>
      </c>
      <c r="G7370" s="4" t="str">
        <f>HYPERLINK("http://141.218.60.56/~jnz1568/getInfo.php?workbook=18_08.xlsx&amp;sheet=U0&amp;row=7370&amp;col=7&amp;number=5.89e-06&amp;sourceID=14","5.89e-06")</f>
        <v>5.89e-06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HYPERLINK("http://141.218.60.56/~jnz1568/getInfo.php?workbook=18_08.xlsx&amp;sheet=U0&amp;row=7371&amp;col=6&amp;number=3.7&amp;sourceID=14","3.7")</f>
        <v>3.7</v>
      </c>
      <c r="G7371" s="4" t="str">
        <f>HYPERLINK("http://141.218.60.56/~jnz1568/getInfo.php?workbook=18_08.xlsx&amp;sheet=U0&amp;row=7371&amp;col=7&amp;number=5.89e-06&amp;sourceID=14","5.89e-06")</f>
        <v>5.89e-06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HYPERLINK("http://141.218.60.56/~jnz1568/getInfo.php?workbook=18_08.xlsx&amp;sheet=U0&amp;row=7372&amp;col=6&amp;number=3.8&amp;sourceID=14","3.8")</f>
        <v>3.8</v>
      </c>
      <c r="G7372" s="4" t="str">
        <f>HYPERLINK("http://141.218.60.56/~jnz1568/getInfo.php?workbook=18_08.xlsx&amp;sheet=U0&amp;row=7372&amp;col=7&amp;number=5.89e-06&amp;sourceID=14","5.89e-06")</f>
        <v>5.89e-06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HYPERLINK("http://141.218.60.56/~jnz1568/getInfo.php?workbook=18_08.xlsx&amp;sheet=U0&amp;row=7373&amp;col=6&amp;number=3.9&amp;sourceID=14","3.9")</f>
        <v>3.9</v>
      </c>
      <c r="G7373" s="4" t="str">
        <f>HYPERLINK("http://141.218.60.56/~jnz1568/getInfo.php?workbook=18_08.xlsx&amp;sheet=U0&amp;row=7373&amp;col=7&amp;number=5.89e-06&amp;sourceID=14","5.89e-06")</f>
        <v>5.89e-06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HYPERLINK("http://141.218.60.56/~jnz1568/getInfo.php?workbook=18_08.xlsx&amp;sheet=U0&amp;row=7374&amp;col=6&amp;number=4&amp;sourceID=14","4")</f>
        <v>4</v>
      </c>
      <c r="G7374" s="4" t="str">
        <f>HYPERLINK("http://141.218.60.56/~jnz1568/getInfo.php?workbook=18_08.xlsx&amp;sheet=U0&amp;row=7374&amp;col=7&amp;number=5.88e-06&amp;sourceID=14","5.88e-06")</f>
        <v>5.88e-06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HYPERLINK("http://141.218.60.56/~jnz1568/getInfo.php?workbook=18_08.xlsx&amp;sheet=U0&amp;row=7375&amp;col=6&amp;number=4.1&amp;sourceID=14","4.1")</f>
        <v>4.1</v>
      </c>
      <c r="G7375" s="4" t="str">
        <f>HYPERLINK("http://141.218.60.56/~jnz1568/getInfo.php?workbook=18_08.xlsx&amp;sheet=U0&amp;row=7375&amp;col=7&amp;number=5.88e-06&amp;sourceID=14","5.88e-06")</f>
        <v>5.88e-06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HYPERLINK("http://141.218.60.56/~jnz1568/getInfo.php?workbook=18_08.xlsx&amp;sheet=U0&amp;row=7376&amp;col=6&amp;number=4.2&amp;sourceID=14","4.2")</f>
        <v>4.2</v>
      </c>
      <c r="G7376" s="4" t="str">
        <f>HYPERLINK("http://141.218.60.56/~jnz1568/getInfo.php?workbook=18_08.xlsx&amp;sheet=U0&amp;row=7376&amp;col=7&amp;number=5.87e-06&amp;sourceID=14","5.87e-06")</f>
        <v>5.87e-06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HYPERLINK("http://141.218.60.56/~jnz1568/getInfo.php?workbook=18_08.xlsx&amp;sheet=U0&amp;row=7377&amp;col=6&amp;number=4.3&amp;sourceID=14","4.3")</f>
        <v>4.3</v>
      </c>
      <c r="G7377" s="4" t="str">
        <f>HYPERLINK("http://141.218.60.56/~jnz1568/getInfo.php?workbook=18_08.xlsx&amp;sheet=U0&amp;row=7377&amp;col=7&amp;number=5.87e-06&amp;sourceID=14","5.87e-06")</f>
        <v>5.87e-06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HYPERLINK("http://141.218.60.56/~jnz1568/getInfo.php?workbook=18_08.xlsx&amp;sheet=U0&amp;row=7378&amp;col=6&amp;number=4.4&amp;sourceID=14","4.4")</f>
        <v>4.4</v>
      </c>
      <c r="G7378" s="4" t="str">
        <f>HYPERLINK("http://141.218.60.56/~jnz1568/getInfo.php?workbook=18_08.xlsx&amp;sheet=U0&amp;row=7378&amp;col=7&amp;number=5.86e-06&amp;sourceID=14","5.86e-06")</f>
        <v>5.86e-06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HYPERLINK("http://141.218.60.56/~jnz1568/getInfo.php?workbook=18_08.xlsx&amp;sheet=U0&amp;row=7379&amp;col=6&amp;number=4.5&amp;sourceID=14","4.5")</f>
        <v>4.5</v>
      </c>
      <c r="G7379" s="4" t="str">
        <f>HYPERLINK("http://141.218.60.56/~jnz1568/getInfo.php?workbook=18_08.xlsx&amp;sheet=U0&amp;row=7379&amp;col=7&amp;number=5.85e-06&amp;sourceID=14","5.85e-06")</f>
        <v>5.85e-06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HYPERLINK("http://141.218.60.56/~jnz1568/getInfo.php?workbook=18_08.xlsx&amp;sheet=U0&amp;row=7380&amp;col=6&amp;number=4.6&amp;sourceID=14","4.6")</f>
        <v>4.6</v>
      </c>
      <c r="G7380" s="4" t="str">
        <f>HYPERLINK("http://141.218.60.56/~jnz1568/getInfo.php?workbook=18_08.xlsx&amp;sheet=U0&amp;row=7380&amp;col=7&amp;number=5.83e-06&amp;sourceID=14","5.83e-06")</f>
        <v>5.83e-06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HYPERLINK("http://141.218.60.56/~jnz1568/getInfo.php?workbook=18_08.xlsx&amp;sheet=U0&amp;row=7381&amp;col=6&amp;number=4.7&amp;sourceID=14","4.7")</f>
        <v>4.7</v>
      </c>
      <c r="G7381" s="4" t="str">
        <f>HYPERLINK("http://141.218.60.56/~jnz1568/getInfo.php?workbook=18_08.xlsx&amp;sheet=U0&amp;row=7381&amp;col=7&amp;number=5.81e-06&amp;sourceID=14","5.81e-06")</f>
        <v>5.81e-06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HYPERLINK("http://141.218.60.56/~jnz1568/getInfo.php?workbook=18_08.xlsx&amp;sheet=U0&amp;row=7382&amp;col=6&amp;number=4.8&amp;sourceID=14","4.8")</f>
        <v>4.8</v>
      </c>
      <c r="G7382" s="4" t="str">
        <f>HYPERLINK("http://141.218.60.56/~jnz1568/getInfo.php?workbook=18_08.xlsx&amp;sheet=U0&amp;row=7382&amp;col=7&amp;number=5.79e-06&amp;sourceID=14","5.79e-06")</f>
        <v>5.79e-06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HYPERLINK("http://141.218.60.56/~jnz1568/getInfo.php?workbook=18_08.xlsx&amp;sheet=U0&amp;row=7383&amp;col=6&amp;number=4.9&amp;sourceID=14","4.9")</f>
        <v>4.9</v>
      </c>
      <c r="G7383" s="4" t="str">
        <f>HYPERLINK("http://141.218.60.56/~jnz1568/getInfo.php?workbook=18_08.xlsx&amp;sheet=U0&amp;row=7383&amp;col=7&amp;number=5.76e-06&amp;sourceID=14","5.76e-06")</f>
        <v>5.76e-06</v>
      </c>
    </row>
    <row r="7384" spans="1:7">
      <c r="A7384" s="3">
        <v>18</v>
      </c>
      <c r="B7384" s="3">
        <v>8</v>
      </c>
      <c r="C7384" s="3" t="s">
        <v>81</v>
      </c>
      <c r="D7384" s="3">
        <v>1</v>
      </c>
      <c r="E7384" s="3">
        <v>1</v>
      </c>
      <c r="F7384" s="4" t="str">
        <f>HYPERLINK("http://141.218.60.56/~jnz1568/getInfo.php?workbook=18_08.xlsx&amp;sheet=U0&amp;row=7384&amp;col=6&amp;number=3&amp;sourceID=14","3")</f>
        <v>3</v>
      </c>
      <c r="G7384" s="4" t="str">
        <f>HYPERLINK("http://141.218.60.56/~jnz1568/getInfo.php?workbook=18_08.xlsx&amp;sheet=U0&amp;row=7384&amp;col=7&amp;number=3.96e-06&amp;sourceID=14","3.96e-06")</f>
        <v>3.96e-06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HYPERLINK("http://141.218.60.56/~jnz1568/getInfo.php?workbook=18_08.xlsx&amp;sheet=U0&amp;row=7385&amp;col=6&amp;number=3.1&amp;sourceID=14","3.1")</f>
        <v>3.1</v>
      </c>
      <c r="G7385" s="4" t="str">
        <f>HYPERLINK("http://141.218.60.56/~jnz1568/getInfo.php?workbook=18_08.xlsx&amp;sheet=U0&amp;row=7385&amp;col=7&amp;number=3.96e-06&amp;sourceID=14","3.96e-06")</f>
        <v>3.96e-06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HYPERLINK("http://141.218.60.56/~jnz1568/getInfo.php?workbook=18_08.xlsx&amp;sheet=U0&amp;row=7386&amp;col=6&amp;number=3.2&amp;sourceID=14","3.2")</f>
        <v>3.2</v>
      </c>
      <c r="G7386" s="4" t="str">
        <f>HYPERLINK("http://141.218.60.56/~jnz1568/getInfo.php?workbook=18_08.xlsx&amp;sheet=U0&amp;row=7386&amp;col=7&amp;number=3.96e-06&amp;sourceID=14","3.96e-06")</f>
        <v>3.96e-06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HYPERLINK("http://141.218.60.56/~jnz1568/getInfo.php?workbook=18_08.xlsx&amp;sheet=U0&amp;row=7387&amp;col=6&amp;number=3.3&amp;sourceID=14","3.3")</f>
        <v>3.3</v>
      </c>
      <c r="G7387" s="4" t="str">
        <f>HYPERLINK("http://141.218.60.56/~jnz1568/getInfo.php?workbook=18_08.xlsx&amp;sheet=U0&amp;row=7387&amp;col=7&amp;number=3.96e-06&amp;sourceID=14","3.96e-06")</f>
        <v>3.96e-06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HYPERLINK("http://141.218.60.56/~jnz1568/getInfo.php?workbook=18_08.xlsx&amp;sheet=U0&amp;row=7388&amp;col=6&amp;number=3.4&amp;sourceID=14","3.4")</f>
        <v>3.4</v>
      </c>
      <c r="G7388" s="4" t="str">
        <f>HYPERLINK("http://141.218.60.56/~jnz1568/getInfo.php?workbook=18_08.xlsx&amp;sheet=U0&amp;row=7388&amp;col=7&amp;number=3.96e-06&amp;sourceID=14","3.96e-06")</f>
        <v>3.96e-06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HYPERLINK("http://141.218.60.56/~jnz1568/getInfo.php?workbook=18_08.xlsx&amp;sheet=U0&amp;row=7389&amp;col=6&amp;number=3.5&amp;sourceID=14","3.5")</f>
        <v>3.5</v>
      </c>
      <c r="G7389" s="4" t="str">
        <f>HYPERLINK("http://141.218.60.56/~jnz1568/getInfo.php?workbook=18_08.xlsx&amp;sheet=U0&amp;row=7389&amp;col=7&amp;number=3.96e-06&amp;sourceID=14","3.96e-06")</f>
        <v>3.96e-06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HYPERLINK("http://141.218.60.56/~jnz1568/getInfo.php?workbook=18_08.xlsx&amp;sheet=U0&amp;row=7390&amp;col=6&amp;number=3.6&amp;sourceID=14","3.6")</f>
        <v>3.6</v>
      </c>
      <c r="G7390" s="4" t="str">
        <f>HYPERLINK("http://141.218.60.56/~jnz1568/getInfo.php?workbook=18_08.xlsx&amp;sheet=U0&amp;row=7390&amp;col=7&amp;number=3.96e-06&amp;sourceID=14","3.96e-06")</f>
        <v>3.96e-06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HYPERLINK("http://141.218.60.56/~jnz1568/getInfo.php?workbook=18_08.xlsx&amp;sheet=U0&amp;row=7391&amp;col=6&amp;number=3.7&amp;sourceID=14","3.7")</f>
        <v>3.7</v>
      </c>
      <c r="G7391" s="4" t="str">
        <f>HYPERLINK("http://141.218.60.56/~jnz1568/getInfo.php?workbook=18_08.xlsx&amp;sheet=U0&amp;row=7391&amp;col=7&amp;number=3.95e-06&amp;sourceID=14","3.95e-06")</f>
        <v>3.95e-06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HYPERLINK("http://141.218.60.56/~jnz1568/getInfo.php?workbook=18_08.xlsx&amp;sheet=U0&amp;row=7392&amp;col=6&amp;number=3.8&amp;sourceID=14","3.8")</f>
        <v>3.8</v>
      </c>
      <c r="G7392" s="4" t="str">
        <f>HYPERLINK("http://141.218.60.56/~jnz1568/getInfo.php?workbook=18_08.xlsx&amp;sheet=U0&amp;row=7392&amp;col=7&amp;number=3.95e-06&amp;sourceID=14","3.95e-06")</f>
        <v>3.95e-06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HYPERLINK("http://141.218.60.56/~jnz1568/getInfo.php?workbook=18_08.xlsx&amp;sheet=U0&amp;row=7393&amp;col=6&amp;number=3.9&amp;sourceID=14","3.9")</f>
        <v>3.9</v>
      </c>
      <c r="G7393" s="4" t="str">
        <f>HYPERLINK("http://141.218.60.56/~jnz1568/getInfo.php?workbook=18_08.xlsx&amp;sheet=U0&amp;row=7393&amp;col=7&amp;number=3.95e-06&amp;sourceID=14","3.95e-06")</f>
        <v>3.95e-06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HYPERLINK("http://141.218.60.56/~jnz1568/getInfo.php?workbook=18_08.xlsx&amp;sheet=U0&amp;row=7394&amp;col=6&amp;number=4&amp;sourceID=14","4")</f>
        <v>4</v>
      </c>
      <c r="G7394" s="4" t="str">
        <f>HYPERLINK("http://141.218.60.56/~jnz1568/getInfo.php?workbook=18_08.xlsx&amp;sheet=U0&amp;row=7394&amp;col=7&amp;number=3.95e-06&amp;sourceID=14","3.95e-06")</f>
        <v>3.95e-06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HYPERLINK("http://141.218.60.56/~jnz1568/getInfo.php?workbook=18_08.xlsx&amp;sheet=U0&amp;row=7395&amp;col=6&amp;number=4.1&amp;sourceID=14","4.1")</f>
        <v>4.1</v>
      </c>
      <c r="G7395" s="4" t="str">
        <f>HYPERLINK("http://141.218.60.56/~jnz1568/getInfo.php?workbook=18_08.xlsx&amp;sheet=U0&amp;row=7395&amp;col=7&amp;number=3.94e-06&amp;sourceID=14","3.94e-06")</f>
        <v>3.94e-06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HYPERLINK("http://141.218.60.56/~jnz1568/getInfo.php?workbook=18_08.xlsx&amp;sheet=U0&amp;row=7396&amp;col=6&amp;number=4.2&amp;sourceID=14","4.2")</f>
        <v>4.2</v>
      </c>
      <c r="G7396" s="4" t="str">
        <f>HYPERLINK("http://141.218.60.56/~jnz1568/getInfo.php?workbook=18_08.xlsx&amp;sheet=U0&amp;row=7396&amp;col=7&amp;number=3.94e-06&amp;sourceID=14","3.94e-06")</f>
        <v>3.94e-06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HYPERLINK("http://141.218.60.56/~jnz1568/getInfo.php?workbook=18_08.xlsx&amp;sheet=U0&amp;row=7397&amp;col=6&amp;number=4.3&amp;sourceID=14","4.3")</f>
        <v>4.3</v>
      </c>
      <c r="G7397" s="4" t="str">
        <f>HYPERLINK("http://141.218.60.56/~jnz1568/getInfo.php?workbook=18_08.xlsx&amp;sheet=U0&amp;row=7397&amp;col=7&amp;number=3.93e-06&amp;sourceID=14","3.93e-06")</f>
        <v>3.93e-06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HYPERLINK("http://141.218.60.56/~jnz1568/getInfo.php?workbook=18_08.xlsx&amp;sheet=U0&amp;row=7398&amp;col=6&amp;number=4.4&amp;sourceID=14","4.4")</f>
        <v>4.4</v>
      </c>
      <c r="G7398" s="4" t="str">
        <f>HYPERLINK("http://141.218.60.56/~jnz1568/getInfo.php?workbook=18_08.xlsx&amp;sheet=U0&amp;row=7398&amp;col=7&amp;number=3.92e-06&amp;sourceID=14","3.92e-06")</f>
        <v>3.92e-06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HYPERLINK("http://141.218.60.56/~jnz1568/getInfo.php?workbook=18_08.xlsx&amp;sheet=U0&amp;row=7399&amp;col=6&amp;number=4.5&amp;sourceID=14","4.5")</f>
        <v>4.5</v>
      </c>
      <c r="G7399" s="4" t="str">
        <f>HYPERLINK("http://141.218.60.56/~jnz1568/getInfo.php?workbook=18_08.xlsx&amp;sheet=U0&amp;row=7399&amp;col=7&amp;number=3.92e-06&amp;sourceID=14","3.92e-06")</f>
        <v>3.92e-06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HYPERLINK("http://141.218.60.56/~jnz1568/getInfo.php?workbook=18_08.xlsx&amp;sheet=U0&amp;row=7400&amp;col=6&amp;number=4.6&amp;sourceID=14","4.6")</f>
        <v>4.6</v>
      </c>
      <c r="G7400" s="4" t="str">
        <f>HYPERLINK("http://141.218.60.56/~jnz1568/getInfo.php?workbook=18_08.xlsx&amp;sheet=U0&amp;row=7400&amp;col=7&amp;number=3.9e-06&amp;sourceID=14","3.9e-06")</f>
        <v>3.9e-06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HYPERLINK("http://141.218.60.56/~jnz1568/getInfo.php?workbook=18_08.xlsx&amp;sheet=U0&amp;row=7401&amp;col=6&amp;number=4.7&amp;sourceID=14","4.7")</f>
        <v>4.7</v>
      </c>
      <c r="G7401" s="4" t="str">
        <f>HYPERLINK("http://141.218.60.56/~jnz1568/getInfo.php?workbook=18_08.xlsx&amp;sheet=U0&amp;row=7401&amp;col=7&amp;number=3.89e-06&amp;sourceID=14","3.89e-06")</f>
        <v>3.89e-06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HYPERLINK("http://141.218.60.56/~jnz1568/getInfo.php?workbook=18_08.xlsx&amp;sheet=U0&amp;row=7402&amp;col=6&amp;number=4.8&amp;sourceID=14","4.8")</f>
        <v>4.8</v>
      </c>
      <c r="G7402" s="4" t="str">
        <f>HYPERLINK("http://141.218.60.56/~jnz1568/getInfo.php?workbook=18_08.xlsx&amp;sheet=U0&amp;row=7402&amp;col=7&amp;number=3.87e-06&amp;sourceID=14","3.87e-06")</f>
        <v>3.87e-06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HYPERLINK("http://141.218.60.56/~jnz1568/getInfo.php?workbook=18_08.xlsx&amp;sheet=U0&amp;row=7403&amp;col=6&amp;number=4.9&amp;sourceID=14","4.9")</f>
        <v>4.9</v>
      </c>
      <c r="G7403" s="4" t="str">
        <f>HYPERLINK("http://141.218.60.56/~jnz1568/getInfo.php?workbook=18_08.xlsx&amp;sheet=U0&amp;row=7403&amp;col=7&amp;number=3.85e-06&amp;sourceID=14","3.85e-06")</f>
        <v>3.85e-06</v>
      </c>
    </row>
    <row r="7404" spans="1:7">
      <c r="A7404" s="3">
        <v>18</v>
      </c>
      <c r="B7404" s="3">
        <v>8</v>
      </c>
      <c r="C7404" s="3" t="s">
        <v>81</v>
      </c>
      <c r="D7404" s="3">
        <v>2</v>
      </c>
      <c r="E7404" s="3">
        <v>1</v>
      </c>
      <c r="F7404" s="4" t="str">
        <f>HYPERLINK("http://141.218.60.56/~jnz1568/getInfo.php?workbook=18_08.xlsx&amp;sheet=U0&amp;row=7404&amp;col=6&amp;number=3&amp;sourceID=14","3")</f>
        <v>3</v>
      </c>
      <c r="G7404" s="4" t="str">
        <f>HYPERLINK("http://141.218.60.56/~jnz1568/getInfo.php?workbook=18_08.xlsx&amp;sheet=U0&amp;row=7404&amp;col=7&amp;number=6.5e-06&amp;sourceID=14","6.5e-06")</f>
        <v>6.5e-06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HYPERLINK("http://141.218.60.56/~jnz1568/getInfo.php?workbook=18_08.xlsx&amp;sheet=U0&amp;row=7405&amp;col=6&amp;number=3.1&amp;sourceID=14","3.1")</f>
        <v>3.1</v>
      </c>
      <c r="G7405" s="4" t="str">
        <f>HYPERLINK("http://141.218.60.56/~jnz1568/getInfo.php?workbook=18_08.xlsx&amp;sheet=U0&amp;row=7405&amp;col=7&amp;number=6.5e-06&amp;sourceID=14","6.5e-06")</f>
        <v>6.5e-06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HYPERLINK("http://141.218.60.56/~jnz1568/getInfo.php?workbook=18_08.xlsx&amp;sheet=U0&amp;row=7406&amp;col=6&amp;number=3.2&amp;sourceID=14","3.2")</f>
        <v>3.2</v>
      </c>
      <c r="G7406" s="4" t="str">
        <f>HYPERLINK("http://141.218.60.56/~jnz1568/getInfo.php?workbook=18_08.xlsx&amp;sheet=U0&amp;row=7406&amp;col=7&amp;number=6.5e-06&amp;sourceID=14","6.5e-06")</f>
        <v>6.5e-06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HYPERLINK("http://141.218.60.56/~jnz1568/getInfo.php?workbook=18_08.xlsx&amp;sheet=U0&amp;row=7407&amp;col=6&amp;number=3.3&amp;sourceID=14","3.3")</f>
        <v>3.3</v>
      </c>
      <c r="G7407" s="4" t="str">
        <f>HYPERLINK("http://141.218.60.56/~jnz1568/getInfo.php?workbook=18_08.xlsx&amp;sheet=U0&amp;row=7407&amp;col=7&amp;number=6.5e-06&amp;sourceID=14","6.5e-06")</f>
        <v>6.5e-06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HYPERLINK("http://141.218.60.56/~jnz1568/getInfo.php?workbook=18_08.xlsx&amp;sheet=U0&amp;row=7408&amp;col=6&amp;number=3.4&amp;sourceID=14","3.4")</f>
        <v>3.4</v>
      </c>
      <c r="G7408" s="4" t="str">
        <f>HYPERLINK("http://141.218.60.56/~jnz1568/getInfo.php?workbook=18_08.xlsx&amp;sheet=U0&amp;row=7408&amp;col=7&amp;number=6.49e-06&amp;sourceID=14","6.49e-06")</f>
        <v>6.49e-06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HYPERLINK("http://141.218.60.56/~jnz1568/getInfo.php?workbook=18_08.xlsx&amp;sheet=U0&amp;row=7409&amp;col=6&amp;number=3.5&amp;sourceID=14","3.5")</f>
        <v>3.5</v>
      </c>
      <c r="G7409" s="4" t="str">
        <f>HYPERLINK("http://141.218.60.56/~jnz1568/getInfo.php?workbook=18_08.xlsx&amp;sheet=U0&amp;row=7409&amp;col=7&amp;number=6.49e-06&amp;sourceID=14","6.49e-06")</f>
        <v>6.49e-06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HYPERLINK("http://141.218.60.56/~jnz1568/getInfo.php?workbook=18_08.xlsx&amp;sheet=U0&amp;row=7410&amp;col=6&amp;number=3.6&amp;sourceID=14","3.6")</f>
        <v>3.6</v>
      </c>
      <c r="G7410" s="4" t="str">
        <f>HYPERLINK("http://141.218.60.56/~jnz1568/getInfo.php?workbook=18_08.xlsx&amp;sheet=U0&amp;row=7410&amp;col=7&amp;number=6.49e-06&amp;sourceID=14","6.49e-06")</f>
        <v>6.49e-06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HYPERLINK("http://141.218.60.56/~jnz1568/getInfo.php?workbook=18_08.xlsx&amp;sheet=U0&amp;row=7411&amp;col=6&amp;number=3.7&amp;sourceID=14","3.7")</f>
        <v>3.7</v>
      </c>
      <c r="G7411" s="4" t="str">
        <f>HYPERLINK("http://141.218.60.56/~jnz1568/getInfo.php?workbook=18_08.xlsx&amp;sheet=U0&amp;row=7411&amp;col=7&amp;number=6.49e-06&amp;sourceID=14","6.49e-06")</f>
        <v>6.49e-06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HYPERLINK("http://141.218.60.56/~jnz1568/getInfo.php?workbook=18_08.xlsx&amp;sheet=U0&amp;row=7412&amp;col=6&amp;number=3.8&amp;sourceID=14","3.8")</f>
        <v>3.8</v>
      </c>
      <c r="G7412" s="4" t="str">
        <f>HYPERLINK("http://141.218.60.56/~jnz1568/getInfo.php?workbook=18_08.xlsx&amp;sheet=U0&amp;row=7412&amp;col=7&amp;number=6.49e-06&amp;sourceID=14","6.49e-06")</f>
        <v>6.49e-06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HYPERLINK("http://141.218.60.56/~jnz1568/getInfo.php?workbook=18_08.xlsx&amp;sheet=U0&amp;row=7413&amp;col=6&amp;number=3.9&amp;sourceID=14","3.9")</f>
        <v>3.9</v>
      </c>
      <c r="G7413" s="4" t="str">
        <f>HYPERLINK("http://141.218.60.56/~jnz1568/getInfo.php?workbook=18_08.xlsx&amp;sheet=U0&amp;row=7413&amp;col=7&amp;number=6.48e-06&amp;sourceID=14","6.48e-06")</f>
        <v>6.48e-06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HYPERLINK("http://141.218.60.56/~jnz1568/getInfo.php?workbook=18_08.xlsx&amp;sheet=U0&amp;row=7414&amp;col=6&amp;number=4&amp;sourceID=14","4")</f>
        <v>4</v>
      </c>
      <c r="G7414" s="4" t="str">
        <f>HYPERLINK("http://141.218.60.56/~jnz1568/getInfo.php?workbook=18_08.xlsx&amp;sheet=U0&amp;row=7414&amp;col=7&amp;number=6.48e-06&amp;sourceID=14","6.48e-06")</f>
        <v>6.48e-06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HYPERLINK("http://141.218.60.56/~jnz1568/getInfo.php?workbook=18_08.xlsx&amp;sheet=U0&amp;row=7415&amp;col=6&amp;number=4.1&amp;sourceID=14","4.1")</f>
        <v>4.1</v>
      </c>
      <c r="G7415" s="4" t="str">
        <f>HYPERLINK("http://141.218.60.56/~jnz1568/getInfo.php?workbook=18_08.xlsx&amp;sheet=U0&amp;row=7415&amp;col=7&amp;number=6.47e-06&amp;sourceID=14","6.47e-06")</f>
        <v>6.47e-06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HYPERLINK("http://141.218.60.56/~jnz1568/getInfo.php?workbook=18_08.xlsx&amp;sheet=U0&amp;row=7416&amp;col=6&amp;number=4.2&amp;sourceID=14","4.2")</f>
        <v>4.2</v>
      </c>
      <c r="G7416" s="4" t="str">
        <f>HYPERLINK("http://141.218.60.56/~jnz1568/getInfo.php?workbook=18_08.xlsx&amp;sheet=U0&amp;row=7416&amp;col=7&amp;number=6.47e-06&amp;sourceID=14","6.47e-06")</f>
        <v>6.47e-06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HYPERLINK("http://141.218.60.56/~jnz1568/getInfo.php?workbook=18_08.xlsx&amp;sheet=U0&amp;row=7417&amp;col=6&amp;number=4.3&amp;sourceID=14","4.3")</f>
        <v>4.3</v>
      </c>
      <c r="G7417" s="4" t="str">
        <f>HYPERLINK("http://141.218.60.56/~jnz1568/getInfo.php?workbook=18_08.xlsx&amp;sheet=U0&amp;row=7417&amp;col=7&amp;number=6.46e-06&amp;sourceID=14","6.46e-06")</f>
        <v>6.46e-06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HYPERLINK("http://141.218.60.56/~jnz1568/getInfo.php?workbook=18_08.xlsx&amp;sheet=U0&amp;row=7418&amp;col=6&amp;number=4.4&amp;sourceID=14","4.4")</f>
        <v>4.4</v>
      </c>
      <c r="G7418" s="4" t="str">
        <f>HYPERLINK("http://141.218.60.56/~jnz1568/getInfo.php?workbook=18_08.xlsx&amp;sheet=U0&amp;row=7418&amp;col=7&amp;number=6.45e-06&amp;sourceID=14","6.45e-06")</f>
        <v>6.45e-06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HYPERLINK("http://141.218.60.56/~jnz1568/getInfo.php?workbook=18_08.xlsx&amp;sheet=U0&amp;row=7419&amp;col=6&amp;number=4.5&amp;sourceID=14","4.5")</f>
        <v>4.5</v>
      </c>
      <c r="G7419" s="4" t="str">
        <f>HYPERLINK("http://141.218.60.56/~jnz1568/getInfo.php?workbook=18_08.xlsx&amp;sheet=U0&amp;row=7419&amp;col=7&amp;number=6.43e-06&amp;sourceID=14","6.43e-06")</f>
        <v>6.43e-06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HYPERLINK("http://141.218.60.56/~jnz1568/getInfo.php?workbook=18_08.xlsx&amp;sheet=U0&amp;row=7420&amp;col=6&amp;number=4.6&amp;sourceID=14","4.6")</f>
        <v>4.6</v>
      </c>
      <c r="G7420" s="4" t="str">
        <f>HYPERLINK("http://141.218.60.56/~jnz1568/getInfo.php?workbook=18_08.xlsx&amp;sheet=U0&amp;row=7420&amp;col=7&amp;number=6.42e-06&amp;sourceID=14","6.42e-06")</f>
        <v>6.42e-06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HYPERLINK("http://141.218.60.56/~jnz1568/getInfo.php?workbook=18_08.xlsx&amp;sheet=U0&amp;row=7421&amp;col=6&amp;number=4.7&amp;sourceID=14","4.7")</f>
        <v>4.7</v>
      </c>
      <c r="G7421" s="4" t="str">
        <f>HYPERLINK("http://141.218.60.56/~jnz1568/getInfo.php?workbook=18_08.xlsx&amp;sheet=U0&amp;row=7421&amp;col=7&amp;number=6.39e-06&amp;sourceID=14","6.39e-06")</f>
        <v>6.39e-06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HYPERLINK("http://141.218.60.56/~jnz1568/getInfo.php?workbook=18_08.xlsx&amp;sheet=U0&amp;row=7422&amp;col=6&amp;number=4.8&amp;sourceID=14","4.8")</f>
        <v>4.8</v>
      </c>
      <c r="G7422" s="4" t="str">
        <f>HYPERLINK("http://141.218.60.56/~jnz1568/getInfo.php?workbook=18_08.xlsx&amp;sheet=U0&amp;row=7422&amp;col=7&amp;number=6.37e-06&amp;sourceID=14","6.37e-06")</f>
        <v>6.37e-06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HYPERLINK("http://141.218.60.56/~jnz1568/getInfo.php?workbook=18_08.xlsx&amp;sheet=U0&amp;row=7423&amp;col=6&amp;number=4.9&amp;sourceID=14","4.9")</f>
        <v>4.9</v>
      </c>
      <c r="G7423" s="4" t="str">
        <f>HYPERLINK("http://141.218.60.56/~jnz1568/getInfo.php?workbook=18_08.xlsx&amp;sheet=U0&amp;row=7423&amp;col=7&amp;number=6.33e-06&amp;sourceID=14","6.33e-06")</f>
        <v>6.33e-06</v>
      </c>
    </row>
    <row r="7424" spans="1:7">
      <c r="A7424" s="3">
        <v>18</v>
      </c>
      <c r="B7424" s="3">
        <v>8</v>
      </c>
      <c r="C7424" s="3" t="s">
        <v>81</v>
      </c>
      <c r="D7424" s="3">
        <v>3</v>
      </c>
      <c r="E7424" s="3">
        <v>1</v>
      </c>
      <c r="F7424" s="4" t="str">
        <f>HYPERLINK("http://141.218.60.56/~jnz1568/getInfo.php?workbook=18_08.xlsx&amp;sheet=U0&amp;row=7424&amp;col=6&amp;number=3&amp;sourceID=14","3")</f>
        <v>3</v>
      </c>
      <c r="G7424" s="4" t="str">
        <f>HYPERLINK("http://141.218.60.56/~jnz1568/getInfo.php?workbook=18_08.xlsx&amp;sheet=U0&amp;row=7424&amp;col=7&amp;number=0.0034&amp;sourceID=14","0.0034")</f>
        <v>0.0034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HYPERLINK("http://141.218.60.56/~jnz1568/getInfo.php?workbook=18_08.xlsx&amp;sheet=U0&amp;row=7425&amp;col=6&amp;number=3.1&amp;sourceID=14","3.1")</f>
        <v>3.1</v>
      </c>
      <c r="G7425" s="4" t="str">
        <f>HYPERLINK("http://141.218.60.56/~jnz1568/getInfo.php?workbook=18_08.xlsx&amp;sheet=U0&amp;row=7425&amp;col=7&amp;number=0.0034&amp;sourceID=14","0.0034")</f>
        <v>0.0034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HYPERLINK("http://141.218.60.56/~jnz1568/getInfo.php?workbook=18_08.xlsx&amp;sheet=U0&amp;row=7426&amp;col=6&amp;number=3.2&amp;sourceID=14","3.2")</f>
        <v>3.2</v>
      </c>
      <c r="G7426" s="4" t="str">
        <f>HYPERLINK("http://141.218.60.56/~jnz1568/getInfo.php?workbook=18_08.xlsx&amp;sheet=U0&amp;row=7426&amp;col=7&amp;number=0.0034&amp;sourceID=14","0.0034")</f>
        <v>0.0034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HYPERLINK("http://141.218.60.56/~jnz1568/getInfo.php?workbook=18_08.xlsx&amp;sheet=U0&amp;row=7427&amp;col=6&amp;number=3.3&amp;sourceID=14","3.3")</f>
        <v>3.3</v>
      </c>
      <c r="G7427" s="4" t="str">
        <f>HYPERLINK("http://141.218.60.56/~jnz1568/getInfo.php?workbook=18_08.xlsx&amp;sheet=U0&amp;row=7427&amp;col=7&amp;number=0.0034&amp;sourceID=14","0.0034")</f>
        <v>0.0034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HYPERLINK("http://141.218.60.56/~jnz1568/getInfo.php?workbook=18_08.xlsx&amp;sheet=U0&amp;row=7428&amp;col=6&amp;number=3.4&amp;sourceID=14","3.4")</f>
        <v>3.4</v>
      </c>
      <c r="G7428" s="4" t="str">
        <f>HYPERLINK("http://141.218.60.56/~jnz1568/getInfo.php?workbook=18_08.xlsx&amp;sheet=U0&amp;row=7428&amp;col=7&amp;number=0.0034&amp;sourceID=14","0.0034")</f>
        <v>0.0034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HYPERLINK("http://141.218.60.56/~jnz1568/getInfo.php?workbook=18_08.xlsx&amp;sheet=U0&amp;row=7429&amp;col=6&amp;number=3.5&amp;sourceID=14","3.5")</f>
        <v>3.5</v>
      </c>
      <c r="G7429" s="4" t="str">
        <f>HYPERLINK("http://141.218.60.56/~jnz1568/getInfo.php?workbook=18_08.xlsx&amp;sheet=U0&amp;row=7429&amp;col=7&amp;number=0.0034&amp;sourceID=14","0.0034")</f>
        <v>0.0034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HYPERLINK("http://141.218.60.56/~jnz1568/getInfo.php?workbook=18_08.xlsx&amp;sheet=U0&amp;row=7430&amp;col=6&amp;number=3.6&amp;sourceID=14","3.6")</f>
        <v>3.6</v>
      </c>
      <c r="G7430" s="4" t="str">
        <f>HYPERLINK("http://141.218.60.56/~jnz1568/getInfo.php?workbook=18_08.xlsx&amp;sheet=U0&amp;row=7430&amp;col=7&amp;number=0.0034&amp;sourceID=14","0.0034")</f>
        <v>0.0034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HYPERLINK("http://141.218.60.56/~jnz1568/getInfo.php?workbook=18_08.xlsx&amp;sheet=U0&amp;row=7431&amp;col=6&amp;number=3.7&amp;sourceID=14","3.7")</f>
        <v>3.7</v>
      </c>
      <c r="G7431" s="4" t="str">
        <f>HYPERLINK("http://141.218.60.56/~jnz1568/getInfo.php?workbook=18_08.xlsx&amp;sheet=U0&amp;row=7431&amp;col=7&amp;number=0.0034&amp;sourceID=14","0.0034")</f>
        <v>0.0034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HYPERLINK("http://141.218.60.56/~jnz1568/getInfo.php?workbook=18_08.xlsx&amp;sheet=U0&amp;row=7432&amp;col=6&amp;number=3.8&amp;sourceID=14","3.8")</f>
        <v>3.8</v>
      </c>
      <c r="G7432" s="4" t="str">
        <f>HYPERLINK("http://141.218.60.56/~jnz1568/getInfo.php?workbook=18_08.xlsx&amp;sheet=U0&amp;row=7432&amp;col=7&amp;number=0.0034&amp;sourceID=14","0.0034")</f>
        <v>0.0034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HYPERLINK("http://141.218.60.56/~jnz1568/getInfo.php?workbook=18_08.xlsx&amp;sheet=U0&amp;row=7433&amp;col=6&amp;number=3.9&amp;sourceID=14","3.9")</f>
        <v>3.9</v>
      </c>
      <c r="G7433" s="4" t="str">
        <f>HYPERLINK("http://141.218.60.56/~jnz1568/getInfo.php?workbook=18_08.xlsx&amp;sheet=U0&amp;row=7433&amp;col=7&amp;number=0.0034&amp;sourceID=14","0.0034")</f>
        <v>0.0034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HYPERLINK("http://141.218.60.56/~jnz1568/getInfo.php?workbook=18_08.xlsx&amp;sheet=U0&amp;row=7434&amp;col=6&amp;number=4&amp;sourceID=14","4")</f>
        <v>4</v>
      </c>
      <c r="G7434" s="4" t="str">
        <f>HYPERLINK("http://141.218.60.56/~jnz1568/getInfo.php?workbook=18_08.xlsx&amp;sheet=U0&amp;row=7434&amp;col=7&amp;number=0.0034&amp;sourceID=14","0.0034")</f>
        <v>0.0034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HYPERLINK("http://141.218.60.56/~jnz1568/getInfo.php?workbook=18_08.xlsx&amp;sheet=U0&amp;row=7435&amp;col=6&amp;number=4.1&amp;sourceID=14","4.1")</f>
        <v>4.1</v>
      </c>
      <c r="G7435" s="4" t="str">
        <f>HYPERLINK("http://141.218.60.56/~jnz1568/getInfo.php?workbook=18_08.xlsx&amp;sheet=U0&amp;row=7435&amp;col=7&amp;number=0.0034&amp;sourceID=14","0.0034")</f>
        <v>0.0034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HYPERLINK("http://141.218.60.56/~jnz1568/getInfo.php?workbook=18_08.xlsx&amp;sheet=U0&amp;row=7436&amp;col=6&amp;number=4.2&amp;sourceID=14","4.2")</f>
        <v>4.2</v>
      </c>
      <c r="G7436" s="4" t="str">
        <f>HYPERLINK("http://141.218.60.56/~jnz1568/getInfo.php?workbook=18_08.xlsx&amp;sheet=U0&amp;row=7436&amp;col=7&amp;number=0.0034&amp;sourceID=14","0.0034")</f>
        <v>0.0034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HYPERLINK("http://141.218.60.56/~jnz1568/getInfo.php?workbook=18_08.xlsx&amp;sheet=U0&amp;row=7437&amp;col=6&amp;number=4.3&amp;sourceID=14","4.3")</f>
        <v>4.3</v>
      </c>
      <c r="G7437" s="4" t="str">
        <f>HYPERLINK("http://141.218.60.56/~jnz1568/getInfo.php?workbook=18_08.xlsx&amp;sheet=U0&amp;row=7437&amp;col=7&amp;number=0.0034&amp;sourceID=14","0.0034")</f>
        <v>0.0034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HYPERLINK("http://141.218.60.56/~jnz1568/getInfo.php?workbook=18_08.xlsx&amp;sheet=U0&amp;row=7438&amp;col=6&amp;number=4.4&amp;sourceID=14","4.4")</f>
        <v>4.4</v>
      </c>
      <c r="G7438" s="4" t="str">
        <f>HYPERLINK("http://141.218.60.56/~jnz1568/getInfo.php?workbook=18_08.xlsx&amp;sheet=U0&amp;row=7438&amp;col=7&amp;number=0.0034&amp;sourceID=14","0.0034")</f>
        <v>0.0034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HYPERLINK("http://141.218.60.56/~jnz1568/getInfo.php?workbook=18_08.xlsx&amp;sheet=U0&amp;row=7439&amp;col=6&amp;number=4.5&amp;sourceID=14","4.5")</f>
        <v>4.5</v>
      </c>
      <c r="G7439" s="4" t="str">
        <f>HYPERLINK("http://141.218.60.56/~jnz1568/getInfo.php?workbook=18_08.xlsx&amp;sheet=U0&amp;row=7439&amp;col=7&amp;number=0.00339&amp;sourceID=14","0.00339")</f>
        <v>0.00339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HYPERLINK("http://141.218.60.56/~jnz1568/getInfo.php?workbook=18_08.xlsx&amp;sheet=U0&amp;row=7440&amp;col=6&amp;number=4.6&amp;sourceID=14","4.6")</f>
        <v>4.6</v>
      </c>
      <c r="G7440" s="4" t="str">
        <f>HYPERLINK("http://141.218.60.56/~jnz1568/getInfo.php?workbook=18_08.xlsx&amp;sheet=U0&amp;row=7440&amp;col=7&amp;number=0.00339&amp;sourceID=14","0.00339")</f>
        <v>0.00339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HYPERLINK("http://141.218.60.56/~jnz1568/getInfo.php?workbook=18_08.xlsx&amp;sheet=U0&amp;row=7441&amp;col=6&amp;number=4.7&amp;sourceID=14","4.7")</f>
        <v>4.7</v>
      </c>
      <c r="G7441" s="4" t="str">
        <f>HYPERLINK("http://141.218.60.56/~jnz1568/getInfo.php?workbook=18_08.xlsx&amp;sheet=U0&amp;row=7441&amp;col=7&amp;number=0.00339&amp;sourceID=14","0.00339")</f>
        <v>0.00339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HYPERLINK("http://141.218.60.56/~jnz1568/getInfo.php?workbook=18_08.xlsx&amp;sheet=U0&amp;row=7442&amp;col=6&amp;number=4.8&amp;sourceID=14","4.8")</f>
        <v>4.8</v>
      </c>
      <c r="G7442" s="4" t="str">
        <f>HYPERLINK("http://141.218.60.56/~jnz1568/getInfo.php?workbook=18_08.xlsx&amp;sheet=U0&amp;row=7442&amp;col=7&amp;number=0.00339&amp;sourceID=14","0.00339")</f>
        <v>0.00339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HYPERLINK("http://141.218.60.56/~jnz1568/getInfo.php?workbook=18_08.xlsx&amp;sheet=U0&amp;row=7443&amp;col=6&amp;number=4.9&amp;sourceID=14","4.9")</f>
        <v>4.9</v>
      </c>
      <c r="G7443" s="4" t="str">
        <f>HYPERLINK("http://141.218.60.56/~jnz1568/getInfo.php?workbook=18_08.xlsx&amp;sheet=U0&amp;row=7443&amp;col=7&amp;number=0.00339&amp;sourceID=14","0.00339")</f>
        <v>0.00339</v>
      </c>
    </row>
    <row r="7444" spans="1:7">
      <c r="A7444" s="3">
        <v>18</v>
      </c>
      <c r="B7444" s="3">
        <v>8</v>
      </c>
      <c r="C7444" s="3" t="s">
        <v>81</v>
      </c>
      <c r="D7444" s="3">
        <v>4</v>
      </c>
      <c r="E7444" s="3">
        <v>1</v>
      </c>
      <c r="F7444" s="4" t="str">
        <f>HYPERLINK("http://141.218.60.56/~jnz1568/getInfo.php?workbook=18_08.xlsx&amp;sheet=U0&amp;row=7444&amp;col=6&amp;number=3&amp;sourceID=14","3")</f>
        <v>3</v>
      </c>
      <c r="G7444" s="4" t="str">
        <f>HYPERLINK("http://141.218.60.56/~jnz1568/getInfo.php?workbook=18_08.xlsx&amp;sheet=U0&amp;row=7444&amp;col=7&amp;number=0.00542&amp;sourceID=14","0.00542")</f>
        <v>0.00542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HYPERLINK("http://141.218.60.56/~jnz1568/getInfo.php?workbook=18_08.xlsx&amp;sheet=U0&amp;row=7445&amp;col=6&amp;number=3.1&amp;sourceID=14","3.1")</f>
        <v>3.1</v>
      </c>
      <c r="G7445" s="4" t="str">
        <f>HYPERLINK("http://141.218.60.56/~jnz1568/getInfo.php?workbook=18_08.xlsx&amp;sheet=U0&amp;row=7445&amp;col=7&amp;number=0.00542&amp;sourceID=14","0.00542")</f>
        <v>0.00542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HYPERLINK("http://141.218.60.56/~jnz1568/getInfo.php?workbook=18_08.xlsx&amp;sheet=U0&amp;row=7446&amp;col=6&amp;number=3.2&amp;sourceID=14","3.2")</f>
        <v>3.2</v>
      </c>
      <c r="G7446" s="4" t="str">
        <f>HYPERLINK("http://141.218.60.56/~jnz1568/getInfo.php?workbook=18_08.xlsx&amp;sheet=U0&amp;row=7446&amp;col=7&amp;number=0.00542&amp;sourceID=14","0.00542")</f>
        <v>0.00542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HYPERLINK("http://141.218.60.56/~jnz1568/getInfo.php?workbook=18_08.xlsx&amp;sheet=U0&amp;row=7447&amp;col=6&amp;number=3.3&amp;sourceID=14","3.3")</f>
        <v>3.3</v>
      </c>
      <c r="G7447" s="4" t="str">
        <f>HYPERLINK("http://141.218.60.56/~jnz1568/getInfo.php?workbook=18_08.xlsx&amp;sheet=U0&amp;row=7447&amp;col=7&amp;number=0.00542&amp;sourceID=14","0.00542")</f>
        <v>0.00542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HYPERLINK("http://141.218.60.56/~jnz1568/getInfo.php?workbook=18_08.xlsx&amp;sheet=U0&amp;row=7448&amp;col=6&amp;number=3.4&amp;sourceID=14","3.4")</f>
        <v>3.4</v>
      </c>
      <c r="G7448" s="4" t="str">
        <f>HYPERLINK("http://141.218.60.56/~jnz1568/getInfo.php?workbook=18_08.xlsx&amp;sheet=U0&amp;row=7448&amp;col=7&amp;number=0.00542&amp;sourceID=14","0.00542")</f>
        <v>0.00542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HYPERLINK("http://141.218.60.56/~jnz1568/getInfo.php?workbook=18_08.xlsx&amp;sheet=U0&amp;row=7449&amp;col=6&amp;number=3.5&amp;sourceID=14","3.5")</f>
        <v>3.5</v>
      </c>
      <c r="G7449" s="4" t="str">
        <f>HYPERLINK("http://141.218.60.56/~jnz1568/getInfo.php?workbook=18_08.xlsx&amp;sheet=U0&amp;row=7449&amp;col=7&amp;number=0.00542&amp;sourceID=14","0.00542")</f>
        <v>0.00542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HYPERLINK("http://141.218.60.56/~jnz1568/getInfo.php?workbook=18_08.xlsx&amp;sheet=U0&amp;row=7450&amp;col=6&amp;number=3.6&amp;sourceID=14","3.6")</f>
        <v>3.6</v>
      </c>
      <c r="G7450" s="4" t="str">
        <f>HYPERLINK("http://141.218.60.56/~jnz1568/getInfo.php?workbook=18_08.xlsx&amp;sheet=U0&amp;row=7450&amp;col=7&amp;number=0.00542&amp;sourceID=14","0.00542")</f>
        <v>0.00542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HYPERLINK("http://141.218.60.56/~jnz1568/getInfo.php?workbook=18_08.xlsx&amp;sheet=U0&amp;row=7451&amp;col=6&amp;number=3.7&amp;sourceID=14","3.7")</f>
        <v>3.7</v>
      </c>
      <c r="G7451" s="4" t="str">
        <f>HYPERLINK("http://141.218.60.56/~jnz1568/getInfo.php?workbook=18_08.xlsx&amp;sheet=U0&amp;row=7451&amp;col=7&amp;number=0.00542&amp;sourceID=14","0.00542")</f>
        <v>0.00542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HYPERLINK("http://141.218.60.56/~jnz1568/getInfo.php?workbook=18_08.xlsx&amp;sheet=U0&amp;row=7452&amp;col=6&amp;number=3.8&amp;sourceID=14","3.8")</f>
        <v>3.8</v>
      </c>
      <c r="G7452" s="4" t="str">
        <f>HYPERLINK("http://141.218.60.56/~jnz1568/getInfo.php?workbook=18_08.xlsx&amp;sheet=U0&amp;row=7452&amp;col=7&amp;number=0.00541&amp;sourceID=14","0.00541")</f>
        <v>0.00541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HYPERLINK("http://141.218.60.56/~jnz1568/getInfo.php?workbook=18_08.xlsx&amp;sheet=U0&amp;row=7453&amp;col=6&amp;number=3.9&amp;sourceID=14","3.9")</f>
        <v>3.9</v>
      </c>
      <c r="G7453" s="4" t="str">
        <f>HYPERLINK("http://141.218.60.56/~jnz1568/getInfo.php?workbook=18_08.xlsx&amp;sheet=U0&amp;row=7453&amp;col=7&amp;number=0.00541&amp;sourceID=14","0.00541")</f>
        <v>0.00541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HYPERLINK("http://141.218.60.56/~jnz1568/getInfo.php?workbook=18_08.xlsx&amp;sheet=U0&amp;row=7454&amp;col=6&amp;number=4&amp;sourceID=14","4")</f>
        <v>4</v>
      </c>
      <c r="G7454" s="4" t="str">
        <f>HYPERLINK("http://141.218.60.56/~jnz1568/getInfo.php?workbook=18_08.xlsx&amp;sheet=U0&amp;row=7454&amp;col=7&amp;number=0.00541&amp;sourceID=14","0.00541")</f>
        <v>0.00541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HYPERLINK("http://141.218.60.56/~jnz1568/getInfo.php?workbook=18_08.xlsx&amp;sheet=U0&amp;row=7455&amp;col=6&amp;number=4.1&amp;sourceID=14","4.1")</f>
        <v>4.1</v>
      </c>
      <c r="G7455" s="4" t="str">
        <f>HYPERLINK("http://141.218.60.56/~jnz1568/getInfo.php?workbook=18_08.xlsx&amp;sheet=U0&amp;row=7455&amp;col=7&amp;number=0.00541&amp;sourceID=14","0.00541")</f>
        <v>0.00541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HYPERLINK("http://141.218.60.56/~jnz1568/getInfo.php?workbook=18_08.xlsx&amp;sheet=U0&amp;row=7456&amp;col=6&amp;number=4.2&amp;sourceID=14","4.2")</f>
        <v>4.2</v>
      </c>
      <c r="G7456" s="4" t="str">
        <f>HYPERLINK("http://141.218.60.56/~jnz1568/getInfo.php?workbook=18_08.xlsx&amp;sheet=U0&amp;row=7456&amp;col=7&amp;number=0.00541&amp;sourceID=14","0.00541")</f>
        <v>0.00541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HYPERLINK("http://141.218.60.56/~jnz1568/getInfo.php?workbook=18_08.xlsx&amp;sheet=U0&amp;row=7457&amp;col=6&amp;number=4.3&amp;sourceID=14","4.3")</f>
        <v>4.3</v>
      </c>
      <c r="G7457" s="4" t="str">
        <f>HYPERLINK("http://141.218.60.56/~jnz1568/getInfo.php?workbook=18_08.xlsx&amp;sheet=U0&amp;row=7457&amp;col=7&amp;number=0.0054&amp;sourceID=14","0.0054")</f>
        <v>0.0054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HYPERLINK("http://141.218.60.56/~jnz1568/getInfo.php?workbook=18_08.xlsx&amp;sheet=U0&amp;row=7458&amp;col=6&amp;number=4.4&amp;sourceID=14","4.4")</f>
        <v>4.4</v>
      </c>
      <c r="G7458" s="4" t="str">
        <f>HYPERLINK("http://141.218.60.56/~jnz1568/getInfo.php?workbook=18_08.xlsx&amp;sheet=U0&amp;row=7458&amp;col=7&amp;number=0.0054&amp;sourceID=14","0.0054")</f>
        <v>0.0054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HYPERLINK("http://141.218.60.56/~jnz1568/getInfo.php?workbook=18_08.xlsx&amp;sheet=U0&amp;row=7459&amp;col=6&amp;number=4.5&amp;sourceID=14","4.5")</f>
        <v>4.5</v>
      </c>
      <c r="G7459" s="4" t="str">
        <f>HYPERLINK("http://141.218.60.56/~jnz1568/getInfo.php?workbook=18_08.xlsx&amp;sheet=U0&amp;row=7459&amp;col=7&amp;number=0.00539&amp;sourceID=14","0.00539")</f>
        <v>0.00539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HYPERLINK("http://141.218.60.56/~jnz1568/getInfo.php?workbook=18_08.xlsx&amp;sheet=U0&amp;row=7460&amp;col=6&amp;number=4.6&amp;sourceID=14","4.6")</f>
        <v>4.6</v>
      </c>
      <c r="G7460" s="4" t="str">
        <f>HYPERLINK("http://141.218.60.56/~jnz1568/getInfo.php?workbook=18_08.xlsx&amp;sheet=U0&amp;row=7460&amp;col=7&amp;number=0.00538&amp;sourceID=14","0.00538")</f>
        <v>0.00538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HYPERLINK("http://141.218.60.56/~jnz1568/getInfo.php?workbook=18_08.xlsx&amp;sheet=U0&amp;row=7461&amp;col=6&amp;number=4.7&amp;sourceID=14","4.7")</f>
        <v>4.7</v>
      </c>
      <c r="G7461" s="4" t="str">
        <f>HYPERLINK("http://141.218.60.56/~jnz1568/getInfo.php?workbook=18_08.xlsx&amp;sheet=U0&amp;row=7461&amp;col=7&amp;number=0.00537&amp;sourceID=14","0.00537")</f>
        <v>0.00537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HYPERLINK("http://141.218.60.56/~jnz1568/getInfo.php?workbook=18_08.xlsx&amp;sheet=U0&amp;row=7462&amp;col=6&amp;number=4.8&amp;sourceID=14","4.8")</f>
        <v>4.8</v>
      </c>
      <c r="G7462" s="4" t="str">
        <f>HYPERLINK("http://141.218.60.56/~jnz1568/getInfo.php?workbook=18_08.xlsx&amp;sheet=U0&amp;row=7462&amp;col=7&amp;number=0.00536&amp;sourceID=14","0.00536")</f>
        <v>0.00536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HYPERLINK("http://141.218.60.56/~jnz1568/getInfo.php?workbook=18_08.xlsx&amp;sheet=U0&amp;row=7463&amp;col=6&amp;number=4.9&amp;sourceID=14","4.9")</f>
        <v>4.9</v>
      </c>
      <c r="G7463" s="4" t="str">
        <f>HYPERLINK("http://141.218.60.56/~jnz1568/getInfo.php?workbook=18_08.xlsx&amp;sheet=U0&amp;row=7463&amp;col=7&amp;number=0.00534&amp;sourceID=14","0.00534")</f>
        <v>0.00534</v>
      </c>
    </row>
    <row r="7464" spans="1:7">
      <c r="A7464" s="3">
        <v>18</v>
      </c>
      <c r="B7464" s="3">
        <v>8</v>
      </c>
      <c r="C7464" s="3" t="s">
        <v>81</v>
      </c>
      <c r="D7464" s="3">
        <v>5</v>
      </c>
      <c r="E7464" s="3">
        <v>1</v>
      </c>
      <c r="F7464" s="4" t="str">
        <f>HYPERLINK("http://141.218.60.56/~jnz1568/getInfo.php?workbook=18_08.xlsx&amp;sheet=U0&amp;row=7464&amp;col=6&amp;number=3&amp;sourceID=14","3")</f>
        <v>3</v>
      </c>
      <c r="G7464" s="4" t="str">
        <f>HYPERLINK("http://141.218.60.56/~jnz1568/getInfo.php?workbook=18_08.xlsx&amp;sheet=U0&amp;row=7464&amp;col=7&amp;number=0.00368&amp;sourceID=14","0.00368")</f>
        <v>0.00368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HYPERLINK("http://141.218.60.56/~jnz1568/getInfo.php?workbook=18_08.xlsx&amp;sheet=U0&amp;row=7465&amp;col=6&amp;number=3.1&amp;sourceID=14","3.1")</f>
        <v>3.1</v>
      </c>
      <c r="G7465" s="4" t="str">
        <f>HYPERLINK("http://141.218.60.56/~jnz1568/getInfo.php?workbook=18_08.xlsx&amp;sheet=U0&amp;row=7465&amp;col=7&amp;number=0.00368&amp;sourceID=14","0.00368")</f>
        <v>0.00368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HYPERLINK("http://141.218.60.56/~jnz1568/getInfo.php?workbook=18_08.xlsx&amp;sheet=U0&amp;row=7466&amp;col=6&amp;number=3.2&amp;sourceID=14","3.2")</f>
        <v>3.2</v>
      </c>
      <c r="G7466" s="4" t="str">
        <f>HYPERLINK("http://141.218.60.56/~jnz1568/getInfo.php?workbook=18_08.xlsx&amp;sheet=U0&amp;row=7466&amp;col=7&amp;number=0.00368&amp;sourceID=14","0.00368")</f>
        <v>0.00368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HYPERLINK("http://141.218.60.56/~jnz1568/getInfo.php?workbook=18_08.xlsx&amp;sheet=U0&amp;row=7467&amp;col=6&amp;number=3.3&amp;sourceID=14","3.3")</f>
        <v>3.3</v>
      </c>
      <c r="G7467" s="4" t="str">
        <f>HYPERLINK("http://141.218.60.56/~jnz1568/getInfo.php?workbook=18_08.xlsx&amp;sheet=U0&amp;row=7467&amp;col=7&amp;number=0.00368&amp;sourceID=14","0.00368")</f>
        <v>0.00368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HYPERLINK("http://141.218.60.56/~jnz1568/getInfo.php?workbook=18_08.xlsx&amp;sheet=U0&amp;row=7468&amp;col=6&amp;number=3.4&amp;sourceID=14","3.4")</f>
        <v>3.4</v>
      </c>
      <c r="G7468" s="4" t="str">
        <f>HYPERLINK("http://141.218.60.56/~jnz1568/getInfo.php?workbook=18_08.xlsx&amp;sheet=U0&amp;row=7468&amp;col=7&amp;number=0.00367&amp;sourceID=14","0.00367")</f>
        <v>0.00367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HYPERLINK("http://141.218.60.56/~jnz1568/getInfo.php?workbook=18_08.xlsx&amp;sheet=U0&amp;row=7469&amp;col=6&amp;number=3.5&amp;sourceID=14","3.5")</f>
        <v>3.5</v>
      </c>
      <c r="G7469" s="4" t="str">
        <f>HYPERLINK("http://141.218.60.56/~jnz1568/getInfo.php?workbook=18_08.xlsx&amp;sheet=U0&amp;row=7469&amp;col=7&amp;number=0.00367&amp;sourceID=14","0.00367")</f>
        <v>0.00367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HYPERLINK("http://141.218.60.56/~jnz1568/getInfo.php?workbook=18_08.xlsx&amp;sheet=U0&amp;row=7470&amp;col=6&amp;number=3.6&amp;sourceID=14","3.6")</f>
        <v>3.6</v>
      </c>
      <c r="G7470" s="4" t="str">
        <f>HYPERLINK("http://141.218.60.56/~jnz1568/getInfo.php?workbook=18_08.xlsx&amp;sheet=U0&amp;row=7470&amp;col=7&amp;number=0.00367&amp;sourceID=14","0.00367")</f>
        <v>0.00367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HYPERLINK("http://141.218.60.56/~jnz1568/getInfo.php?workbook=18_08.xlsx&amp;sheet=U0&amp;row=7471&amp;col=6&amp;number=3.7&amp;sourceID=14","3.7")</f>
        <v>3.7</v>
      </c>
      <c r="G7471" s="4" t="str">
        <f>HYPERLINK("http://141.218.60.56/~jnz1568/getInfo.php?workbook=18_08.xlsx&amp;sheet=U0&amp;row=7471&amp;col=7&amp;number=0.00367&amp;sourceID=14","0.00367")</f>
        <v>0.00367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HYPERLINK("http://141.218.60.56/~jnz1568/getInfo.php?workbook=18_08.xlsx&amp;sheet=U0&amp;row=7472&amp;col=6&amp;number=3.8&amp;sourceID=14","3.8")</f>
        <v>3.8</v>
      </c>
      <c r="G7472" s="4" t="str">
        <f>HYPERLINK("http://141.218.60.56/~jnz1568/getInfo.php?workbook=18_08.xlsx&amp;sheet=U0&amp;row=7472&amp;col=7&amp;number=0.00367&amp;sourceID=14","0.00367")</f>
        <v>0.00367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HYPERLINK("http://141.218.60.56/~jnz1568/getInfo.php?workbook=18_08.xlsx&amp;sheet=U0&amp;row=7473&amp;col=6&amp;number=3.9&amp;sourceID=14","3.9")</f>
        <v>3.9</v>
      </c>
      <c r="G7473" s="4" t="str">
        <f>HYPERLINK("http://141.218.60.56/~jnz1568/getInfo.php?workbook=18_08.xlsx&amp;sheet=U0&amp;row=7473&amp;col=7&amp;number=0.00367&amp;sourceID=14","0.00367")</f>
        <v>0.00367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HYPERLINK("http://141.218.60.56/~jnz1568/getInfo.php?workbook=18_08.xlsx&amp;sheet=U0&amp;row=7474&amp;col=6&amp;number=4&amp;sourceID=14","4")</f>
        <v>4</v>
      </c>
      <c r="G7474" s="4" t="str">
        <f>HYPERLINK("http://141.218.60.56/~jnz1568/getInfo.php?workbook=18_08.xlsx&amp;sheet=U0&amp;row=7474&amp;col=7&amp;number=0.00367&amp;sourceID=14","0.00367")</f>
        <v>0.00367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HYPERLINK("http://141.218.60.56/~jnz1568/getInfo.php?workbook=18_08.xlsx&amp;sheet=U0&amp;row=7475&amp;col=6&amp;number=4.1&amp;sourceID=14","4.1")</f>
        <v>4.1</v>
      </c>
      <c r="G7475" s="4" t="str">
        <f>HYPERLINK("http://141.218.60.56/~jnz1568/getInfo.php?workbook=18_08.xlsx&amp;sheet=U0&amp;row=7475&amp;col=7&amp;number=0.00367&amp;sourceID=14","0.00367")</f>
        <v>0.00367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HYPERLINK("http://141.218.60.56/~jnz1568/getInfo.php?workbook=18_08.xlsx&amp;sheet=U0&amp;row=7476&amp;col=6&amp;number=4.2&amp;sourceID=14","4.2")</f>
        <v>4.2</v>
      </c>
      <c r="G7476" s="4" t="str">
        <f>HYPERLINK("http://141.218.60.56/~jnz1568/getInfo.php?workbook=18_08.xlsx&amp;sheet=U0&amp;row=7476&amp;col=7&amp;number=0.00366&amp;sourceID=14","0.00366")</f>
        <v>0.00366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HYPERLINK("http://141.218.60.56/~jnz1568/getInfo.php?workbook=18_08.xlsx&amp;sheet=U0&amp;row=7477&amp;col=6&amp;number=4.3&amp;sourceID=14","4.3")</f>
        <v>4.3</v>
      </c>
      <c r="G7477" s="4" t="str">
        <f>HYPERLINK("http://141.218.60.56/~jnz1568/getInfo.php?workbook=18_08.xlsx&amp;sheet=U0&amp;row=7477&amp;col=7&amp;number=0.00366&amp;sourceID=14","0.00366")</f>
        <v>0.00366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HYPERLINK("http://141.218.60.56/~jnz1568/getInfo.php?workbook=18_08.xlsx&amp;sheet=U0&amp;row=7478&amp;col=6&amp;number=4.4&amp;sourceID=14","4.4")</f>
        <v>4.4</v>
      </c>
      <c r="G7478" s="4" t="str">
        <f>HYPERLINK("http://141.218.60.56/~jnz1568/getInfo.php?workbook=18_08.xlsx&amp;sheet=U0&amp;row=7478&amp;col=7&amp;number=0.00366&amp;sourceID=14","0.00366")</f>
        <v>0.00366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HYPERLINK("http://141.218.60.56/~jnz1568/getInfo.php?workbook=18_08.xlsx&amp;sheet=U0&amp;row=7479&amp;col=6&amp;number=4.5&amp;sourceID=14","4.5")</f>
        <v>4.5</v>
      </c>
      <c r="G7479" s="4" t="str">
        <f>HYPERLINK("http://141.218.60.56/~jnz1568/getInfo.php?workbook=18_08.xlsx&amp;sheet=U0&amp;row=7479&amp;col=7&amp;number=0.00365&amp;sourceID=14","0.00365")</f>
        <v>0.00365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HYPERLINK("http://141.218.60.56/~jnz1568/getInfo.php?workbook=18_08.xlsx&amp;sheet=U0&amp;row=7480&amp;col=6&amp;number=4.6&amp;sourceID=14","4.6")</f>
        <v>4.6</v>
      </c>
      <c r="G7480" s="4" t="str">
        <f>HYPERLINK("http://141.218.60.56/~jnz1568/getInfo.php?workbook=18_08.xlsx&amp;sheet=U0&amp;row=7480&amp;col=7&amp;number=0.00364&amp;sourceID=14","0.00364")</f>
        <v>0.00364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HYPERLINK("http://141.218.60.56/~jnz1568/getInfo.php?workbook=18_08.xlsx&amp;sheet=U0&amp;row=7481&amp;col=6&amp;number=4.7&amp;sourceID=14","4.7")</f>
        <v>4.7</v>
      </c>
      <c r="G7481" s="4" t="str">
        <f>HYPERLINK("http://141.218.60.56/~jnz1568/getInfo.php?workbook=18_08.xlsx&amp;sheet=U0&amp;row=7481&amp;col=7&amp;number=0.00364&amp;sourceID=14","0.00364")</f>
        <v>0.00364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HYPERLINK("http://141.218.60.56/~jnz1568/getInfo.php?workbook=18_08.xlsx&amp;sheet=U0&amp;row=7482&amp;col=6&amp;number=4.8&amp;sourceID=14","4.8")</f>
        <v>4.8</v>
      </c>
      <c r="G7482" s="4" t="str">
        <f>HYPERLINK("http://141.218.60.56/~jnz1568/getInfo.php?workbook=18_08.xlsx&amp;sheet=U0&amp;row=7482&amp;col=7&amp;number=0.00362&amp;sourceID=14","0.00362")</f>
        <v>0.00362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HYPERLINK("http://141.218.60.56/~jnz1568/getInfo.php?workbook=18_08.xlsx&amp;sheet=U0&amp;row=7483&amp;col=6&amp;number=4.9&amp;sourceID=14","4.9")</f>
        <v>4.9</v>
      </c>
      <c r="G7483" s="4" t="str">
        <f>HYPERLINK("http://141.218.60.56/~jnz1568/getInfo.php?workbook=18_08.xlsx&amp;sheet=U0&amp;row=7483&amp;col=7&amp;number=0.00361&amp;sourceID=14","0.00361")</f>
        <v>0.00361</v>
      </c>
    </row>
    <row r="7484" spans="1:7">
      <c r="A7484" s="3">
        <v>18</v>
      </c>
      <c r="B7484" s="3">
        <v>8</v>
      </c>
      <c r="C7484" s="3" t="s">
        <v>81</v>
      </c>
      <c r="D7484" s="3">
        <v>6</v>
      </c>
      <c r="E7484" s="3">
        <v>1</v>
      </c>
      <c r="F7484" s="4" t="str">
        <f>HYPERLINK("http://141.218.60.56/~jnz1568/getInfo.php?workbook=18_08.xlsx&amp;sheet=U0&amp;row=7484&amp;col=6&amp;number=3&amp;sourceID=14","3")</f>
        <v>3</v>
      </c>
      <c r="G7484" s="4" t="str">
        <f>HYPERLINK("http://141.218.60.56/~jnz1568/getInfo.php?workbook=18_08.xlsx&amp;sheet=U0&amp;row=7484&amp;col=7&amp;number=0.0037&amp;sourceID=14","0.0037")</f>
        <v>0.0037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HYPERLINK("http://141.218.60.56/~jnz1568/getInfo.php?workbook=18_08.xlsx&amp;sheet=U0&amp;row=7485&amp;col=6&amp;number=3.1&amp;sourceID=14","3.1")</f>
        <v>3.1</v>
      </c>
      <c r="G7485" s="4" t="str">
        <f>HYPERLINK("http://141.218.60.56/~jnz1568/getInfo.php?workbook=18_08.xlsx&amp;sheet=U0&amp;row=7485&amp;col=7&amp;number=0.0037&amp;sourceID=14","0.0037")</f>
        <v>0.0037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HYPERLINK("http://141.218.60.56/~jnz1568/getInfo.php?workbook=18_08.xlsx&amp;sheet=U0&amp;row=7486&amp;col=6&amp;number=3.2&amp;sourceID=14","3.2")</f>
        <v>3.2</v>
      </c>
      <c r="G7486" s="4" t="str">
        <f>HYPERLINK("http://141.218.60.56/~jnz1568/getInfo.php?workbook=18_08.xlsx&amp;sheet=U0&amp;row=7486&amp;col=7&amp;number=0.0037&amp;sourceID=14","0.0037")</f>
        <v>0.0037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HYPERLINK("http://141.218.60.56/~jnz1568/getInfo.php?workbook=18_08.xlsx&amp;sheet=U0&amp;row=7487&amp;col=6&amp;number=3.3&amp;sourceID=14","3.3")</f>
        <v>3.3</v>
      </c>
      <c r="G7487" s="4" t="str">
        <f>HYPERLINK("http://141.218.60.56/~jnz1568/getInfo.php?workbook=18_08.xlsx&amp;sheet=U0&amp;row=7487&amp;col=7&amp;number=0.0037&amp;sourceID=14","0.0037")</f>
        <v>0.0037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HYPERLINK("http://141.218.60.56/~jnz1568/getInfo.php?workbook=18_08.xlsx&amp;sheet=U0&amp;row=7488&amp;col=6&amp;number=3.4&amp;sourceID=14","3.4")</f>
        <v>3.4</v>
      </c>
      <c r="G7488" s="4" t="str">
        <f>HYPERLINK("http://141.218.60.56/~jnz1568/getInfo.php?workbook=18_08.xlsx&amp;sheet=U0&amp;row=7488&amp;col=7&amp;number=0.0037&amp;sourceID=14","0.0037")</f>
        <v>0.0037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HYPERLINK("http://141.218.60.56/~jnz1568/getInfo.php?workbook=18_08.xlsx&amp;sheet=U0&amp;row=7489&amp;col=6&amp;number=3.5&amp;sourceID=14","3.5")</f>
        <v>3.5</v>
      </c>
      <c r="G7489" s="4" t="str">
        <f>HYPERLINK("http://141.218.60.56/~jnz1568/getInfo.php?workbook=18_08.xlsx&amp;sheet=U0&amp;row=7489&amp;col=7&amp;number=0.0037&amp;sourceID=14","0.0037")</f>
        <v>0.0037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HYPERLINK("http://141.218.60.56/~jnz1568/getInfo.php?workbook=18_08.xlsx&amp;sheet=U0&amp;row=7490&amp;col=6&amp;number=3.6&amp;sourceID=14","3.6")</f>
        <v>3.6</v>
      </c>
      <c r="G7490" s="4" t="str">
        <f>HYPERLINK("http://141.218.60.56/~jnz1568/getInfo.php?workbook=18_08.xlsx&amp;sheet=U0&amp;row=7490&amp;col=7&amp;number=0.0037&amp;sourceID=14","0.0037")</f>
        <v>0.0037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HYPERLINK("http://141.218.60.56/~jnz1568/getInfo.php?workbook=18_08.xlsx&amp;sheet=U0&amp;row=7491&amp;col=6&amp;number=3.7&amp;sourceID=14","3.7")</f>
        <v>3.7</v>
      </c>
      <c r="G7491" s="4" t="str">
        <f>HYPERLINK("http://141.218.60.56/~jnz1568/getInfo.php?workbook=18_08.xlsx&amp;sheet=U0&amp;row=7491&amp;col=7&amp;number=0.0037&amp;sourceID=14","0.0037")</f>
        <v>0.0037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HYPERLINK("http://141.218.60.56/~jnz1568/getInfo.php?workbook=18_08.xlsx&amp;sheet=U0&amp;row=7492&amp;col=6&amp;number=3.8&amp;sourceID=14","3.8")</f>
        <v>3.8</v>
      </c>
      <c r="G7492" s="4" t="str">
        <f>HYPERLINK("http://141.218.60.56/~jnz1568/getInfo.php?workbook=18_08.xlsx&amp;sheet=U0&amp;row=7492&amp;col=7&amp;number=0.0037&amp;sourceID=14","0.0037")</f>
        <v>0.0037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HYPERLINK("http://141.218.60.56/~jnz1568/getInfo.php?workbook=18_08.xlsx&amp;sheet=U0&amp;row=7493&amp;col=6&amp;number=3.9&amp;sourceID=14","3.9")</f>
        <v>3.9</v>
      </c>
      <c r="G7493" s="4" t="str">
        <f>HYPERLINK("http://141.218.60.56/~jnz1568/getInfo.php?workbook=18_08.xlsx&amp;sheet=U0&amp;row=7493&amp;col=7&amp;number=0.0037&amp;sourceID=14","0.0037")</f>
        <v>0.0037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HYPERLINK("http://141.218.60.56/~jnz1568/getInfo.php?workbook=18_08.xlsx&amp;sheet=U0&amp;row=7494&amp;col=6&amp;number=4&amp;sourceID=14","4")</f>
        <v>4</v>
      </c>
      <c r="G7494" s="4" t="str">
        <f>HYPERLINK("http://141.218.60.56/~jnz1568/getInfo.php?workbook=18_08.xlsx&amp;sheet=U0&amp;row=7494&amp;col=7&amp;number=0.0037&amp;sourceID=14","0.0037")</f>
        <v>0.0037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HYPERLINK("http://141.218.60.56/~jnz1568/getInfo.php?workbook=18_08.xlsx&amp;sheet=U0&amp;row=7495&amp;col=6&amp;number=4.1&amp;sourceID=14","4.1")</f>
        <v>4.1</v>
      </c>
      <c r="G7495" s="4" t="str">
        <f>HYPERLINK("http://141.218.60.56/~jnz1568/getInfo.php?workbook=18_08.xlsx&amp;sheet=U0&amp;row=7495&amp;col=7&amp;number=0.0037&amp;sourceID=14","0.0037")</f>
        <v>0.0037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HYPERLINK("http://141.218.60.56/~jnz1568/getInfo.php?workbook=18_08.xlsx&amp;sheet=U0&amp;row=7496&amp;col=6&amp;number=4.2&amp;sourceID=14","4.2")</f>
        <v>4.2</v>
      </c>
      <c r="G7496" s="4" t="str">
        <f>HYPERLINK("http://141.218.60.56/~jnz1568/getInfo.php?workbook=18_08.xlsx&amp;sheet=U0&amp;row=7496&amp;col=7&amp;number=0.0037&amp;sourceID=14","0.0037")</f>
        <v>0.0037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HYPERLINK("http://141.218.60.56/~jnz1568/getInfo.php?workbook=18_08.xlsx&amp;sheet=U0&amp;row=7497&amp;col=6&amp;number=4.3&amp;sourceID=14","4.3")</f>
        <v>4.3</v>
      </c>
      <c r="G7497" s="4" t="str">
        <f>HYPERLINK("http://141.218.60.56/~jnz1568/getInfo.php?workbook=18_08.xlsx&amp;sheet=U0&amp;row=7497&amp;col=7&amp;number=0.00369&amp;sourceID=14","0.00369")</f>
        <v>0.00369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HYPERLINK("http://141.218.60.56/~jnz1568/getInfo.php?workbook=18_08.xlsx&amp;sheet=U0&amp;row=7498&amp;col=6&amp;number=4.4&amp;sourceID=14","4.4")</f>
        <v>4.4</v>
      </c>
      <c r="G7498" s="4" t="str">
        <f>HYPERLINK("http://141.218.60.56/~jnz1568/getInfo.php?workbook=18_08.xlsx&amp;sheet=U0&amp;row=7498&amp;col=7&amp;number=0.00369&amp;sourceID=14","0.00369")</f>
        <v>0.00369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HYPERLINK("http://141.218.60.56/~jnz1568/getInfo.php?workbook=18_08.xlsx&amp;sheet=U0&amp;row=7499&amp;col=6&amp;number=4.5&amp;sourceID=14","4.5")</f>
        <v>4.5</v>
      </c>
      <c r="G7499" s="4" t="str">
        <f>HYPERLINK("http://141.218.60.56/~jnz1568/getInfo.php?workbook=18_08.xlsx&amp;sheet=U0&amp;row=7499&amp;col=7&amp;number=0.00369&amp;sourceID=14","0.00369")</f>
        <v>0.00369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HYPERLINK("http://141.218.60.56/~jnz1568/getInfo.php?workbook=18_08.xlsx&amp;sheet=U0&amp;row=7500&amp;col=6&amp;number=4.6&amp;sourceID=14","4.6")</f>
        <v>4.6</v>
      </c>
      <c r="G7500" s="4" t="str">
        <f>HYPERLINK("http://141.218.60.56/~jnz1568/getInfo.php?workbook=18_08.xlsx&amp;sheet=U0&amp;row=7500&amp;col=7&amp;number=0.00368&amp;sourceID=14","0.00368")</f>
        <v>0.00368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HYPERLINK("http://141.218.60.56/~jnz1568/getInfo.php?workbook=18_08.xlsx&amp;sheet=U0&amp;row=7501&amp;col=6&amp;number=4.7&amp;sourceID=14","4.7")</f>
        <v>4.7</v>
      </c>
      <c r="G7501" s="4" t="str">
        <f>HYPERLINK("http://141.218.60.56/~jnz1568/getInfo.php?workbook=18_08.xlsx&amp;sheet=U0&amp;row=7501&amp;col=7&amp;number=0.00368&amp;sourceID=14","0.00368")</f>
        <v>0.00368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HYPERLINK("http://141.218.60.56/~jnz1568/getInfo.php?workbook=18_08.xlsx&amp;sheet=U0&amp;row=7502&amp;col=6&amp;number=4.8&amp;sourceID=14","4.8")</f>
        <v>4.8</v>
      </c>
      <c r="G7502" s="4" t="str">
        <f>HYPERLINK("http://141.218.60.56/~jnz1568/getInfo.php?workbook=18_08.xlsx&amp;sheet=U0&amp;row=7502&amp;col=7&amp;number=0.00367&amp;sourceID=14","0.00367")</f>
        <v>0.00367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HYPERLINK("http://141.218.60.56/~jnz1568/getInfo.php?workbook=18_08.xlsx&amp;sheet=U0&amp;row=7503&amp;col=6&amp;number=4.9&amp;sourceID=14","4.9")</f>
        <v>4.9</v>
      </c>
      <c r="G7503" s="4" t="str">
        <f>HYPERLINK("http://141.218.60.56/~jnz1568/getInfo.php?workbook=18_08.xlsx&amp;sheet=U0&amp;row=7503&amp;col=7&amp;number=0.00367&amp;sourceID=14","0.00367")</f>
        <v>0.00367</v>
      </c>
    </row>
    <row r="7504" spans="1:7">
      <c r="A7504" s="3">
        <v>18</v>
      </c>
      <c r="B7504" s="3">
        <v>8</v>
      </c>
      <c r="C7504" s="3" t="s">
        <v>81</v>
      </c>
      <c r="D7504" s="3">
        <v>7</v>
      </c>
      <c r="E7504" s="3">
        <v>1</v>
      </c>
      <c r="F7504" s="4" t="str">
        <f>HYPERLINK("http://141.218.60.56/~jnz1568/getInfo.php?workbook=18_08.xlsx&amp;sheet=U0&amp;row=7504&amp;col=6&amp;number=3&amp;sourceID=14","3")</f>
        <v>3</v>
      </c>
      <c r="G7504" s="4" t="str">
        <f>HYPERLINK("http://141.218.60.56/~jnz1568/getInfo.php?workbook=18_08.xlsx&amp;sheet=U0&amp;row=7504&amp;col=7&amp;number=0.00988&amp;sourceID=14","0.00988")</f>
        <v>0.00988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HYPERLINK("http://141.218.60.56/~jnz1568/getInfo.php?workbook=18_08.xlsx&amp;sheet=U0&amp;row=7505&amp;col=6&amp;number=3.1&amp;sourceID=14","3.1")</f>
        <v>3.1</v>
      </c>
      <c r="G7505" s="4" t="str">
        <f>HYPERLINK("http://141.218.60.56/~jnz1568/getInfo.php?workbook=18_08.xlsx&amp;sheet=U0&amp;row=7505&amp;col=7&amp;number=0.00988&amp;sourceID=14","0.00988")</f>
        <v>0.00988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HYPERLINK("http://141.218.60.56/~jnz1568/getInfo.php?workbook=18_08.xlsx&amp;sheet=U0&amp;row=7506&amp;col=6&amp;number=3.2&amp;sourceID=14","3.2")</f>
        <v>3.2</v>
      </c>
      <c r="G7506" s="4" t="str">
        <f>HYPERLINK("http://141.218.60.56/~jnz1568/getInfo.php?workbook=18_08.xlsx&amp;sheet=U0&amp;row=7506&amp;col=7&amp;number=0.00987&amp;sourceID=14","0.00987")</f>
        <v>0.00987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HYPERLINK("http://141.218.60.56/~jnz1568/getInfo.php?workbook=18_08.xlsx&amp;sheet=U0&amp;row=7507&amp;col=6&amp;number=3.3&amp;sourceID=14","3.3")</f>
        <v>3.3</v>
      </c>
      <c r="G7507" s="4" t="str">
        <f>HYPERLINK("http://141.218.60.56/~jnz1568/getInfo.php?workbook=18_08.xlsx&amp;sheet=U0&amp;row=7507&amp;col=7&amp;number=0.00987&amp;sourceID=14","0.00987")</f>
        <v>0.00987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HYPERLINK("http://141.218.60.56/~jnz1568/getInfo.php?workbook=18_08.xlsx&amp;sheet=U0&amp;row=7508&amp;col=6&amp;number=3.4&amp;sourceID=14","3.4")</f>
        <v>3.4</v>
      </c>
      <c r="G7508" s="4" t="str">
        <f>HYPERLINK("http://141.218.60.56/~jnz1568/getInfo.php?workbook=18_08.xlsx&amp;sheet=U0&amp;row=7508&amp;col=7&amp;number=0.00987&amp;sourceID=14","0.00987")</f>
        <v>0.00987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HYPERLINK("http://141.218.60.56/~jnz1568/getInfo.php?workbook=18_08.xlsx&amp;sheet=U0&amp;row=7509&amp;col=6&amp;number=3.5&amp;sourceID=14","3.5")</f>
        <v>3.5</v>
      </c>
      <c r="G7509" s="4" t="str">
        <f>HYPERLINK("http://141.218.60.56/~jnz1568/getInfo.php?workbook=18_08.xlsx&amp;sheet=U0&amp;row=7509&amp;col=7&amp;number=0.00987&amp;sourceID=14","0.00987")</f>
        <v>0.00987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HYPERLINK("http://141.218.60.56/~jnz1568/getInfo.php?workbook=18_08.xlsx&amp;sheet=U0&amp;row=7510&amp;col=6&amp;number=3.6&amp;sourceID=14","3.6")</f>
        <v>3.6</v>
      </c>
      <c r="G7510" s="4" t="str">
        <f>HYPERLINK("http://141.218.60.56/~jnz1568/getInfo.php?workbook=18_08.xlsx&amp;sheet=U0&amp;row=7510&amp;col=7&amp;number=0.00987&amp;sourceID=14","0.00987")</f>
        <v>0.00987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HYPERLINK("http://141.218.60.56/~jnz1568/getInfo.php?workbook=18_08.xlsx&amp;sheet=U0&amp;row=7511&amp;col=6&amp;number=3.7&amp;sourceID=14","3.7")</f>
        <v>3.7</v>
      </c>
      <c r="G7511" s="4" t="str">
        <f>HYPERLINK("http://141.218.60.56/~jnz1568/getInfo.php?workbook=18_08.xlsx&amp;sheet=U0&amp;row=7511&amp;col=7&amp;number=0.00987&amp;sourceID=14","0.00987")</f>
        <v>0.00987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HYPERLINK("http://141.218.60.56/~jnz1568/getInfo.php?workbook=18_08.xlsx&amp;sheet=U0&amp;row=7512&amp;col=6&amp;number=3.8&amp;sourceID=14","3.8")</f>
        <v>3.8</v>
      </c>
      <c r="G7512" s="4" t="str">
        <f>HYPERLINK("http://141.218.60.56/~jnz1568/getInfo.php?workbook=18_08.xlsx&amp;sheet=U0&amp;row=7512&amp;col=7&amp;number=0.00986&amp;sourceID=14","0.00986")</f>
        <v>0.00986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HYPERLINK("http://141.218.60.56/~jnz1568/getInfo.php?workbook=18_08.xlsx&amp;sheet=U0&amp;row=7513&amp;col=6&amp;number=3.9&amp;sourceID=14","3.9")</f>
        <v>3.9</v>
      </c>
      <c r="G7513" s="4" t="str">
        <f>HYPERLINK("http://141.218.60.56/~jnz1568/getInfo.php?workbook=18_08.xlsx&amp;sheet=U0&amp;row=7513&amp;col=7&amp;number=0.00986&amp;sourceID=14","0.00986")</f>
        <v>0.00986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HYPERLINK("http://141.218.60.56/~jnz1568/getInfo.php?workbook=18_08.xlsx&amp;sheet=U0&amp;row=7514&amp;col=6&amp;number=4&amp;sourceID=14","4")</f>
        <v>4</v>
      </c>
      <c r="G7514" s="4" t="str">
        <f>HYPERLINK("http://141.218.60.56/~jnz1568/getInfo.php?workbook=18_08.xlsx&amp;sheet=U0&amp;row=7514&amp;col=7&amp;number=0.00985&amp;sourceID=14","0.00985")</f>
        <v>0.00985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HYPERLINK("http://141.218.60.56/~jnz1568/getInfo.php?workbook=18_08.xlsx&amp;sheet=U0&amp;row=7515&amp;col=6&amp;number=4.1&amp;sourceID=14","4.1")</f>
        <v>4.1</v>
      </c>
      <c r="G7515" s="4" t="str">
        <f>HYPERLINK("http://141.218.60.56/~jnz1568/getInfo.php?workbook=18_08.xlsx&amp;sheet=U0&amp;row=7515&amp;col=7&amp;number=0.00985&amp;sourceID=14","0.00985")</f>
        <v>0.00985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HYPERLINK("http://141.218.60.56/~jnz1568/getInfo.php?workbook=18_08.xlsx&amp;sheet=U0&amp;row=7516&amp;col=6&amp;number=4.2&amp;sourceID=14","4.2")</f>
        <v>4.2</v>
      </c>
      <c r="G7516" s="4" t="str">
        <f>HYPERLINK("http://141.218.60.56/~jnz1568/getInfo.php?workbook=18_08.xlsx&amp;sheet=U0&amp;row=7516&amp;col=7&amp;number=0.00984&amp;sourceID=14","0.00984")</f>
        <v>0.00984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HYPERLINK("http://141.218.60.56/~jnz1568/getInfo.php?workbook=18_08.xlsx&amp;sheet=U0&amp;row=7517&amp;col=6&amp;number=4.3&amp;sourceID=14","4.3")</f>
        <v>4.3</v>
      </c>
      <c r="G7517" s="4" t="str">
        <f>HYPERLINK("http://141.218.60.56/~jnz1568/getInfo.php?workbook=18_08.xlsx&amp;sheet=U0&amp;row=7517&amp;col=7&amp;number=0.00983&amp;sourceID=14","0.00983")</f>
        <v>0.00983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HYPERLINK("http://141.218.60.56/~jnz1568/getInfo.php?workbook=18_08.xlsx&amp;sheet=U0&amp;row=7518&amp;col=6&amp;number=4.4&amp;sourceID=14","4.4")</f>
        <v>4.4</v>
      </c>
      <c r="G7518" s="4" t="str">
        <f>HYPERLINK("http://141.218.60.56/~jnz1568/getInfo.php?workbook=18_08.xlsx&amp;sheet=U0&amp;row=7518&amp;col=7&amp;number=0.00981&amp;sourceID=14","0.00981")</f>
        <v>0.00981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HYPERLINK("http://141.218.60.56/~jnz1568/getInfo.php?workbook=18_08.xlsx&amp;sheet=U0&amp;row=7519&amp;col=6&amp;number=4.5&amp;sourceID=14","4.5")</f>
        <v>4.5</v>
      </c>
      <c r="G7519" s="4" t="str">
        <f>HYPERLINK("http://141.218.60.56/~jnz1568/getInfo.php?workbook=18_08.xlsx&amp;sheet=U0&amp;row=7519&amp;col=7&amp;number=0.0098&amp;sourceID=14","0.0098")</f>
        <v>0.0098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HYPERLINK("http://141.218.60.56/~jnz1568/getInfo.php?workbook=18_08.xlsx&amp;sheet=U0&amp;row=7520&amp;col=6&amp;number=4.6&amp;sourceID=14","4.6")</f>
        <v>4.6</v>
      </c>
      <c r="G7520" s="4" t="str">
        <f>HYPERLINK("http://141.218.60.56/~jnz1568/getInfo.php?workbook=18_08.xlsx&amp;sheet=U0&amp;row=7520&amp;col=7&amp;number=0.00978&amp;sourceID=14","0.00978")</f>
        <v>0.00978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HYPERLINK("http://141.218.60.56/~jnz1568/getInfo.php?workbook=18_08.xlsx&amp;sheet=U0&amp;row=7521&amp;col=6&amp;number=4.7&amp;sourceID=14","4.7")</f>
        <v>4.7</v>
      </c>
      <c r="G7521" s="4" t="str">
        <f>HYPERLINK("http://141.218.60.56/~jnz1568/getInfo.php?workbook=18_08.xlsx&amp;sheet=U0&amp;row=7521&amp;col=7&amp;number=0.00975&amp;sourceID=14","0.00975")</f>
        <v>0.00975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HYPERLINK("http://141.218.60.56/~jnz1568/getInfo.php?workbook=18_08.xlsx&amp;sheet=U0&amp;row=7522&amp;col=6&amp;number=4.8&amp;sourceID=14","4.8")</f>
        <v>4.8</v>
      </c>
      <c r="G7522" s="4" t="str">
        <f>HYPERLINK("http://141.218.60.56/~jnz1568/getInfo.php?workbook=18_08.xlsx&amp;sheet=U0&amp;row=7522&amp;col=7&amp;number=0.00972&amp;sourceID=14","0.00972")</f>
        <v>0.00972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HYPERLINK("http://141.218.60.56/~jnz1568/getInfo.php?workbook=18_08.xlsx&amp;sheet=U0&amp;row=7523&amp;col=6&amp;number=4.9&amp;sourceID=14","4.9")</f>
        <v>4.9</v>
      </c>
      <c r="G7523" s="4" t="str">
        <f>HYPERLINK("http://141.218.60.56/~jnz1568/getInfo.php?workbook=18_08.xlsx&amp;sheet=U0&amp;row=7523&amp;col=7&amp;number=0.00968&amp;sourceID=14","0.00968")</f>
        <v>0.00968</v>
      </c>
    </row>
    <row r="7524" spans="1:7">
      <c r="A7524" s="3">
        <v>18</v>
      </c>
      <c r="B7524" s="3">
        <v>8</v>
      </c>
      <c r="C7524" s="3" t="s">
        <v>81</v>
      </c>
      <c r="D7524" s="3">
        <v>8</v>
      </c>
      <c r="E7524" s="3">
        <v>1</v>
      </c>
      <c r="F7524" s="4" t="str">
        <f>HYPERLINK("http://141.218.60.56/~jnz1568/getInfo.php?workbook=18_08.xlsx&amp;sheet=U0&amp;row=7524&amp;col=6&amp;number=3&amp;sourceID=14","3")</f>
        <v>3</v>
      </c>
      <c r="G7524" s="4" t="str">
        <f>HYPERLINK("http://141.218.60.56/~jnz1568/getInfo.php?workbook=18_08.xlsx&amp;sheet=U0&amp;row=7524&amp;col=7&amp;number=0.00244&amp;sourceID=14","0.00244")</f>
        <v>0.00244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HYPERLINK("http://141.218.60.56/~jnz1568/getInfo.php?workbook=18_08.xlsx&amp;sheet=U0&amp;row=7525&amp;col=6&amp;number=3.1&amp;sourceID=14","3.1")</f>
        <v>3.1</v>
      </c>
      <c r="G7525" s="4" t="str">
        <f>HYPERLINK("http://141.218.60.56/~jnz1568/getInfo.php?workbook=18_08.xlsx&amp;sheet=U0&amp;row=7525&amp;col=7&amp;number=0.00244&amp;sourceID=14","0.00244")</f>
        <v>0.00244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HYPERLINK("http://141.218.60.56/~jnz1568/getInfo.php?workbook=18_08.xlsx&amp;sheet=U0&amp;row=7526&amp;col=6&amp;number=3.2&amp;sourceID=14","3.2")</f>
        <v>3.2</v>
      </c>
      <c r="G7526" s="4" t="str">
        <f>HYPERLINK("http://141.218.60.56/~jnz1568/getInfo.php?workbook=18_08.xlsx&amp;sheet=U0&amp;row=7526&amp;col=7&amp;number=0.00244&amp;sourceID=14","0.00244")</f>
        <v>0.00244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HYPERLINK("http://141.218.60.56/~jnz1568/getInfo.php?workbook=18_08.xlsx&amp;sheet=U0&amp;row=7527&amp;col=6&amp;number=3.3&amp;sourceID=14","3.3")</f>
        <v>3.3</v>
      </c>
      <c r="G7527" s="4" t="str">
        <f>HYPERLINK("http://141.218.60.56/~jnz1568/getInfo.php?workbook=18_08.xlsx&amp;sheet=U0&amp;row=7527&amp;col=7&amp;number=0.00244&amp;sourceID=14","0.00244")</f>
        <v>0.00244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HYPERLINK("http://141.218.60.56/~jnz1568/getInfo.php?workbook=18_08.xlsx&amp;sheet=U0&amp;row=7528&amp;col=6&amp;number=3.4&amp;sourceID=14","3.4")</f>
        <v>3.4</v>
      </c>
      <c r="G7528" s="4" t="str">
        <f>HYPERLINK("http://141.218.60.56/~jnz1568/getInfo.php?workbook=18_08.xlsx&amp;sheet=U0&amp;row=7528&amp;col=7&amp;number=0.00244&amp;sourceID=14","0.00244")</f>
        <v>0.00244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HYPERLINK("http://141.218.60.56/~jnz1568/getInfo.php?workbook=18_08.xlsx&amp;sheet=U0&amp;row=7529&amp;col=6&amp;number=3.5&amp;sourceID=14","3.5")</f>
        <v>3.5</v>
      </c>
      <c r="G7529" s="4" t="str">
        <f>HYPERLINK("http://141.218.60.56/~jnz1568/getInfo.php?workbook=18_08.xlsx&amp;sheet=U0&amp;row=7529&amp;col=7&amp;number=0.00244&amp;sourceID=14","0.00244")</f>
        <v>0.00244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HYPERLINK("http://141.218.60.56/~jnz1568/getInfo.php?workbook=18_08.xlsx&amp;sheet=U0&amp;row=7530&amp;col=6&amp;number=3.6&amp;sourceID=14","3.6")</f>
        <v>3.6</v>
      </c>
      <c r="G7530" s="4" t="str">
        <f>HYPERLINK("http://141.218.60.56/~jnz1568/getInfo.php?workbook=18_08.xlsx&amp;sheet=U0&amp;row=7530&amp;col=7&amp;number=0.00244&amp;sourceID=14","0.00244")</f>
        <v>0.00244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HYPERLINK("http://141.218.60.56/~jnz1568/getInfo.php?workbook=18_08.xlsx&amp;sheet=U0&amp;row=7531&amp;col=6&amp;number=3.7&amp;sourceID=14","3.7")</f>
        <v>3.7</v>
      </c>
      <c r="G7531" s="4" t="str">
        <f>HYPERLINK("http://141.218.60.56/~jnz1568/getInfo.php?workbook=18_08.xlsx&amp;sheet=U0&amp;row=7531&amp;col=7&amp;number=0.00244&amp;sourceID=14","0.00244")</f>
        <v>0.00244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HYPERLINK("http://141.218.60.56/~jnz1568/getInfo.php?workbook=18_08.xlsx&amp;sheet=U0&amp;row=7532&amp;col=6&amp;number=3.8&amp;sourceID=14","3.8")</f>
        <v>3.8</v>
      </c>
      <c r="G7532" s="4" t="str">
        <f>HYPERLINK("http://141.218.60.56/~jnz1568/getInfo.php?workbook=18_08.xlsx&amp;sheet=U0&amp;row=7532&amp;col=7&amp;number=0.00244&amp;sourceID=14","0.00244")</f>
        <v>0.00244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HYPERLINK("http://141.218.60.56/~jnz1568/getInfo.php?workbook=18_08.xlsx&amp;sheet=U0&amp;row=7533&amp;col=6&amp;number=3.9&amp;sourceID=14","3.9")</f>
        <v>3.9</v>
      </c>
      <c r="G7533" s="4" t="str">
        <f>HYPERLINK("http://141.218.60.56/~jnz1568/getInfo.php?workbook=18_08.xlsx&amp;sheet=U0&amp;row=7533&amp;col=7&amp;number=0.00244&amp;sourceID=14","0.00244")</f>
        <v>0.00244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HYPERLINK("http://141.218.60.56/~jnz1568/getInfo.php?workbook=18_08.xlsx&amp;sheet=U0&amp;row=7534&amp;col=6&amp;number=4&amp;sourceID=14","4")</f>
        <v>4</v>
      </c>
      <c r="G7534" s="4" t="str">
        <f>HYPERLINK("http://141.218.60.56/~jnz1568/getInfo.php?workbook=18_08.xlsx&amp;sheet=U0&amp;row=7534&amp;col=7&amp;number=0.00244&amp;sourceID=14","0.00244")</f>
        <v>0.00244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HYPERLINK("http://141.218.60.56/~jnz1568/getInfo.php?workbook=18_08.xlsx&amp;sheet=U0&amp;row=7535&amp;col=6&amp;number=4.1&amp;sourceID=14","4.1")</f>
        <v>4.1</v>
      </c>
      <c r="G7535" s="4" t="str">
        <f>HYPERLINK("http://141.218.60.56/~jnz1568/getInfo.php?workbook=18_08.xlsx&amp;sheet=U0&amp;row=7535&amp;col=7&amp;number=0.00244&amp;sourceID=14","0.00244")</f>
        <v>0.00244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HYPERLINK("http://141.218.60.56/~jnz1568/getInfo.php?workbook=18_08.xlsx&amp;sheet=U0&amp;row=7536&amp;col=6&amp;number=4.2&amp;sourceID=14","4.2")</f>
        <v>4.2</v>
      </c>
      <c r="G7536" s="4" t="str">
        <f>HYPERLINK("http://141.218.60.56/~jnz1568/getInfo.php?workbook=18_08.xlsx&amp;sheet=U0&amp;row=7536&amp;col=7&amp;number=0.00244&amp;sourceID=14","0.00244")</f>
        <v>0.00244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HYPERLINK("http://141.218.60.56/~jnz1568/getInfo.php?workbook=18_08.xlsx&amp;sheet=U0&amp;row=7537&amp;col=6&amp;number=4.3&amp;sourceID=14","4.3")</f>
        <v>4.3</v>
      </c>
      <c r="G7537" s="4" t="str">
        <f>HYPERLINK("http://141.218.60.56/~jnz1568/getInfo.php?workbook=18_08.xlsx&amp;sheet=U0&amp;row=7537&amp;col=7&amp;number=0.00243&amp;sourceID=14","0.00243")</f>
        <v>0.00243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HYPERLINK("http://141.218.60.56/~jnz1568/getInfo.php?workbook=18_08.xlsx&amp;sheet=U0&amp;row=7538&amp;col=6&amp;number=4.4&amp;sourceID=14","4.4")</f>
        <v>4.4</v>
      </c>
      <c r="G7538" s="4" t="str">
        <f>HYPERLINK("http://141.218.60.56/~jnz1568/getInfo.php?workbook=18_08.xlsx&amp;sheet=U0&amp;row=7538&amp;col=7&amp;number=0.00243&amp;sourceID=14","0.00243")</f>
        <v>0.00243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HYPERLINK("http://141.218.60.56/~jnz1568/getInfo.php?workbook=18_08.xlsx&amp;sheet=U0&amp;row=7539&amp;col=6&amp;number=4.5&amp;sourceID=14","4.5")</f>
        <v>4.5</v>
      </c>
      <c r="G7539" s="4" t="str">
        <f>HYPERLINK("http://141.218.60.56/~jnz1568/getInfo.php?workbook=18_08.xlsx&amp;sheet=U0&amp;row=7539&amp;col=7&amp;number=0.00243&amp;sourceID=14","0.00243")</f>
        <v>0.00243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HYPERLINK("http://141.218.60.56/~jnz1568/getInfo.php?workbook=18_08.xlsx&amp;sheet=U0&amp;row=7540&amp;col=6&amp;number=4.6&amp;sourceID=14","4.6")</f>
        <v>4.6</v>
      </c>
      <c r="G7540" s="4" t="str">
        <f>HYPERLINK("http://141.218.60.56/~jnz1568/getInfo.php?workbook=18_08.xlsx&amp;sheet=U0&amp;row=7540&amp;col=7&amp;number=0.00243&amp;sourceID=14","0.00243")</f>
        <v>0.00243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HYPERLINK("http://141.218.60.56/~jnz1568/getInfo.php?workbook=18_08.xlsx&amp;sheet=U0&amp;row=7541&amp;col=6&amp;number=4.7&amp;sourceID=14","4.7")</f>
        <v>4.7</v>
      </c>
      <c r="G7541" s="4" t="str">
        <f>HYPERLINK("http://141.218.60.56/~jnz1568/getInfo.php?workbook=18_08.xlsx&amp;sheet=U0&amp;row=7541&amp;col=7&amp;number=0.00242&amp;sourceID=14","0.00242")</f>
        <v>0.00242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HYPERLINK("http://141.218.60.56/~jnz1568/getInfo.php?workbook=18_08.xlsx&amp;sheet=U0&amp;row=7542&amp;col=6&amp;number=4.8&amp;sourceID=14","4.8")</f>
        <v>4.8</v>
      </c>
      <c r="G7542" s="4" t="str">
        <f>HYPERLINK("http://141.218.60.56/~jnz1568/getInfo.php?workbook=18_08.xlsx&amp;sheet=U0&amp;row=7542&amp;col=7&amp;number=0.00242&amp;sourceID=14","0.00242")</f>
        <v>0.00242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HYPERLINK("http://141.218.60.56/~jnz1568/getInfo.php?workbook=18_08.xlsx&amp;sheet=U0&amp;row=7543&amp;col=6&amp;number=4.9&amp;sourceID=14","4.9")</f>
        <v>4.9</v>
      </c>
      <c r="G7543" s="4" t="str">
        <f>HYPERLINK("http://141.218.60.56/~jnz1568/getInfo.php?workbook=18_08.xlsx&amp;sheet=U0&amp;row=7543&amp;col=7&amp;number=0.00241&amp;sourceID=14","0.00241")</f>
        <v>0.00241</v>
      </c>
    </row>
    <row r="7544" spans="1:7">
      <c r="A7544" s="3">
        <v>18</v>
      </c>
      <c r="B7544" s="3">
        <v>8</v>
      </c>
      <c r="C7544" s="3" t="s">
        <v>81</v>
      </c>
      <c r="D7544" s="3">
        <v>9</v>
      </c>
      <c r="E7544" s="3">
        <v>1</v>
      </c>
      <c r="F7544" s="4" t="str">
        <f>HYPERLINK("http://141.218.60.56/~jnz1568/getInfo.php?workbook=18_08.xlsx&amp;sheet=U0&amp;row=7544&amp;col=6&amp;number=3&amp;sourceID=14","3")</f>
        <v>3</v>
      </c>
      <c r="G7544" s="4" t="str">
        <f>HYPERLINK("http://141.218.60.56/~jnz1568/getInfo.php?workbook=18_08.xlsx&amp;sheet=U0&amp;row=7544&amp;col=7&amp;number=0.00409&amp;sourceID=14","0.00409")</f>
        <v>0.00409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HYPERLINK("http://141.218.60.56/~jnz1568/getInfo.php?workbook=18_08.xlsx&amp;sheet=U0&amp;row=7545&amp;col=6&amp;number=3.1&amp;sourceID=14","3.1")</f>
        <v>3.1</v>
      </c>
      <c r="G7545" s="4" t="str">
        <f>HYPERLINK("http://141.218.60.56/~jnz1568/getInfo.php?workbook=18_08.xlsx&amp;sheet=U0&amp;row=7545&amp;col=7&amp;number=0.00409&amp;sourceID=14","0.00409")</f>
        <v>0.00409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HYPERLINK("http://141.218.60.56/~jnz1568/getInfo.php?workbook=18_08.xlsx&amp;sheet=U0&amp;row=7546&amp;col=6&amp;number=3.2&amp;sourceID=14","3.2")</f>
        <v>3.2</v>
      </c>
      <c r="G7546" s="4" t="str">
        <f>HYPERLINK("http://141.218.60.56/~jnz1568/getInfo.php?workbook=18_08.xlsx&amp;sheet=U0&amp;row=7546&amp;col=7&amp;number=0.00409&amp;sourceID=14","0.00409")</f>
        <v>0.00409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HYPERLINK("http://141.218.60.56/~jnz1568/getInfo.php?workbook=18_08.xlsx&amp;sheet=U0&amp;row=7547&amp;col=6&amp;number=3.3&amp;sourceID=14","3.3")</f>
        <v>3.3</v>
      </c>
      <c r="G7547" s="4" t="str">
        <f>HYPERLINK("http://141.218.60.56/~jnz1568/getInfo.php?workbook=18_08.xlsx&amp;sheet=U0&amp;row=7547&amp;col=7&amp;number=0.00409&amp;sourceID=14","0.00409")</f>
        <v>0.00409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HYPERLINK("http://141.218.60.56/~jnz1568/getInfo.php?workbook=18_08.xlsx&amp;sheet=U0&amp;row=7548&amp;col=6&amp;number=3.4&amp;sourceID=14","3.4")</f>
        <v>3.4</v>
      </c>
      <c r="G7548" s="4" t="str">
        <f>HYPERLINK("http://141.218.60.56/~jnz1568/getInfo.php?workbook=18_08.xlsx&amp;sheet=U0&amp;row=7548&amp;col=7&amp;number=0.00409&amp;sourceID=14","0.00409")</f>
        <v>0.00409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HYPERLINK("http://141.218.60.56/~jnz1568/getInfo.php?workbook=18_08.xlsx&amp;sheet=U0&amp;row=7549&amp;col=6&amp;number=3.5&amp;sourceID=14","3.5")</f>
        <v>3.5</v>
      </c>
      <c r="G7549" s="4" t="str">
        <f>HYPERLINK("http://141.218.60.56/~jnz1568/getInfo.php?workbook=18_08.xlsx&amp;sheet=U0&amp;row=7549&amp;col=7&amp;number=0.00409&amp;sourceID=14","0.00409")</f>
        <v>0.00409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HYPERLINK("http://141.218.60.56/~jnz1568/getInfo.php?workbook=18_08.xlsx&amp;sheet=U0&amp;row=7550&amp;col=6&amp;number=3.6&amp;sourceID=14","3.6")</f>
        <v>3.6</v>
      </c>
      <c r="G7550" s="4" t="str">
        <f>HYPERLINK("http://141.218.60.56/~jnz1568/getInfo.php?workbook=18_08.xlsx&amp;sheet=U0&amp;row=7550&amp;col=7&amp;number=0.00409&amp;sourceID=14","0.00409")</f>
        <v>0.00409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HYPERLINK("http://141.218.60.56/~jnz1568/getInfo.php?workbook=18_08.xlsx&amp;sheet=U0&amp;row=7551&amp;col=6&amp;number=3.7&amp;sourceID=14","3.7")</f>
        <v>3.7</v>
      </c>
      <c r="G7551" s="4" t="str">
        <f>HYPERLINK("http://141.218.60.56/~jnz1568/getInfo.php?workbook=18_08.xlsx&amp;sheet=U0&amp;row=7551&amp;col=7&amp;number=0.00409&amp;sourceID=14","0.00409")</f>
        <v>0.00409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HYPERLINK("http://141.218.60.56/~jnz1568/getInfo.php?workbook=18_08.xlsx&amp;sheet=U0&amp;row=7552&amp;col=6&amp;number=3.8&amp;sourceID=14","3.8")</f>
        <v>3.8</v>
      </c>
      <c r="G7552" s="4" t="str">
        <f>HYPERLINK("http://141.218.60.56/~jnz1568/getInfo.php?workbook=18_08.xlsx&amp;sheet=U0&amp;row=7552&amp;col=7&amp;number=0.00409&amp;sourceID=14","0.00409")</f>
        <v>0.00409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HYPERLINK("http://141.218.60.56/~jnz1568/getInfo.php?workbook=18_08.xlsx&amp;sheet=U0&amp;row=7553&amp;col=6&amp;number=3.9&amp;sourceID=14","3.9")</f>
        <v>3.9</v>
      </c>
      <c r="G7553" s="4" t="str">
        <f>HYPERLINK("http://141.218.60.56/~jnz1568/getInfo.php?workbook=18_08.xlsx&amp;sheet=U0&amp;row=7553&amp;col=7&amp;number=0.00409&amp;sourceID=14","0.00409")</f>
        <v>0.00409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HYPERLINK("http://141.218.60.56/~jnz1568/getInfo.php?workbook=18_08.xlsx&amp;sheet=U0&amp;row=7554&amp;col=6&amp;number=4&amp;sourceID=14","4")</f>
        <v>4</v>
      </c>
      <c r="G7554" s="4" t="str">
        <f>HYPERLINK("http://141.218.60.56/~jnz1568/getInfo.php?workbook=18_08.xlsx&amp;sheet=U0&amp;row=7554&amp;col=7&amp;number=0.00408&amp;sourceID=14","0.00408")</f>
        <v>0.00408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HYPERLINK("http://141.218.60.56/~jnz1568/getInfo.php?workbook=18_08.xlsx&amp;sheet=U0&amp;row=7555&amp;col=6&amp;number=4.1&amp;sourceID=14","4.1")</f>
        <v>4.1</v>
      </c>
      <c r="G7555" s="4" t="str">
        <f>HYPERLINK("http://141.218.60.56/~jnz1568/getInfo.php?workbook=18_08.xlsx&amp;sheet=U0&amp;row=7555&amp;col=7&amp;number=0.00408&amp;sourceID=14","0.00408")</f>
        <v>0.00408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HYPERLINK("http://141.218.60.56/~jnz1568/getInfo.php?workbook=18_08.xlsx&amp;sheet=U0&amp;row=7556&amp;col=6&amp;number=4.2&amp;sourceID=14","4.2")</f>
        <v>4.2</v>
      </c>
      <c r="G7556" s="4" t="str">
        <f>HYPERLINK("http://141.218.60.56/~jnz1568/getInfo.php?workbook=18_08.xlsx&amp;sheet=U0&amp;row=7556&amp;col=7&amp;number=0.00408&amp;sourceID=14","0.00408")</f>
        <v>0.00408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HYPERLINK("http://141.218.60.56/~jnz1568/getInfo.php?workbook=18_08.xlsx&amp;sheet=U0&amp;row=7557&amp;col=6&amp;number=4.3&amp;sourceID=14","4.3")</f>
        <v>4.3</v>
      </c>
      <c r="G7557" s="4" t="str">
        <f>HYPERLINK("http://141.218.60.56/~jnz1568/getInfo.php?workbook=18_08.xlsx&amp;sheet=U0&amp;row=7557&amp;col=7&amp;number=0.00408&amp;sourceID=14","0.00408")</f>
        <v>0.00408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HYPERLINK("http://141.218.60.56/~jnz1568/getInfo.php?workbook=18_08.xlsx&amp;sheet=U0&amp;row=7558&amp;col=6&amp;number=4.4&amp;sourceID=14","4.4")</f>
        <v>4.4</v>
      </c>
      <c r="G7558" s="4" t="str">
        <f>HYPERLINK("http://141.218.60.56/~jnz1568/getInfo.php?workbook=18_08.xlsx&amp;sheet=U0&amp;row=7558&amp;col=7&amp;number=0.00408&amp;sourceID=14","0.00408")</f>
        <v>0.00408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HYPERLINK("http://141.218.60.56/~jnz1568/getInfo.php?workbook=18_08.xlsx&amp;sheet=U0&amp;row=7559&amp;col=6&amp;number=4.5&amp;sourceID=14","4.5")</f>
        <v>4.5</v>
      </c>
      <c r="G7559" s="4" t="str">
        <f>HYPERLINK("http://141.218.60.56/~jnz1568/getInfo.php?workbook=18_08.xlsx&amp;sheet=U0&amp;row=7559&amp;col=7&amp;number=0.00407&amp;sourceID=14","0.00407")</f>
        <v>0.00407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HYPERLINK("http://141.218.60.56/~jnz1568/getInfo.php?workbook=18_08.xlsx&amp;sheet=U0&amp;row=7560&amp;col=6&amp;number=4.6&amp;sourceID=14","4.6")</f>
        <v>4.6</v>
      </c>
      <c r="G7560" s="4" t="str">
        <f>HYPERLINK("http://141.218.60.56/~jnz1568/getInfo.php?workbook=18_08.xlsx&amp;sheet=U0&amp;row=7560&amp;col=7&amp;number=0.00407&amp;sourceID=14","0.00407")</f>
        <v>0.00407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HYPERLINK("http://141.218.60.56/~jnz1568/getInfo.php?workbook=18_08.xlsx&amp;sheet=U0&amp;row=7561&amp;col=6&amp;number=4.7&amp;sourceID=14","4.7")</f>
        <v>4.7</v>
      </c>
      <c r="G7561" s="4" t="str">
        <f>HYPERLINK("http://141.218.60.56/~jnz1568/getInfo.php?workbook=18_08.xlsx&amp;sheet=U0&amp;row=7561&amp;col=7&amp;number=0.00406&amp;sourceID=14","0.00406")</f>
        <v>0.00406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HYPERLINK("http://141.218.60.56/~jnz1568/getInfo.php?workbook=18_08.xlsx&amp;sheet=U0&amp;row=7562&amp;col=6&amp;number=4.8&amp;sourceID=14","4.8")</f>
        <v>4.8</v>
      </c>
      <c r="G7562" s="4" t="str">
        <f>HYPERLINK("http://141.218.60.56/~jnz1568/getInfo.php?workbook=18_08.xlsx&amp;sheet=U0&amp;row=7562&amp;col=7&amp;number=0.00406&amp;sourceID=14","0.00406")</f>
        <v>0.00406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HYPERLINK("http://141.218.60.56/~jnz1568/getInfo.php?workbook=18_08.xlsx&amp;sheet=U0&amp;row=7563&amp;col=6&amp;number=4.9&amp;sourceID=14","4.9")</f>
        <v>4.9</v>
      </c>
      <c r="G7563" s="4" t="str">
        <f>HYPERLINK("http://141.218.60.56/~jnz1568/getInfo.php?workbook=18_08.xlsx&amp;sheet=U0&amp;row=7563&amp;col=7&amp;number=0.00405&amp;sourceID=14","0.00405")</f>
        <v>0.00405</v>
      </c>
    </row>
    <row r="7564" spans="1:7">
      <c r="A7564" s="3">
        <v>18</v>
      </c>
      <c r="B7564" s="3">
        <v>8</v>
      </c>
      <c r="C7564" s="3" t="s">
        <v>82</v>
      </c>
      <c r="D7564" s="3">
        <v>0</v>
      </c>
      <c r="E7564" s="3">
        <v>1</v>
      </c>
      <c r="F7564" s="4" t="str">
        <f>HYPERLINK("http://141.218.60.56/~jnz1568/getInfo.php?workbook=18_08.xlsx&amp;sheet=U0&amp;row=7564&amp;col=6&amp;number=3&amp;sourceID=14","3")</f>
        <v>3</v>
      </c>
      <c r="G7564" s="4" t="str">
        <f>HYPERLINK("http://141.218.60.56/~jnz1568/getInfo.php?workbook=18_08.xlsx&amp;sheet=U0&amp;row=7564&amp;col=7&amp;number=0.00214&amp;sourceID=14","0.00214")</f>
        <v>0.00214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HYPERLINK("http://141.218.60.56/~jnz1568/getInfo.php?workbook=18_08.xlsx&amp;sheet=U0&amp;row=7565&amp;col=6&amp;number=3.1&amp;sourceID=14","3.1")</f>
        <v>3.1</v>
      </c>
      <c r="G7565" s="4" t="str">
        <f>HYPERLINK("http://141.218.60.56/~jnz1568/getInfo.php?workbook=18_08.xlsx&amp;sheet=U0&amp;row=7565&amp;col=7&amp;number=0.00214&amp;sourceID=14","0.00214")</f>
        <v>0.00214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HYPERLINK("http://141.218.60.56/~jnz1568/getInfo.php?workbook=18_08.xlsx&amp;sheet=U0&amp;row=7566&amp;col=6&amp;number=3.2&amp;sourceID=14","3.2")</f>
        <v>3.2</v>
      </c>
      <c r="G7566" s="4" t="str">
        <f>HYPERLINK("http://141.218.60.56/~jnz1568/getInfo.php?workbook=18_08.xlsx&amp;sheet=U0&amp;row=7566&amp;col=7&amp;number=0.00214&amp;sourceID=14","0.00214")</f>
        <v>0.00214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HYPERLINK("http://141.218.60.56/~jnz1568/getInfo.php?workbook=18_08.xlsx&amp;sheet=U0&amp;row=7567&amp;col=6&amp;number=3.3&amp;sourceID=14","3.3")</f>
        <v>3.3</v>
      </c>
      <c r="G7567" s="4" t="str">
        <f>HYPERLINK("http://141.218.60.56/~jnz1568/getInfo.php?workbook=18_08.xlsx&amp;sheet=U0&amp;row=7567&amp;col=7&amp;number=0.00214&amp;sourceID=14","0.00214")</f>
        <v>0.00214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HYPERLINK("http://141.218.60.56/~jnz1568/getInfo.php?workbook=18_08.xlsx&amp;sheet=U0&amp;row=7568&amp;col=6&amp;number=3.4&amp;sourceID=14","3.4")</f>
        <v>3.4</v>
      </c>
      <c r="G7568" s="4" t="str">
        <f>HYPERLINK("http://141.218.60.56/~jnz1568/getInfo.php?workbook=18_08.xlsx&amp;sheet=U0&amp;row=7568&amp;col=7&amp;number=0.00214&amp;sourceID=14","0.00214")</f>
        <v>0.00214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HYPERLINK("http://141.218.60.56/~jnz1568/getInfo.php?workbook=18_08.xlsx&amp;sheet=U0&amp;row=7569&amp;col=6&amp;number=3.5&amp;sourceID=14","3.5")</f>
        <v>3.5</v>
      </c>
      <c r="G7569" s="4" t="str">
        <f>HYPERLINK("http://141.218.60.56/~jnz1568/getInfo.php?workbook=18_08.xlsx&amp;sheet=U0&amp;row=7569&amp;col=7&amp;number=0.00214&amp;sourceID=14","0.00214")</f>
        <v>0.00214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HYPERLINK("http://141.218.60.56/~jnz1568/getInfo.php?workbook=18_08.xlsx&amp;sheet=U0&amp;row=7570&amp;col=6&amp;number=3.6&amp;sourceID=14","3.6")</f>
        <v>3.6</v>
      </c>
      <c r="G7570" s="4" t="str">
        <f>HYPERLINK("http://141.218.60.56/~jnz1568/getInfo.php?workbook=18_08.xlsx&amp;sheet=U0&amp;row=7570&amp;col=7&amp;number=0.00214&amp;sourceID=14","0.00214")</f>
        <v>0.00214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HYPERLINK("http://141.218.60.56/~jnz1568/getInfo.php?workbook=18_08.xlsx&amp;sheet=U0&amp;row=7571&amp;col=6&amp;number=3.7&amp;sourceID=14","3.7")</f>
        <v>3.7</v>
      </c>
      <c r="G7571" s="4" t="str">
        <f>HYPERLINK("http://141.218.60.56/~jnz1568/getInfo.php?workbook=18_08.xlsx&amp;sheet=U0&amp;row=7571&amp;col=7&amp;number=0.00214&amp;sourceID=14","0.00214")</f>
        <v>0.00214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HYPERLINK("http://141.218.60.56/~jnz1568/getInfo.php?workbook=18_08.xlsx&amp;sheet=U0&amp;row=7572&amp;col=6&amp;number=3.8&amp;sourceID=14","3.8")</f>
        <v>3.8</v>
      </c>
      <c r="G7572" s="4" t="str">
        <f>HYPERLINK("http://141.218.60.56/~jnz1568/getInfo.php?workbook=18_08.xlsx&amp;sheet=U0&amp;row=7572&amp;col=7&amp;number=0.00214&amp;sourceID=14","0.00214")</f>
        <v>0.00214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HYPERLINK("http://141.218.60.56/~jnz1568/getInfo.php?workbook=18_08.xlsx&amp;sheet=U0&amp;row=7573&amp;col=6&amp;number=3.9&amp;sourceID=14","3.9")</f>
        <v>3.9</v>
      </c>
      <c r="G7573" s="4" t="str">
        <f>HYPERLINK("http://141.218.60.56/~jnz1568/getInfo.php?workbook=18_08.xlsx&amp;sheet=U0&amp;row=7573&amp;col=7&amp;number=0.00214&amp;sourceID=14","0.00214")</f>
        <v>0.00214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HYPERLINK("http://141.218.60.56/~jnz1568/getInfo.php?workbook=18_08.xlsx&amp;sheet=U0&amp;row=7574&amp;col=6&amp;number=4&amp;sourceID=14","4")</f>
        <v>4</v>
      </c>
      <c r="G7574" s="4" t="str">
        <f>HYPERLINK("http://141.218.60.56/~jnz1568/getInfo.php?workbook=18_08.xlsx&amp;sheet=U0&amp;row=7574&amp;col=7&amp;number=0.00213&amp;sourceID=14","0.00213")</f>
        <v>0.00213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HYPERLINK("http://141.218.60.56/~jnz1568/getInfo.php?workbook=18_08.xlsx&amp;sheet=U0&amp;row=7575&amp;col=6&amp;number=4.1&amp;sourceID=14","4.1")</f>
        <v>4.1</v>
      </c>
      <c r="G7575" s="4" t="str">
        <f>HYPERLINK("http://141.218.60.56/~jnz1568/getInfo.php?workbook=18_08.xlsx&amp;sheet=U0&amp;row=7575&amp;col=7&amp;number=0.00213&amp;sourceID=14","0.00213")</f>
        <v>0.00213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HYPERLINK("http://141.218.60.56/~jnz1568/getInfo.php?workbook=18_08.xlsx&amp;sheet=U0&amp;row=7576&amp;col=6&amp;number=4.2&amp;sourceID=14","4.2")</f>
        <v>4.2</v>
      </c>
      <c r="G7576" s="4" t="str">
        <f>HYPERLINK("http://141.218.60.56/~jnz1568/getInfo.php?workbook=18_08.xlsx&amp;sheet=U0&amp;row=7576&amp;col=7&amp;number=0.00213&amp;sourceID=14","0.00213")</f>
        <v>0.00213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HYPERLINK("http://141.218.60.56/~jnz1568/getInfo.php?workbook=18_08.xlsx&amp;sheet=U0&amp;row=7577&amp;col=6&amp;number=4.3&amp;sourceID=14","4.3")</f>
        <v>4.3</v>
      </c>
      <c r="G7577" s="4" t="str">
        <f>HYPERLINK("http://141.218.60.56/~jnz1568/getInfo.php?workbook=18_08.xlsx&amp;sheet=U0&amp;row=7577&amp;col=7&amp;number=0.00213&amp;sourceID=14","0.00213")</f>
        <v>0.00213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HYPERLINK("http://141.218.60.56/~jnz1568/getInfo.php?workbook=18_08.xlsx&amp;sheet=U0&amp;row=7578&amp;col=6&amp;number=4.4&amp;sourceID=14","4.4")</f>
        <v>4.4</v>
      </c>
      <c r="G7578" s="4" t="str">
        <f>HYPERLINK("http://141.218.60.56/~jnz1568/getInfo.php?workbook=18_08.xlsx&amp;sheet=U0&amp;row=7578&amp;col=7&amp;number=0.00213&amp;sourceID=14","0.00213")</f>
        <v>0.00213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HYPERLINK("http://141.218.60.56/~jnz1568/getInfo.php?workbook=18_08.xlsx&amp;sheet=U0&amp;row=7579&amp;col=6&amp;number=4.5&amp;sourceID=14","4.5")</f>
        <v>4.5</v>
      </c>
      <c r="G7579" s="4" t="str">
        <f>HYPERLINK("http://141.218.60.56/~jnz1568/getInfo.php?workbook=18_08.xlsx&amp;sheet=U0&amp;row=7579&amp;col=7&amp;number=0.00212&amp;sourceID=14","0.00212")</f>
        <v>0.00212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HYPERLINK("http://141.218.60.56/~jnz1568/getInfo.php?workbook=18_08.xlsx&amp;sheet=U0&amp;row=7580&amp;col=6&amp;number=4.6&amp;sourceID=14","4.6")</f>
        <v>4.6</v>
      </c>
      <c r="G7580" s="4" t="str">
        <f>HYPERLINK("http://141.218.60.56/~jnz1568/getInfo.php?workbook=18_08.xlsx&amp;sheet=U0&amp;row=7580&amp;col=7&amp;number=0.00212&amp;sourceID=14","0.00212")</f>
        <v>0.00212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HYPERLINK("http://141.218.60.56/~jnz1568/getInfo.php?workbook=18_08.xlsx&amp;sheet=U0&amp;row=7581&amp;col=6&amp;number=4.7&amp;sourceID=14","4.7")</f>
        <v>4.7</v>
      </c>
      <c r="G7581" s="4" t="str">
        <f>HYPERLINK("http://141.218.60.56/~jnz1568/getInfo.php?workbook=18_08.xlsx&amp;sheet=U0&amp;row=7581&amp;col=7&amp;number=0.00211&amp;sourceID=14","0.00211")</f>
        <v>0.00211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HYPERLINK("http://141.218.60.56/~jnz1568/getInfo.php?workbook=18_08.xlsx&amp;sheet=U0&amp;row=7582&amp;col=6&amp;number=4.8&amp;sourceID=14","4.8")</f>
        <v>4.8</v>
      </c>
      <c r="G7582" s="4" t="str">
        <f>HYPERLINK("http://141.218.60.56/~jnz1568/getInfo.php?workbook=18_08.xlsx&amp;sheet=U0&amp;row=7582&amp;col=7&amp;number=0.0021&amp;sourceID=14","0.0021")</f>
        <v>0.0021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HYPERLINK("http://141.218.60.56/~jnz1568/getInfo.php?workbook=18_08.xlsx&amp;sheet=U0&amp;row=7583&amp;col=6&amp;number=4.9&amp;sourceID=14","4.9")</f>
        <v>4.9</v>
      </c>
      <c r="G7583" s="4" t="str">
        <f>HYPERLINK("http://141.218.60.56/~jnz1568/getInfo.php?workbook=18_08.xlsx&amp;sheet=U0&amp;row=7583&amp;col=7&amp;number=0.0021&amp;sourceID=14","0.0021")</f>
        <v>0.0021</v>
      </c>
    </row>
    <row r="7584" spans="1:7">
      <c r="A7584" s="3">
        <v>18</v>
      </c>
      <c r="B7584" s="3">
        <v>8</v>
      </c>
      <c r="C7584" s="3" t="s">
        <v>82</v>
      </c>
      <c r="D7584" s="3">
        <v>1</v>
      </c>
      <c r="E7584" s="3">
        <v>1</v>
      </c>
      <c r="F7584" s="4" t="str">
        <f>HYPERLINK("http://141.218.60.56/~jnz1568/getInfo.php?workbook=18_08.xlsx&amp;sheet=U0&amp;row=7584&amp;col=6&amp;number=3&amp;sourceID=14","3")</f>
        <v>3</v>
      </c>
      <c r="G7584" s="4" t="str">
        <f>HYPERLINK("http://141.218.60.56/~jnz1568/getInfo.php?workbook=18_08.xlsx&amp;sheet=U0&amp;row=7584&amp;col=7&amp;number=0.000102&amp;sourceID=14","0.000102")</f>
        <v>0.000102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HYPERLINK("http://141.218.60.56/~jnz1568/getInfo.php?workbook=18_08.xlsx&amp;sheet=U0&amp;row=7585&amp;col=6&amp;number=3.1&amp;sourceID=14","3.1")</f>
        <v>3.1</v>
      </c>
      <c r="G7585" s="4" t="str">
        <f>HYPERLINK("http://141.218.60.56/~jnz1568/getInfo.php?workbook=18_08.xlsx&amp;sheet=U0&amp;row=7585&amp;col=7&amp;number=0.000102&amp;sourceID=14","0.000102")</f>
        <v>0.000102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HYPERLINK("http://141.218.60.56/~jnz1568/getInfo.php?workbook=18_08.xlsx&amp;sheet=U0&amp;row=7586&amp;col=6&amp;number=3.2&amp;sourceID=14","3.2")</f>
        <v>3.2</v>
      </c>
      <c r="G7586" s="4" t="str">
        <f>HYPERLINK("http://141.218.60.56/~jnz1568/getInfo.php?workbook=18_08.xlsx&amp;sheet=U0&amp;row=7586&amp;col=7&amp;number=0.000102&amp;sourceID=14","0.000102")</f>
        <v>0.000102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HYPERLINK("http://141.218.60.56/~jnz1568/getInfo.php?workbook=18_08.xlsx&amp;sheet=U0&amp;row=7587&amp;col=6&amp;number=3.3&amp;sourceID=14","3.3")</f>
        <v>3.3</v>
      </c>
      <c r="G7587" s="4" t="str">
        <f>HYPERLINK("http://141.218.60.56/~jnz1568/getInfo.php?workbook=18_08.xlsx&amp;sheet=U0&amp;row=7587&amp;col=7&amp;number=0.000102&amp;sourceID=14","0.000102")</f>
        <v>0.000102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HYPERLINK("http://141.218.60.56/~jnz1568/getInfo.php?workbook=18_08.xlsx&amp;sheet=U0&amp;row=7588&amp;col=6&amp;number=3.4&amp;sourceID=14","3.4")</f>
        <v>3.4</v>
      </c>
      <c r="G7588" s="4" t="str">
        <f>HYPERLINK("http://141.218.60.56/~jnz1568/getInfo.php?workbook=18_08.xlsx&amp;sheet=U0&amp;row=7588&amp;col=7&amp;number=0.000102&amp;sourceID=14","0.000102")</f>
        <v>0.000102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HYPERLINK("http://141.218.60.56/~jnz1568/getInfo.php?workbook=18_08.xlsx&amp;sheet=U0&amp;row=7589&amp;col=6&amp;number=3.5&amp;sourceID=14","3.5")</f>
        <v>3.5</v>
      </c>
      <c r="G7589" s="4" t="str">
        <f>HYPERLINK("http://141.218.60.56/~jnz1568/getInfo.php?workbook=18_08.xlsx&amp;sheet=U0&amp;row=7589&amp;col=7&amp;number=0.000102&amp;sourceID=14","0.000102")</f>
        <v>0.000102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HYPERLINK("http://141.218.60.56/~jnz1568/getInfo.php?workbook=18_08.xlsx&amp;sheet=U0&amp;row=7590&amp;col=6&amp;number=3.6&amp;sourceID=14","3.6")</f>
        <v>3.6</v>
      </c>
      <c r="G7590" s="4" t="str">
        <f>HYPERLINK("http://141.218.60.56/~jnz1568/getInfo.php?workbook=18_08.xlsx&amp;sheet=U0&amp;row=7590&amp;col=7&amp;number=0.000102&amp;sourceID=14","0.000102")</f>
        <v>0.000102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HYPERLINK("http://141.218.60.56/~jnz1568/getInfo.php?workbook=18_08.xlsx&amp;sheet=U0&amp;row=7591&amp;col=6&amp;number=3.7&amp;sourceID=14","3.7")</f>
        <v>3.7</v>
      </c>
      <c r="G7591" s="4" t="str">
        <f>HYPERLINK("http://141.218.60.56/~jnz1568/getInfo.php?workbook=18_08.xlsx&amp;sheet=U0&amp;row=7591&amp;col=7&amp;number=0.000102&amp;sourceID=14","0.000102")</f>
        <v>0.000102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HYPERLINK("http://141.218.60.56/~jnz1568/getInfo.php?workbook=18_08.xlsx&amp;sheet=U0&amp;row=7592&amp;col=6&amp;number=3.8&amp;sourceID=14","3.8")</f>
        <v>3.8</v>
      </c>
      <c r="G7592" s="4" t="str">
        <f>HYPERLINK("http://141.218.60.56/~jnz1568/getInfo.php?workbook=18_08.xlsx&amp;sheet=U0&amp;row=7592&amp;col=7&amp;number=0.000102&amp;sourceID=14","0.000102")</f>
        <v>0.000102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HYPERLINK("http://141.218.60.56/~jnz1568/getInfo.php?workbook=18_08.xlsx&amp;sheet=U0&amp;row=7593&amp;col=6&amp;number=3.9&amp;sourceID=14","3.9")</f>
        <v>3.9</v>
      </c>
      <c r="G7593" s="4" t="str">
        <f>HYPERLINK("http://141.218.60.56/~jnz1568/getInfo.php?workbook=18_08.xlsx&amp;sheet=U0&amp;row=7593&amp;col=7&amp;number=0.000102&amp;sourceID=14","0.000102")</f>
        <v>0.000102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HYPERLINK("http://141.218.60.56/~jnz1568/getInfo.php?workbook=18_08.xlsx&amp;sheet=U0&amp;row=7594&amp;col=6&amp;number=4&amp;sourceID=14","4")</f>
        <v>4</v>
      </c>
      <c r="G7594" s="4" t="str">
        <f>HYPERLINK("http://141.218.60.56/~jnz1568/getInfo.php?workbook=18_08.xlsx&amp;sheet=U0&amp;row=7594&amp;col=7&amp;number=0.000102&amp;sourceID=14","0.000102")</f>
        <v>0.000102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HYPERLINK("http://141.218.60.56/~jnz1568/getInfo.php?workbook=18_08.xlsx&amp;sheet=U0&amp;row=7595&amp;col=6&amp;number=4.1&amp;sourceID=14","4.1")</f>
        <v>4.1</v>
      </c>
      <c r="G7595" s="4" t="str">
        <f>HYPERLINK("http://141.218.60.56/~jnz1568/getInfo.php?workbook=18_08.xlsx&amp;sheet=U0&amp;row=7595&amp;col=7&amp;number=0.000101&amp;sourceID=14","0.000101")</f>
        <v>0.000101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HYPERLINK("http://141.218.60.56/~jnz1568/getInfo.php?workbook=18_08.xlsx&amp;sheet=U0&amp;row=7596&amp;col=6&amp;number=4.2&amp;sourceID=14","4.2")</f>
        <v>4.2</v>
      </c>
      <c r="G7596" s="4" t="str">
        <f>HYPERLINK("http://141.218.60.56/~jnz1568/getInfo.php?workbook=18_08.xlsx&amp;sheet=U0&amp;row=7596&amp;col=7&amp;number=0.000101&amp;sourceID=14","0.000101")</f>
        <v>0.000101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HYPERLINK("http://141.218.60.56/~jnz1568/getInfo.php?workbook=18_08.xlsx&amp;sheet=U0&amp;row=7597&amp;col=6&amp;number=4.3&amp;sourceID=14","4.3")</f>
        <v>4.3</v>
      </c>
      <c r="G7597" s="4" t="str">
        <f>HYPERLINK("http://141.218.60.56/~jnz1568/getInfo.php?workbook=18_08.xlsx&amp;sheet=U0&amp;row=7597&amp;col=7&amp;number=0.000101&amp;sourceID=14","0.000101")</f>
        <v>0.000101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HYPERLINK("http://141.218.60.56/~jnz1568/getInfo.php?workbook=18_08.xlsx&amp;sheet=U0&amp;row=7598&amp;col=6&amp;number=4.4&amp;sourceID=14","4.4")</f>
        <v>4.4</v>
      </c>
      <c r="G7598" s="4" t="str">
        <f>HYPERLINK("http://141.218.60.56/~jnz1568/getInfo.php?workbook=18_08.xlsx&amp;sheet=U0&amp;row=7598&amp;col=7&amp;number=0.000101&amp;sourceID=14","0.000101")</f>
        <v>0.000101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HYPERLINK("http://141.218.60.56/~jnz1568/getInfo.php?workbook=18_08.xlsx&amp;sheet=U0&amp;row=7599&amp;col=6&amp;number=4.5&amp;sourceID=14","4.5")</f>
        <v>4.5</v>
      </c>
      <c r="G7599" s="4" t="str">
        <f>HYPERLINK("http://141.218.60.56/~jnz1568/getInfo.php?workbook=18_08.xlsx&amp;sheet=U0&amp;row=7599&amp;col=7&amp;number=0.000101&amp;sourceID=14","0.000101")</f>
        <v>0.000101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HYPERLINK("http://141.218.60.56/~jnz1568/getInfo.php?workbook=18_08.xlsx&amp;sheet=U0&amp;row=7600&amp;col=6&amp;number=4.6&amp;sourceID=14","4.6")</f>
        <v>4.6</v>
      </c>
      <c r="G7600" s="4" t="str">
        <f>HYPERLINK("http://141.218.60.56/~jnz1568/getInfo.php?workbook=18_08.xlsx&amp;sheet=U0&amp;row=7600&amp;col=7&amp;number=0.0001&amp;sourceID=14","0.0001")</f>
        <v>0.0001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HYPERLINK("http://141.218.60.56/~jnz1568/getInfo.php?workbook=18_08.xlsx&amp;sheet=U0&amp;row=7601&amp;col=6&amp;number=4.7&amp;sourceID=14","4.7")</f>
        <v>4.7</v>
      </c>
      <c r="G7601" s="4" t="str">
        <f>HYPERLINK("http://141.218.60.56/~jnz1568/getInfo.php?workbook=18_08.xlsx&amp;sheet=U0&amp;row=7601&amp;col=7&amp;number=0.0001&amp;sourceID=14","0.0001")</f>
        <v>0.0001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HYPERLINK("http://141.218.60.56/~jnz1568/getInfo.php?workbook=18_08.xlsx&amp;sheet=U0&amp;row=7602&amp;col=6&amp;number=4.8&amp;sourceID=14","4.8")</f>
        <v>4.8</v>
      </c>
      <c r="G7602" s="4" t="str">
        <f>HYPERLINK("http://141.218.60.56/~jnz1568/getInfo.php?workbook=18_08.xlsx&amp;sheet=U0&amp;row=7602&amp;col=7&amp;number=9.95e-05&amp;sourceID=14","9.95e-05")</f>
        <v>9.95e-05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HYPERLINK("http://141.218.60.56/~jnz1568/getInfo.php?workbook=18_08.xlsx&amp;sheet=U0&amp;row=7603&amp;col=6&amp;number=4.9&amp;sourceID=14","4.9")</f>
        <v>4.9</v>
      </c>
      <c r="G7603" s="4" t="str">
        <f>HYPERLINK("http://141.218.60.56/~jnz1568/getInfo.php?workbook=18_08.xlsx&amp;sheet=U0&amp;row=7603&amp;col=7&amp;number=9.88e-05&amp;sourceID=14","9.88e-05")</f>
        <v>9.88e-05</v>
      </c>
    </row>
    <row r="7604" spans="1:7">
      <c r="A7604" s="3">
        <v>18</v>
      </c>
      <c r="B7604" s="3">
        <v>8</v>
      </c>
      <c r="C7604" s="3" t="s">
        <v>82</v>
      </c>
      <c r="D7604" s="3">
        <v>2</v>
      </c>
      <c r="E7604" s="3">
        <v>1</v>
      </c>
      <c r="F7604" s="4" t="str">
        <f>HYPERLINK("http://141.218.60.56/~jnz1568/getInfo.php?workbook=18_08.xlsx&amp;sheet=U0&amp;row=7604&amp;col=6&amp;number=3&amp;sourceID=14","3")</f>
        <v>3</v>
      </c>
      <c r="G7604" s="4" t="str">
        <f>HYPERLINK("http://141.218.60.56/~jnz1568/getInfo.php?workbook=18_08.xlsx&amp;sheet=U0&amp;row=7604&amp;col=7&amp;number=6.9e-05&amp;sourceID=14","6.9e-05")</f>
        <v>6.9e-05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HYPERLINK("http://141.218.60.56/~jnz1568/getInfo.php?workbook=18_08.xlsx&amp;sheet=U0&amp;row=7605&amp;col=6&amp;number=3.1&amp;sourceID=14","3.1")</f>
        <v>3.1</v>
      </c>
      <c r="G7605" s="4" t="str">
        <f>HYPERLINK("http://141.218.60.56/~jnz1568/getInfo.php?workbook=18_08.xlsx&amp;sheet=U0&amp;row=7605&amp;col=7&amp;number=6.9e-05&amp;sourceID=14","6.9e-05")</f>
        <v>6.9e-05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HYPERLINK("http://141.218.60.56/~jnz1568/getInfo.php?workbook=18_08.xlsx&amp;sheet=U0&amp;row=7606&amp;col=6&amp;number=3.2&amp;sourceID=14","3.2")</f>
        <v>3.2</v>
      </c>
      <c r="G7606" s="4" t="str">
        <f>HYPERLINK("http://141.218.60.56/~jnz1568/getInfo.php?workbook=18_08.xlsx&amp;sheet=U0&amp;row=7606&amp;col=7&amp;number=6.9e-05&amp;sourceID=14","6.9e-05")</f>
        <v>6.9e-05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HYPERLINK("http://141.218.60.56/~jnz1568/getInfo.php?workbook=18_08.xlsx&amp;sheet=U0&amp;row=7607&amp;col=6&amp;number=3.3&amp;sourceID=14","3.3")</f>
        <v>3.3</v>
      </c>
      <c r="G7607" s="4" t="str">
        <f>HYPERLINK("http://141.218.60.56/~jnz1568/getInfo.php?workbook=18_08.xlsx&amp;sheet=U0&amp;row=7607&amp;col=7&amp;number=6.9e-05&amp;sourceID=14","6.9e-05")</f>
        <v>6.9e-05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HYPERLINK("http://141.218.60.56/~jnz1568/getInfo.php?workbook=18_08.xlsx&amp;sheet=U0&amp;row=7608&amp;col=6&amp;number=3.4&amp;sourceID=14","3.4")</f>
        <v>3.4</v>
      </c>
      <c r="G7608" s="4" t="str">
        <f>HYPERLINK("http://141.218.60.56/~jnz1568/getInfo.php?workbook=18_08.xlsx&amp;sheet=U0&amp;row=7608&amp;col=7&amp;number=6.9e-05&amp;sourceID=14","6.9e-05")</f>
        <v>6.9e-05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HYPERLINK("http://141.218.60.56/~jnz1568/getInfo.php?workbook=18_08.xlsx&amp;sheet=U0&amp;row=7609&amp;col=6&amp;number=3.5&amp;sourceID=14","3.5")</f>
        <v>3.5</v>
      </c>
      <c r="G7609" s="4" t="str">
        <f>HYPERLINK("http://141.218.60.56/~jnz1568/getInfo.php?workbook=18_08.xlsx&amp;sheet=U0&amp;row=7609&amp;col=7&amp;number=6.9e-05&amp;sourceID=14","6.9e-05")</f>
        <v>6.9e-05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HYPERLINK("http://141.218.60.56/~jnz1568/getInfo.php?workbook=18_08.xlsx&amp;sheet=U0&amp;row=7610&amp;col=6&amp;number=3.6&amp;sourceID=14","3.6")</f>
        <v>3.6</v>
      </c>
      <c r="G7610" s="4" t="str">
        <f>HYPERLINK("http://141.218.60.56/~jnz1568/getInfo.php?workbook=18_08.xlsx&amp;sheet=U0&amp;row=7610&amp;col=7&amp;number=6.9e-05&amp;sourceID=14","6.9e-05")</f>
        <v>6.9e-05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HYPERLINK("http://141.218.60.56/~jnz1568/getInfo.php?workbook=18_08.xlsx&amp;sheet=U0&amp;row=7611&amp;col=6&amp;number=3.7&amp;sourceID=14","3.7")</f>
        <v>3.7</v>
      </c>
      <c r="G7611" s="4" t="str">
        <f>HYPERLINK("http://141.218.60.56/~jnz1568/getInfo.php?workbook=18_08.xlsx&amp;sheet=U0&amp;row=7611&amp;col=7&amp;number=6.9e-05&amp;sourceID=14","6.9e-05")</f>
        <v>6.9e-05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HYPERLINK("http://141.218.60.56/~jnz1568/getInfo.php?workbook=18_08.xlsx&amp;sheet=U0&amp;row=7612&amp;col=6&amp;number=3.8&amp;sourceID=14","3.8")</f>
        <v>3.8</v>
      </c>
      <c r="G7612" s="4" t="str">
        <f>HYPERLINK("http://141.218.60.56/~jnz1568/getInfo.php?workbook=18_08.xlsx&amp;sheet=U0&amp;row=7612&amp;col=7&amp;number=6.89e-05&amp;sourceID=14","6.89e-05")</f>
        <v>6.89e-05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HYPERLINK("http://141.218.60.56/~jnz1568/getInfo.php?workbook=18_08.xlsx&amp;sheet=U0&amp;row=7613&amp;col=6&amp;number=3.9&amp;sourceID=14","3.9")</f>
        <v>3.9</v>
      </c>
      <c r="G7613" s="4" t="str">
        <f>HYPERLINK("http://141.218.60.56/~jnz1568/getInfo.php?workbook=18_08.xlsx&amp;sheet=U0&amp;row=7613&amp;col=7&amp;number=6.89e-05&amp;sourceID=14","6.89e-05")</f>
        <v>6.89e-05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HYPERLINK("http://141.218.60.56/~jnz1568/getInfo.php?workbook=18_08.xlsx&amp;sheet=U0&amp;row=7614&amp;col=6&amp;number=4&amp;sourceID=14","4")</f>
        <v>4</v>
      </c>
      <c r="G7614" s="4" t="str">
        <f>HYPERLINK("http://141.218.60.56/~jnz1568/getInfo.php?workbook=18_08.xlsx&amp;sheet=U0&amp;row=7614&amp;col=7&amp;number=6.89e-05&amp;sourceID=14","6.89e-05")</f>
        <v>6.89e-05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HYPERLINK("http://141.218.60.56/~jnz1568/getInfo.php?workbook=18_08.xlsx&amp;sheet=U0&amp;row=7615&amp;col=6&amp;number=4.1&amp;sourceID=14","4.1")</f>
        <v>4.1</v>
      </c>
      <c r="G7615" s="4" t="str">
        <f>HYPERLINK("http://141.218.60.56/~jnz1568/getInfo.php?workbook=18_08.xlsx&amp;sheet=U0&amp;row=7615&amp;col=7&amp;number=6.89e-05&amp;sourceID=14","6.89e-05")</f>
        <v>6.89e-05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HYPERLINK("http://141.218.60.56/~jnz1568/getInfo.php?workbook=18_08.xlsx&amp;sheet=U0&amp;row=7616&amp;col=6&amp;number=4.2&amp;sourceID=14","4.2")</f>
        <v>4.2</v>
      </c>
      <c r="G7616" s="4" t="str">
        <f>HYPERLINK("http://141.218.60.56/~jnz1568/getInfo.php?workbook=18_08.xlsx&amp;sheet=U0&amp;row=7616&amp;col=7&amp;number=6.89e-05&amp;sourceID=14","6.89e-05")</f>
        <v>6.89e-05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HYPERLINK("http://141.218.60.56/~jnz1568/getInfo.php?workbook=18_08.xlsx&amp;sheet=U0&amp;row=7617&amp;col=6&amp;number=4.3&amp;sourceID=14","4.3")</f>
        <v>4.3</v>
      </c>
      <c r="G7617" s="4" t="str">
        <f>HYPERLINK("http://141.218.60.56/~jnz1568/getInfo.php?workbook=18_08.xlsx&amp;sheet=U0&amp;row=7617&amp;col=7&amp;number=6.89e-05&amp;sourceID=14","6.89e-05")</f>
        <v>6.89e-05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HYPERLINK("http://141.218.60.56/~jnz1568/getInfo.php?workbook=18_08.xlsx&amp;sheet=U0&amp;row=7618&amp;col=6&amp;number=4.4&amp;sourceID=14","4.4")</f>
        <v>4.4</v>
      </c>
      <c r="G7618" s="4" t="str">
        <f>HYPERLINK("http://141.218.60.56/~jnz1568/getInfo.php?workbook=18_08.xlsx&amp;sheet=U0&amp;row=7618&amp;col=7&amp;number=6.88e-05&amp;sourceID=14","6.88e-05")</f>
        <v>6.88e-05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HYPERLINK("http://141.218.60.56/~jnz1568/getInfo.php?workbook=18_08.xlsx&amp;sheet=U0&amp;row=7619&amp;col=6&amp;number=4.5&amp;sourceID=14","4.5")</f>
        <v>4.5</v>
      </c>
      <c r="G7619" s="4" t="str">
        <f>HYPERLINK("http://141.218.60.56/~jnz1568/getInfo.php?workbook=18_08.xlsx&amp;sheet=U0&amp;row=7619&amp;col=7&amp;number=6.88e-05&amp;sourceID=14","6.88e-05")</f>
        <v>6.88e-05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HYPERLINK("http://141.218.60.56/~jnz1568/getInfo.php?workbook=18_08.xlsx&amp;sheet=U0&amp;row=7620&amp;col=6&amp;number=4.6&amp;sourceID=14","4.6")</f>
        <v>4.6</v>
      </c>
      <c r="G7620" s="4" t="str">
        <f>HYPERLINK("http://141.218.60.56/~jnz1568/getInfo.php?workbook=18_08.xlsx&amp;sheet=U0&amp;row=7620&amp;col=7&amp;number=6.87e-05&amp;sourceID=14","6.87e-05")</f>
        <v>6.87e-05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HYPERLINK("http://141.218.60.56/~jnz1568/getInfo.php?workbook=18_08.xlsx&amp;sheet=U0&amp;row=7621&amp;col=6&amp;number=4.7&amp;sourceID=14","4.7")</f>
        <v>4.7</v>
      </c>
      <c r="G7621" s="4" t="str">
        <f>HYPERLINK("http://141.218.60.56/~jnz1568/getInfo.php?workbook=18_08.xlsx&amp;sheet=U0&amp;row=7621&amp;col=7&amp;number=6.87e-05&amp;sourceID=14","6.87e-05")</f>
        <v>6.87e-05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HYPERLINK("http://141.218.60.56/~jnz1568/getInfo.php?workbook=18_08.xlsx&amp;sheet=U0&amp;row=7622&amp;col=6&amp;number=4.8&amp;sourceID=14","4.8")</f>
        <v>4.8</v>
      </c>
      <c r="G7622" s="4" t="str">
        <f>HYPERLINK("http://141.218.60.56/~jnz1568/getInfo.php?workbook=18_08.xlsx&amp;sheet=U0&amp;row=7622&amp;col=7&amp;number=6.86e-05&amp;sourceID=14","6.86e-05")</f>
        <v>6.86e-05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HYPERLINK("http://141.218.60.56/~jnz1568/getInfo.php?workbook=18_08.xlsx&amp;sheet=U0&amp;row=7623&amp;col=6&amp;number=4.9&amp;sourceID=14","4.9")</f>
        <v>4.9</v>
      </c>
      <c r="G7623" s="4" t="str">
        <f>HYPERLINK("http://141.218.60.56/~jnz1568/getInfo.php?workbook=18_08.xlsx&amp;sheet=U0&amp;row=7623&amp;col=7&amp;number=6.85e-05&amp;sourceID=14","6.85e-05")</f>
        <v>6.85e-05</v>
      </c>
    </row>
    <row r="7624" spans="1:7">
      <c r="A7624" s="3">
        <v>18</v>
      </c>
      <c r="B7624" s="3">
        <v>8</v>
      </c>
      <c r="C7624" s="3" t="s">
        <v>82</v>
      </c>
      <c r="D7624" s="3">
        <v>3</v>
      </c>
      <c r="E7624" s="3">
        <v>1</v>
      </c>
      <c r="F7624" s="4" t="str">
        <f>HYPERLINK("http://141.218.60.56/~jnz1568/getInfo.php?workbook=18_08.xlsx&amp;sheet=U0&amp;row=7624&amp;col=6&amp;number=3&amp;sourceID=14","3")</f>
        <v>3</v>
      </c>
      <c r="G7624" s="4" t="str">
        <f>HYPERLINK("http://141.218.60.56/~jnz1568/getInfo.php?workbook=18_08.xlsx&amp;sheet=U0&amp;row=7624&amp;col=7&amp;number=0.00062&amp;sourceID=14","0.00062")</f>
        <v>0.00062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HYPERLINK("http://141.218.60.56/~jnz1568/getInfo.php?workbook=18_08.xlsx&amp;sheet=U0&amp;row=7625&amp;col=6&amp;number=3.1&amp;sourceID=14","3.1")</f>
        <v>3.1</v>
      </c>
      <c r="G7625" s="4" t="str">
        <f>HYPERLINK("http://141.218.60.56/~jnz1568/getInfo.php?workbook=18_08.xlsx&amp;sheet=U0&amp;row=7625&amp;col=7&amp;number=0.00062&amp;sourceID=14","0.00062")</f>
        <v>0.00062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HYPERLINK("http://141.218.60.56/~jnz1568/getInfo.php?workbook=18_08.xlsx&amp;sheet=U0&amp;row=7626&amp;col=6&amp;number=3.2&amp;sourceID=14","3.2")</f>
        <v>3.2</v>
      </c>
      <c r="G7626" s="4" t="str">
        <f>HYPERLINK("http://141.218.60.56/~jnz1568/getInfo.php?workbook=18_08.xlsx&amp;sheet=U0&amp;row=7626&amp;col=7&amp;number=0.00062&amp;sourceID=14","0.00062")</f>
        <v>0.00062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HYPERLINK("http://141.218.60.56/~jnz1568/getInfo.php?workbook=18_08.xlsx&amp;sheet=U0&amp;row=7627&amp;col=6&amp;number=3.3&amp;sourceID=14","3.3")</f>
        <v>3.3</v>
      </c>
      <c r="G7627" s="4" t="str">
        <f>HYPERLINK("http://141.218.60.56/~jnz1568/getInfo.php?workbook=18_08.xlsx&amp;sheet=U0&amp;row=7627&amp;col=7&amp;number=0.00062&amp;sourceID=14","0.00062")</f>
        <v>0.00062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HYPERLINK("http://141.218.60.56/~jnz1568/getInfo.php?workbook=18_08.xlsx&amp;sheet=U0&amp;row=7628&amp;col=6&amp;number=3.4&amp;sourceID=14","3.4")</f>
        <v>3.4</v>
      </c>
      <c r="G7628" s="4" t="str">
        <f>HYPERLINK("http://141.218.60.56/~jnz1568/getInfo.php?workbook=18_08.xlsx&amp;sheet=U0&amp;row=7628&amp;col=7&amp;number=0.00062&amp;sourceID=14","0.00062")</f>
        <v>0.00062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HYPERLINK("http://141.218.60.56/~jnz1568/getInfo.php?workbook=18_08.xlsx&amp;sheet=U0&amp;row=7629&amp;col=6&amp;number=3.5&amp;sourceID=14","3.5")</f>
        <v>3.5</v>
      </c>
      <c r="G7629" s="4" t="str">
        <f>HYPERLINK("http://141.218.60.56/~jnz1568/getInfo.php?workbook=18_08.xlsx&amp;sheet=U0&amp;row=7629&amp;col=7&amp;number=0.00062&amp;sourceID=14","0.00062")</f>
        <v>0.00062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HYPERLINK("http://141.218.60.56/~jnz1568/getInfo.php?workbook=18_08.xlsx&amp;sheet=U0&amp;row=7630&amp;col=6&amp;number=3.6&amp;sourceID=14","3.6")</f>
        <v>3.6</v>
      </c>
      <c r="G7630" s="4" t="str">
        <f>HYPERLINK("http://141.218.60.56/~jnz1568/getInfo.php?workbook=18_08.xlsx&amp;sheet=U0&amp;row=7630&amp;col=7&amp;number=0.00062&amp;sourceID=14","0.00062")</f>
        <v>0.00062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HYPERLINK("http://141.218.60.56/~jnz1568/getInfo.php?workbook=18_08.xlsx&amp;sheet=U0&amp;row=7631&amp;col=6&amp;number=3.7&amp;sourceID=14","3.7")</f>
        <v>3.7</v>
      </c>
      <c r="G7631" s="4" t="str">
        <f>HYPERLINK("http://141.218.60.56/~jnz1568/getInfo.php?workbook=18_08.xlsx&amp;sheet=U0&amp;row=7631&amp;col=7&amp;number=0.000619&amp;sourceID=14","0.000619")</f>
        <v>0.000619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HYPERLINK("http://141.218.60.56/~jnz1568/getInfo.php?workbook=18_08.xlsx&amp;sheet=U0&amp;row=7632&amp;col=6&amp;number=3.8&amp;sourceID=14","3.8")</f>
        <v>3.8</v>
      </c>
      <c r="G7632" s="4" t="str">
        <f>HYPERLINK("http://141.218.60.56/~jnz1568/getInfo.php?workbook=18_08.xlsx&amp;sheet=U0&amp;row=7632&amp;col=7&amp;number=0.000619&amp;sourceID=14","0.000619")</f>
        <v>0.000619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HYPERLINK("http://141.218.60.56/~jnz1568/getInfo.php?workbook=18_08.xlsx&amp;sheet=U0&amp;row=7633&amp;col=6&amp;number=3.9&amp;sourceID=14","3.9")</f>
        <v>3.9</v>
      </c>
      <c r="G7633" s="4" t="str">
        <f>HYPERLINK("http://141.218.60.56/~jnz1568/getInfo.php?workbook=18_08.xlsx&amp;sheet=U0&amp;row=7633&amp;col=7&amp;number=0.000619&amp;sourceID=14","0.000619")</f>
        <v>0.000619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HYPERLINK("http://141.218.60.56/~jnz1568/getInfo.php?workbook=18_08.xlsx&amp;sheet=U0&amp;row=7634&amp;col=6&amp;number=4&amp;sourceID=14","4")</f>
        <v>4</v>
      </c>
      <c r="G7634" s="4" t="str">
        <f>HYPERLINK("http://141.218.60.56/~jnz1568/getInfo.php?workbook=18_08.xlsx&amp;sheet=U0&amp;row=7634&amp;col=7&amp;number=0.000619&amp;sourceID=14","0.000619")</f>
        <v>0.000619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HYPERLINK("http://141.218.60.56/~jnz1568/getInfo.php?workbook=18_08.xlsx&amp;sheet=U0&amp;row=7635&amp;col=6&amp;number=4.1&amp;sourceID=14","4.1")</f>
        <v>4.1</v>
      </c>
      <c r="G7635" s="4" t="str">
        <f>HYPERLINK("http://141.218.60.56/~jnz1568/getInfo.php?workbook=18_08.xlsx&amp;sheet=U0&amp;row=7635&amp;col=7&amp;number=0.000618&amp;sourceID=14","0.000618")</f>
        <v>0.000618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HYPERLINK("http://141.218.60.56/~jnz1568/getInfo.php?workbook=18_08.xlsx&amp;sheet=U0&amp;row=7636&amp;col=6&amp;number=4.2&amp;sourceID=14","4.2")</f>
        <v>4.2</v>
      </c>
      <c r="G7636" s="4" t="str">
        <f>HYPERLINK("http://141.218.60.56/~jnz1568/getInfo.php?workbook=18_08.xlsx&amp;sheet=U0&amp;row=7636&amp;col=7&amp;number=0.000618&amp;sourceID=14","0.000618")</f>
        <v>0.000618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HYPERLINK("http://141.218.60.56/~jnz1568/getInfo.php?workbook=18_08.xlsx&amp;sheet=U0&amp;row=7637&amp;col=6&amp;number=4.3&amp;sourceID=14","4.3")</f>
        <v>4.3</v>
      </c>
      <c r="G7637" s="4" t="str">
        <f>HYPERLINK("http://141.218.60.56/~jnz1568/getInfo.php?workbook=18_08.xlsx&amp;sheet=U0&amp;row=7637&amp;col=7&amp;number=0.000617&amp;sourceID=14","0.000617")</f>
        <v>0.000617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HYPERLINK("http://141.218.60.56/~jnz1568/getInfo.php?workbook=18_08.xlsx&amp;sheet=U0&amp;row=7638&amp;col=6&amp;number=4.4&amp;sourceID=14","4.4")</f>
        <v>4.4</v>
      </c>
      <c r="G7638" s="4" t="str">
        <f>HYPERLINK("http://141.218.60.56/~jnz1568/getInfo.php?workbook=18_08.xlsx&amp;sheet=U0&amp;row=7638&amp;col=7&amp;number=0.000616&amp;sourceID=14","0.000616")</f>
        <v>0.000616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HYPERLINK("http://141.218.60.56/~jnz1568/getInfo.php?workbook=18_08.xlsx&amp;sheet=U0&amp;row=7639&amp;col=6&amp;number=4.5&amp;sourceID=14","4.5")</f>
        <v>4.5</v>
      </c>
      <c r="G7639" s="4" t="str">
        <f>HYPERLINK("http://141.218.60.56/~jnz1568/getInfo.php?workbook=18_08.xlsx&amp;sheet=U0&amp;row=7639&amp;col=7&amp;number=0.000615&amp;sourceID=14","0.000615")</f>
        <v>0.000615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HYPERLINK("http://141.218.60.56/~jnz1568/getInfo.php?workbook=18_08.xlsx&amp;sheet=U0&amp;row=7640&amp;col=6&amp;number=4.6&amp;sourceID=14","4.6")</f>
        <v>4.6</v>
      </c>
      <c r="G7640" s="4" t="str">
        <f>HYPERLINK("http://141.218.60.56/~jnz1568/getInfo.php?workbook=18_08.xlsx&amp;sheet=U0&amp;row=7640&amp;col=7&amp;number=0.000614&amp;sourceID=14","0.000614")</f>
        <v>0.000614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HYPERLINK("http://141.218.60.56/~jnz1568/getInfo.php?workbook=18_08.xlsx&amp;sheet=U0&amp;row=7641&amp;col=6&amp;number=4.7&amp;sourceID=14","4.7")</f>
        <v>4.7</v>
      </c>
      <c r="G7641" s="4" t="str">
        <f>HYPERLINK("http://141.218.60.56/~jnz1568/getInfo.php?workbook=18_08.xlsx&amp;sheet=U0&amp;row=7641&amp;col=7&amp;number=0.000612&amp;sourceID=14","0.000612")</f>
        <v>0.000612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HYPERLINK("http://141.218.60.56/~jnz1568/getInfo.php?workbook=18_08.xlsx&amp;sheet=U0&amp;row=7642&amp;col=6&amp;number=4.8&amp;sourceID=14","4.8")</f>
        <v>4.8</v>
      </c>
      <c r="G7642" s="4" t="str">
        <f>HYPERLINK("http://141.218.60.56/~jnz1568/getInfo.php?workbook=18_08.xlsx&amp;sheet=U0&amp;row=7642&amp;col=7&amp;number=0.00061&amp;sourceID=14","0.00061")</f>
        <v>0.00061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HYPERLINK("http://141.218.60.56/~jnz1568/getInfo.php?workbook=18_08.xlsx&amp;sheet=U0&amp;row=7643&amp;col=6&amp;number=4.9&amp;sourceID=14","4.9")</f>
        <v>4.9</v>
      </c>
      <c r="G7643" s="4" t="str">
        <f>HYPERLINK("http://141.218.60.56/~jnz1568/getInfo.php?workbook=18_08.xlsx&amp;sheet=U0&amp;row=7643&amp;col=7&amp;number=0.000608&amp;sourceID=14","0.000608")</f>
        <v>0.000608</v>
      </c>
    </row>
    <row r="7644" spans="1:7">
      <c r="A7644" s="3">
        <v>18</v>
      </c>
      <c r="B7644" s="3">
        <v>8</v>
      </c>
      <c r="C7644" s="3" t="s">
        <v>82</v>
      </c>
      <c r="D7644" s="3">
        <v>4</v>
      </c>
      <c r="E7644" s="3">
        <v>1</v>
      </c>
      <c r="F7644" s="4" t="str">
        <f>HYPERLINK("http://141.218.60.56/~jnz1568/getInfo.php?workbook=18_08.xlsx&amp;sheet=U0&amp;row=7644&amp;col=6&amp;number=3&amp;sourceID=14","3")</f>
        <v>3</v>
      </c>
      <c r="G7644" s="4" t="str">
        <f>HYPERLINK("http://141.218.60.56/~jnz1568/getInfo.php?workbook=18_08.xlsx&amp;sheet=U0&amp;row=7644&amp;col=7&amp;number=0.000121&amp;sourceID=14","0.000121")</f>
        <v>0.000121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HYPERLINK("http://141.218.60.56/~jnz1568/getInfo.php?workbook=18_08.xlsx&amp;sheet=U0&amp;row=7645&amp;col=6&amp;number=3.1&amp;sourceID=14","3.1")</f>
        <v>3.1</v>
      </c>
      <c r="G7645" s="4" t="str">
        <f>HYPERLINK("http://141.218.60.56/~jnz1568/getInfo.php?workbook=18_08.xlsx&amp;sheet=U0&amp;row=7645&amp;col=7&amp;number=0.000121&amp;sourceID=14","0.000121")</f>
        <v>0.000121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HYPERLINK("http://141.218.60.56/~jnz1568/getInfo.php?workbook=18_08.xlsx&amp;sheet=U0&amp;row=7646&amp;col=6&amp;number=3.2&amp;sourceID=14","3.2")</f>
        <v>3.2</v>
      </c>
      <c r="G7646" s="4" t="str">
        <f>HYPERLINK("http://141.218.60.56/~jnz1568/getInfo.php?workbook=18_08.xlsx&amp;sheet=U0&amp;row=7646&amp;col=7&amp;number=0.000121&amp;sourceID=14","0.000121")</f>
        <v>0.000121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HYPERLINK("http://141.218.60.56/~jnz1568/getInfo.php?workbook=18_08.xlsx&amp;sheet=U0&amp;row=7647&amp;col=6&amp;number=3.3&amp;sourceID=14","3.3")</f>
        <v>3.3</v>
      </c>
      <c r="G7647" s="4" t="str">
        <f>HYPERLINK("http://141.218.60.56/~jnz1568/getInfo.php?workbook=18_08.xlsx&amp;sheet=U0&amp;row=7647&amp;col=7&amp;number=0.000121&amp;sourceID=14","0.000121")</f>
        <v>0.000121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HYPERLINK("http://141.218.60.56/~jnz1568/getInfo.php?workbook=18_08.xlsx&amp;sheet=U0&amp;row=7648&amp;col=6&amp;number=3.4&amp;sourceID=14","3.4")</f>
        <v>3.4</v>
      </c>
      <c r="G7648" s="4" t="str">
        <f>HYPERLINK("http://141.218.60.56/~jnz1568/getInfo.php?workbook=18_08.xlsx&amp;sheet=U0&amp;row=7648&amp;col=7&amp;number=0.000121&amp;sourceID=14","0.000121")</f>
        <v>0.000121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HYPERLINK("http://141.218.60.56/~jnz1568/getInfo.php?workbook=18_08.xlsx&amp;sheet=U0&amp;row=7649&amp;col=6&amp;number=3.5&amp;sourceID=14","3.5")</f>
        <v>3.5</v>
      </c>
      <c r="G7649" s="4" t="str">
        <f>HYPERLINK("http://141.218.60.56/~jnz1568/getInfo.php?workbook=18_08.xlsx&amp;sheet=U0&amp;row=7649&amp;col=7&amp;number=0.000121&amp;sourceID=14","0.000121")</f>
        <v>0.000121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HYPERLINK("http://141.218.60.56/~jnz1568/getInfo.php?workbook=18_08.xlsx&amp;sheet=U0&amp;row=7650&amp;col=6&amp;number=3.6&amp;sourceID=14","3.6")</f>
        <v>3.6</v>
      </c>
      <c r="G7650" s="4" t="str">
        <f>HYPERLINK("http://141.218.60.56/~jnz1568/getInfo.php?workbook=18_08.xlsx&amp;sheet=U0&amp;row=7650&amp;col=7&amp;number=0.000121&amp;sourceID=14","0.000121")</f>
        <v>0.000121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HYPERLINK("http://141.218.60.56/~jnz1568/getInfo.php?workbook=18_08.xlsx&amp;sheet=U0&amp;row=7651&amp;col=6&amp;number=3.7&amp;sourceID=14","3.7")</f>
        <v>3.7</v>
      </c>
      <c r="G7651" s="4" t="str">
        <f>HYPERLINK("http://141.218.60.56/~jnz1568/getInfo.php?workbook=18_08.xlsx&amp;sheet=U0&amp;row=7651&amp;col=7&amp;number=0.000121&amp;sourceID=14","0.000121")</f>
        <v>0.000121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HYPERLINK("http://141.218.60.56/~jnz1568/getInfo.php?workbook=18_08.xlsx&amp;sheet=U0&amp;row=7652&amp;col=6&amp;number=3.8&amp;sourceID=14","3.8")</f>
        <v>3.8</v>
      </c>
      <c r="G7652" s="4" t="str">
        <f>HYPERLINK("http://141.218.60.56/~jnz1568/getInfo.php?workbook=18_08.xlsx&amp;sheet=U0&amp;row=7652&amp;col=7&amp;number=0.000121&amp;sourceID=14","0.000121")</f>
        <v>0.000121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HYPERLINK("http://141.218.60.56/~jnz1568/getInfo.php?workbook=18_08.xlsx&amp;sheet=U0&amp;row=7653&amp;col=6&amp;number=3.9&amp;sourceID=14","3.9")</f>
        <v>3.9</v>
      </c>
      <c r="G7653" s="4" t="str">
        <f>HYPERLINK("http://141.218.60.56/~jnz1568/getInfo.php?workbook=18_08.xlsx&amp;sheet=U0&amp;row=7653&amp;col=7&amp;number=0.000121&amp;sourceID=14","0.000121")</f>
        <v>0.000121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HYPERLINK("http://141.218.60.56/~jnz1568/getInfo.php?workbook=18_08.xlsx&amp;sheet=U0&amp;row=7654&amp;col=6&amp;number=4&amp;sourceID=14","4")</f>
        <v>4</v>
      </c>
      <c r="G7654" s="4" t="str">
        <f>HYPERLINK("http://141.218.60.56/~jnz1568/getInfo.php?workbook=18_08.xlsx&amp;sheet=U0&amp;row=7654&amp;col=7&amp;number=0.000121&amp;sourceID=14","0.000121")</f>
        <v>0.000121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HYPERLINK("http://141.218.60.56/~jnz1568/getInfo.php?workbook=18_08.xlsx&amp;sheet=U0&amp;row=7655&amp;col=6&amp;number=4.1&amp;sourceID=14","4.1")</f>
        <v>4.1</v>
      </c>
      <c r="G7655" s="4" t="str">
        <f>HYPERLINK("http://141.218.60.56/~jnz1568/getInfo.php?workbook=18_08.xlsx&amp;sheet=U0&amp;row=7655&amp;col=7&amp;number=0.00012&amp;sourceID=14","0.00012")</f>
        <v>0.00012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HYPERLINK("http://141.218.60.56/~jnz1568/getInfo.php?workbook=18_08.xlsx&amp;sheet=U0&amp;row=7656&amp;col=6&amp;number=4.2&amp;sourceID=14","4.2")</f>
        <v>4.2</v>
      </c>
      <c r="G7656" s="4" t="str">
        <f>HYPERLINK("http://141.218.60.56/~jnz1568/getInfo.php?workbook=18_08.xlsx&amp;sheet=U0&amp;row=7656&amp;col=7&amp;number=0.00012&amp;sourceID=14","0.00012")</f>
        <v>0.00012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HYPERLINK("http://141.218.60.56/~jnz1568/getInfo.php?workbook=18_08.xlsx&amp;sheet=U0&amp;row=7657&amp;col=6&amp;number=4.3&amp;sourceID=14","4.3")</f>
        <v>4.3</v>
      </c>
      <c r="G7657" s="4" t="str">
        <f>HYPERLINK("http://141.218.60.56/~jnz1568/getInfo.php?workbook=18_08.xlsx&amp;sheet=U0&amp;row=7657&amp;col=7&amp;number=0.00012&amp;sourceID=14","0.00012")</f>
        <v>0.00012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HYPERLINK("http://141.218.60.56/~jnz1568/getInfo.php?workbook=18_08.xlsx&amp;sheet=U0&amp;row=7658&amp;col=6&amp;number=4.4&amp;sourceID=14","4.4")</f>
        <v>4.4</v>
      </c>
      <c r="G7658" s="4" t="str">
        <f>HYPERLINK("http://141.218.60.56/~jnz1568/getInfo.php?workbook=18_08.xlsx&amp;sheet=U0&amp;row=7658&amp;col=7&amp;number=0.00012&amp;sourceID=14","0.00012")</f>
        <v>0.00012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HYPERLINK("http://141.218.60.56/~jnz1568/getInfo.php?workbook=18_08.xlsx&amp;sheet=U0&amp;row=7659&amp;col=6&amp;number=4.5&amp;sourceID=14","4.5")</f>
        <v>4.5</v>
      </c>
      <c r="G7659" s="4" t="str">
        <f>HYPERLINK("http://141.218.60.56/~jnz1568/getInfo.php?workbook=18_08.xlsx&amp;sheet=U0&amp;row=7659&amp;col=7&amp;number=0.00012&amp;sourceID=14","0.00012")</f>
        <v>0.00012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HYPERLINK("http://141.218.60.56/~jnz1568/getInfo.php?workbook=18_08.xlsx&amp;sheet=U0&amp;row=7660&amp;col=6&amp;number=4.6&amp;sourceID=14","4.6")</f>
        <v>4.6</v>
      </c>
      <c r="G7660" s="4" t="str">
        <f>HYPERLINK("http://141.218.60.56/~jnz1568/getInfo.php?workbook=18_08.xlsx&amp;sheet=U0&amp;row=7660&amp;col=7&amp;number=0.00012&amp;sourceID=14","0.00012")</f>
        <v>0.00012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HYPERLINK("http://141.218.60.56/~jnz1568/getInfo.php?workbook=18_08.xlsx&amp;sheet=U0&amp;row=7661&amp;col=6&amp;number=4.7&amp;sourceID=14","4.7")</f>
        <v>4.7</v>
      </c>
      <c r="G7661" s="4" t="str">
        <f>HYPERLINK("http://141.218.60.56/~jnz1568/getInfo.php?workbook=18_08.xlsx&amp;sheet=U0&amp;row=7661&amp;col=7&amp;number=0.000119&amp;sourceID=14","0.000119")</f>
        <v>0.000119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HYPERLINK("http://141.218.60.56/~jnz1568/getInfo.php?workbook=18_08.xlsx&amp;sheet=U0&amp;row=7662&amp;col=6&amp;number=4.8&amp;sourceID=14","4.8")</f>
        <v>4.8</v>
      </c>
      <c r="G7662" s="4" t="str">
        <f>HYPERLINK("http://141.218.60.56/~jnz1568/getInfo.php?workbook=18_08.xlsx&amp;sheet=U0&amp;row=7662&amp;col=7&amp;number=0.000119&amp;sourceID=14","0.000119")</f>
        <v>0.000119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HYPERLINK("http://141.218.60.56/~jnz1568/getInfo.php?workbook=18_08.xlsx&amp;sheet=U0&amp;row=7663&amp;col=6&amp;number=4.9&amp;sourceID=14","4.9")</f>
        <v>4.9</v>
      </c>
      <c r="G7663" s="4" t="str">
        <f>HYPERLINK("http://141.218.60.56/~jnz1568/getInfo.php?workbook=18_08.xlsx&amp;sheet=U0&amp;row=7663&amp;col=7&amp;number=0.000119&amp;sourceID=14","0.000119")</f>
        <v>0.000119</v>
      </c>
    </row>
    <row r="7664" spans="1:7">
      <c r="A7664" s="3">
        <v>18</v>
      </c>
      <c r="B7664" s="3">
        <v>8</v>
      </c>
      <c r="C7664" s="3" t="s">
        <v>82</v>
      </c>
      <c r="D7664" s="3">
        <v>5</v>
      </c>
      <c r="E7664" s="3">
        <v>1</v>
      </c>
      <c r="F7664" s="4" t="str">
        <f>HYPERLINK("http://141.218.60.56/~jnz1568/getInfo.php?workbook=18_08.xlsx&amp;sheet=U0&amp;row=7664&amp;col=6&amp;number=3&amp;sourceID=14","3")</f>
        <v>3</v>
      </c>
      <c r="G7664" s="4" t="str">
        <f>HYPERLINK("http://141.218.60.56/~jnz1568/getInfo.php?workbook=18_08.xlsx&amp;sheet=U0&amp;row=7664&amp;col=7&amp;number=0.00344&amp;sourceID=14","0.00344")</f>
        <v>0.00344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HYPERLINK("http://141.218.60.56/~jnz1568/getInfo.php?workbook=18_08.xlsx&amp;sheet=U0&amp;row=7665&amp;col=6&amp;number=3.1&amp;sourceID=14","3.1")</f>
        <v>3.1</v>
      </c>
      <c r="G7665" s="4" t="str">
        <f>HYPERLINK("http://141.218.60.56/~jnz1568/getInfo.php?workbook=18_08.xlsx&amp;sheet=U0&amp;row=7665&amp;col=7&amp;number=0.00344&amp;sourceID=14","0.00344")</f>
        <v>0.00344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HYPERLINK("http://141.218.60.56/~jnz1568/getInfo.php?workbook=18_08.xlsx&amp;sheet=U0&amp;row=7666&amp;col=6&amp;number=3.2&amp;sourceID=14","3.2")</f>
        <v>3.2</v>
      </c>
      <c r="G7666" s="4" t="str">
        <f>HYPERLINK("http://141.218.60.56/~jnz1568/getInfo.php?workbook=18_08.xlsx&amp;sheet=U0&amp;row=7666&amp;col=7&amp;number=0.00344&amp;sourceID=14","0.00344")</f>
        <v>0.00344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HYPERLINK("http://141.218.60.56/~jnz1568/getInfo.php?workbook=18_08.xlsx&amp;sheet=U0&amp;row=7667&amp;col=6&amp;number=3.3&amp;sourceID=14","3.3")</f>
        <v>3.3</v>
      </c>
      <c r="G7667" s="4" t="str">
        <f>HYPERLINK("http://141.218.60.56/~jnz1568/getInfo.php?workbook=18_08.xlsx&amp;sheet=U0&amp;row=7667&amp;col=7&amp;number=0.00344&amp;sourceID=14","0.00344")</f>
        <v>0.00344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HYPERLINK("http://141.218.60.56/~jnz1568/getInfo.php?workbook=18_08.xlsx&amp;sheet=U0&amp;row=7668&amp;col=6&amp;number=3.4&amp;sourceID=14","3.4")</f>
        <v>3.4</v>
      </c>
      <c r="G7668" s="4" t="str">
        <f>HYPERLINK("http://141.218.60.56/~jnz1568/getInfo.php?workbook=18_08.xlsx&amp;sheet=U0&amp;row=7668&amp;col=7&amp;number=0.00344&amp;sourceID=14","0.00344")</f>
        <v>0.00344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HYPERLINK("http://141.218.60.56/~jnz1568/getInfo.php?workbook=18_08.xlsx&amp;sheet=U0&amp;row=7669&amp;col=6&amp;number=3.5&amp;sourceID=14","3.5")</f>
        <v>3.5</v>
      </c>
      <c r="G7669" s="4" t="str">
        <f>HYPERLINK("http://141.218.60.56/~jnz1568/getInfo.php?workbook=18_08.xlsx&amp;sheet=U0&amp;row=7669&amp;col=7&amp;number=0.00344&amp;sourceID=14","0.00344")</f>
        <v>0.00344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HYPERLINK("http://141.218.60.56/~jnz1568/getInfo.php?workbook=18_08.xlsx&amp;sheet=U0&amp;row=7670&amp;col=6&amp;number=3.6&amp;sourceID=14","3.6")</f>
        <v>3.6</v>
      </c>
      <c r="G7670" s="4" t="str">
        <f>HYPERLINK("http://141.218.60.56/~jnz1568/getInfo.php?workbook=18_08.xlsx&amp;sheet=U0&amp;row=7670&amp;col=7&amp;number=0.00344&amp;sourceID=14","0.00344")</f>
        <v>0.00344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HYPERLINK("http://141.218.60.56/~jnz1568/getInfo.php?workbook=18_08.xlsx&amp;sheet=U0&amp;row=7671&amp;col=6&amp;number=3.7&amp;sourceID=14","3.7")</f>
        <v>3.7</v>
      </c>
      <c r="G7671" s="4" t="str">
        <f>HYPERLINK("http://141.218.60.56/~jnz1568/getInfo.php?workbook=18_08.xlsx&amp;sheet=U0&amp;row=7671&amp;col=7&amp;number=0.00344&amp;sourceID=14","0.00344")</f>
        <v>0.00344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HYPERLINK("http://141.218.60.56/~jnz1568/getInfo.php?workbook=18_08.xlsx&amp;sheet=U0&amp;row=7672&amp;col=6&amp;number=3.8&amp;sourceID=14","3.8")</f>
        <v>3.8</v>
      </c>
      <c r="G7672" s="4" t="str">
        <f>HYPERLINK("http://141.218.60.56/~jnz1568/getInfo.php?workbook=18_08.xlsx&amp;sheet=U0&amp;row=7672&amp;col=7&amp;number=0.00344&amp;sourceID=14","0.00344")</f>
        <v>0.00344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HYPERLINK("http://141.218.60.56/~jnz1568/getInfo.php?workbook=18_08.xlsx&amp;sheet=U0&amp;row=7673&amp;col=6&amp;number=3.9&amp;sourceID=14","3.9")</f>
        <v>3.9</v>
      </c>
      <c r="G7673" s="4" t="str">
        <f>HYPERLINK("http://141.218.60.56/~jnz1568/getInfo.php?workbook=18_08.xlsx&amp;sheet=U0&amp;row=7673&amp;col=7&amp;number=0.00344&amp;sourceID=14","0.00344")</f>
        <v>0.00344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HYPERLINK("http://141.218.60.56/~jnz1568/getInfo.php?workbook=18_08.xlsx&amp;sheet=U0&amp;row=7674&amp;col=6&amp;number=4&amp;sourceID=14","4")</f>
        <v>4</v>
      </c>
      <c r="G7674" s="4" t="str">
        <f>HYPERLINK("http://141.218.60.56/~jnz1568/getInfo.php?workbook=18_08.xlsx&amp;sheet=U0&amp;row=7674&amp;col=7&amp;number=0.00345&amp;sourceID=14","0.00345")</f>
        <v>0.00345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HYPERLINK("http://141.218.60.56/~jnz1568/getInfo.php?workbook=18_08.xlsx&amp;sheet=U0&amp;row=7675&amp;col=6&amp;number=4.1&amp;sourceID=14","4.1")</f>
        <v>4.1</v>
      </c>
      <c r="G7675" s="4" t="str">
        <f>HYPERLINK("http://141.218.60.56/~jnz1568/getInfo.php?workbook=18_08.xlsx&amp;sheet=U0&amp;row=7675&amp;col=7&amp;number=0.00345&amp;sourceID=14","0.00345")</f>
        <v>0.00345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HYPERLINK("http://141.218.60.56/~jnz1568/getInfo.php?workbook=18_08.xlsx&amp;sheet=U0&amp;row=7676&amp;col=6&amp;number=4.2&amp;sourceID=14","4.2")</f>
        <v>4.2</v>
      </c>
      <c r="G7676" s="4" t="str">
        <f>HYPERLINK("http://141.218.60.56/~jnz1568/getInfo.php?workbook=18_08.xlsx&amp;sheet=U0&amp;row=7676&amp;col=7&amp;number=0.00345&amp;sourceID=14","0.00345")</f>
        <v>0.00345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HYPERLINK("http://141.218.60.56/~jnz1568/getInfo.php?workbook=18_08.xlsx&amp;sheet=U0&amp;row=7677&amp;col=6&amp;number=4.3&amp;sourceID=14","4.3")</f>
        <v>4.3</v>
      </c>
      <c r="G7677" s="4" t="str">
        <f>HYPERLINK("http://141.218.60.56/~jnz1568/getInfo.php?workbook=18_08.xlsx&amp;sheet=U0&amp;row=7677&amp;col=7&amp;number=0.00345&amp;sourceID=14","0.00345")</f>
        <v>0.00345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HYPERLINK("http://141.218.60.56/~jnz1568/getInfo.php?workbook=18_08.xlsx&amp;sheet=U0&amp;row=7678&amp;col=6&amp;number=4.4&amp;sourceID=14","4.4")</f>
        <v>4.4</v>
      </c>
      <c r="G7678" s="4" t="str">
        <f>HYPERLINK("http://141.218.60.56/~jnz1568/getInfo.php?workbook=18_08.xlsx&amp;sheet=U0&amp;row=7678&amp;col=7&amp;number=0.00346&amp;sourceID=14","0.00346")</f>
        <v>0.00346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HYPERLINK("http://141.218.60.56/~jnz1568/getInfo.php?workbook=18_08.xlsx&amp;sheet=U0&amp;row=7679&amp;col=6&amp;number=4.5&amp;sourceID=14","4.5")</f>
        <v>4.5</v>
      </c>
      <c r="G7679" s="4" t="str">
        <f>HYPERLINK("http://141.218.60.56/~jnz1568/getInfo.php?workbook=18_08.xlsx&amp;sheet=U0&amp;row=7679&amp;col=7&amp;number=0.00346&amp;sourceID=14","0.00346")</f>
        <v>0.00346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HYPERLINK("http://141.218.60.56/~jnz1568/getInfo.php?workbook=18_08.xlsx&amp;sheet=U0&amp;row=7680&amp;col=6&amp;number=4.6&amp;sourceID=14","4.6")</f>
        <v>4.6</v>
      </c>
      <c r="G7680" s="4" t="str">
        <f>HYPERLINK("http://141.218.60.56/~jnz1568/getInfo.php?workbook=18_08.xlsx&amp;sheet=U0&amp;row=7680&amp;col=7&amp;number=0.00347&amp;sourceID=14","0.00347")</f>
        <v>0.00347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HYPERLINK("http://141.218.60.56/~jnz1568/getInfo.php?workbook=18_08.xlsx&amp;sheet=U0&amp;row=7681&amp;col=6&amp;number=4.7&amp;sourceID=14","4.7")</f>
        <v>4.7</v>
      </c>
      <c r="G7681" s="4" t="str">
        <f>HYPERLINK("http://141.218.60.56/~jnz1568/getInfo.php?workbook=18_08.xlsx&amp;sheet=U0&amp;row=7681&amp;col=7&amp;number=0.00348&amp;sourceID=14","0.00348")</f>
        <v>0.00348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HYPERLINK("http://141.218.60.56/~jnz1568/getInfo.php?workbook=18_08.xlsx&amp;sheet=U0&amp;row=7682&amp;col=6&amp;number=4.8&amp;sourceID=14","4.8")</f>
        <v>4.8</v>
      </c>
      <c r="G7682" s="4" t="str">
        <f>HYPERLINK("http://141.218.60.56/~jnz1568/getInfo.php?workbook=18_08.xlsx&amp;sheet=U0&amp;row=7682&amp;col=7&amp;number=0.00349&amp;sourceID=14","0.00349")</f>
        <v>0.00349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HYPERLINK("http://141.218.60.56/~jnz1568/getInfo.php?workbook=18_08.xlsx&amp;sheet=U0&amp;row=7683&amp;col=6&amp;number=4.9&amp;sourceID=14","4.9")</f>
        <v>4.9</v>
      </c>
      <c r="G7683" s="4" t="str">
        <f>HYPERLINK("http://141.218.60.56/~jnz1568/getInfo.php?workbook=18_08.xlsx&amp;sheet=U0&amp;row=7683&amp;col=7&amp;number=0.0035&amp;sourceID=14","0.0035")</f>
        <v>0.0035</v>
      </c>
    </row>
    <row r="7684" spans="1:7">
      <c r="A7684" s="3">
        <v>18</v>
      </c>
      <c r="B7684" s="3">
        <v>8</v>
      </c>
      <c r="C7684" s="3" t="s">
        <v>82</v>
      </c>
      <c r="D7684" s="3">
        <v>6</v>
      </c>
      <c r="E7684" s="3">
        <v>1</v>
      </c>
      <c r="F7684" s="4" t="str">
        <f>HYPERLINK("http://141.218.60.56/~jnz1568/getInfo.php?workbook=18_08.xlsx&amp;sheet=U0&amp;row=7684&amp;col=6&amp;number=3&amp;sourceID=14","3")</f>
        <v>3</v>
      </c>
      <c r="G7684" s="4" t="str">
        <f>HYPERLINK("http://141.218.60.56/~jnz1568/getInfo.php?workbook=18_08.xlsx&amp;sheet=U0&amp;row=7684&amp;col=7&amp;number=0.000404&amp;sourceID=14","0.000404")</f>
        <v>0.000404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HYPERLINK("http://141.218.60.56/~jnz1568/getInfo.php?workbook=18_08.xlsx&amp;sheet=U0&amp;row=7685&amp;col=6&amp;number=3.1&amp;sourceID=14","3.1")</f>
        <v>3.1</v>
      </c>
      <c r="G7685" s="4" t="str">
        <f>HYPERLINK("http://141.218.60.56/~jnz1568/getInfo.php?workbook=18_08.xlsx&amp;sheet=U0&amp;row=7685&amp;col=7&amp;number=0.000404&amp;sourceID=14","0.000404")</f>
        <v>0.000404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HYPERLINK("http://141.218.60.56/~jnz1568/getInfo.php?workbook=18_08.xlsx&amp;sheet=U0&amp;row=7686&amp;col=6&amp;number=3.2&amp;sourceID=14","3.2")</f>
        <v>3.2</v>
      </c>
      <c r="G7686" s="4" t="str">
        <f>HYPERLINK("http://141.218.60.56/~jnz1568/getInfo.php?workbook=18_08.xlsx&amp;sheet=U0&amp;row=7686&amp;col=7&amp;number=0.000404&amp;sourceID=14","0.000404")</f>
        <v>0.000404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HYPERLINK("http://141.218.60.56/~jnz1568/getInfo.php?workbook=18_08.xlsx&amp;sheet=U0&amp;row=7687&amp;col=6&amp;number=3.3&amp;sourceID=14","3.3")</f>
        <v>3.3</v>
      </c>
      <c r="G7687" s="4" t="str">
        <f>HYPERLINK("http://141.218.60.56/~jnz1568/getInfo.php?workbook=18_08.xlsx&amp;sheet=U0&amp;row=7687&amp;col=7&amp;number=0.000404&amp;sourceID=14","0.000404")</f>
        <v>0.000404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HYPERLINK("http://141.218.60.56/~jnz1568/getInfo.php?workbook=18_08.xlsx&amp;sheet=U0&amp;row=7688&amp;col=6&amp;number=3.4&amp;sourceID=14","3.4")</f>
        <v>3.4</v>
      </c>
      <c r="G7688" s="4" t="str">
        <f>HYPERLINK("http://141.218.60.56/~jnz1568/getInfo.php?workbook=18_08.xlsx&amp;sheet=U0&amp;row=7688&amp;col=7&amp;number=0.000404&amp;sourceID=14","0.000404")</f>
        <v>0.000404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HYPERLINK("http://141.218.60.56/~jnz1568/getInfo.php?workbook=18_08.xlsx&amp;sheet=U0&amp;row=7689&amp;col=6&amp;number=3.5&amp;sourceID=14","3.5")</f>
        <v>3.5</v>
      </c>
      <c r="G7689" s="4" t="str">
        <f>HYPERLINK("http://141.218.60.56/~jnz1568/getInfo.php?workbook=18_08.xlsx&amp;sheet=U0&amp;row=7689&amp;col=7&amp;number=0.000404&amp;sourceID=14","0.000404")</f>
        <v>0.000404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HYPERLINK("http://141.218.60.56/~jnz1568/getInfo.php?workbook=18_08.xlsx&amp;sheet=U0&amp;row=7690&amp;col=6&amp;number=3.6&amp;sourceID=14","3.6")</f>
        <v>3.6</v>
      </c>
      <c r="G7690" s="4" t="str">
        <f>HYPERLINK("http://141.218.60.56/~jnz1568/getInfo.php?workbook=18_08.xlsx&amp;sheet=U0&amp;row=7690&amp;col=7&amp;number=0.000404&amp;sourceID=14","0.000404")</f>
        <v>0.000404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HYPERLINK("http://141.218.60.56/~jnz1568/getInfo.php?workbook=18_08.xlsx&amp;sheet=U0&amp;row=7691&amp;col=6&amp;number=3.7&amp;sourceID=14","3.7")</f>
        <v>3.7</v>
      </c>
      <c r="G7691" s="4" t="str">
        <f>HYPERLINK("http://141.218.60.56/~jnz1568/getInfo.php?workbook=18_08.xlsx&amp;sheet=U0&amp;row=7691&amp;col=7&amp;number=0.000403&amp;sourceID=14","0.000403")</f>
        <v>0.000403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HYPERLINK("http://141.218.60.56/~jnz1568/getInfo.php?workbook=18_08.xlsx&amp;sheet=U0&amp;row=7692&amp;col=6&amp;number=3.8&amp;sourceID=14","3.8")</f>
        <v>3.8</v>
      </c>
      <c r="G7692" s="4" t="str">
        <f>HYPERLINK("http://141.218.60.56/~jnz1568/getInfo.php?workbook=18_08.xlsx&amp;sheet=U0&amp;row=7692&amp;col=7&amp;number=0.000403&amp;sourceID=14","0.000403")</f>
        <v>0.000403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HYPERLINK("http://141.218.60.56/~jnz1568/getInfo.php?workbook=18_08.xlsx&amp;sheet=U0&amp;row=7693&amp;col=6&amp;number=3.9&amp;sourceID=14","3.9")</f>
        <v>3.9</v>
      </c>
      <c r="G7693" s="4" t="str">
        <f>HYPERLINK("http://141.218.60.56/~jnz1568/getInfo.php?workbook=18_08.xlsx&amp;sheet=U0&amp;row=7693&amp;col=7&amp;number=0.000403&amp;sourceID=14","0.000403")</f>
        <v>0.000403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HYPERLINK("http://141.218.60.56/~jnz1568/getInfo.php?workbook=18_08.xlsx&amp;sheet=U0&amp;row=7694&amp;col=6&amp;number=4&amp;sourceID=14","4")</f>
        <v>4</v>
      </c>
      <c r="G7694" s="4" t="str">
        <f>HYPERLINK("http://141.218.60.56/~jnz1568/getInfo.php?workbook=18_08.xlsx&amp;sheet=U0&amp;row=7694&amp;col=7&amp;number=0.000403&amp;sourceID=14","0.000403")</f>
        <v>0.000403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HYPERLINK("http://141.218.60.56/~jnz1568/getInfo.php?workbook=18_08.xlsx&amp;sheet=U0&amp;row=7695&amp;col=6&amp;number=4.1&amp;sourceID=14","4.1")</f>
        <v>4.1</v>
      </c>
      <c r="G7695" s="4" t="str">
        <f>HYPERLINK("http://141.218.60.56/~jnz1568/getInfo.php?workbook=18_08.xlsx&amp;sheet=U0&amp;row=7695&amp;col=7&amp;number=0.000402&amp;sourceID=14","0.000402")</f>
        <v>0.000402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HYPERLINK("http://141.218.60.56/~jnz1568/getInfo.php?workbook=18_08.xlsx&amp;sheet=U0&amp;row=7696&amp;col=6&amp;number=4.2&amp;sourceID=14","4.2")</f>
        <v>4.2</v>
      </c>
      <c r="G7696" s="4" t="str">
        <f>HYPERLINK("http://141.218.60.56/~jnz1568/getInfo.php?workbook=18_08.xlsx&amp;sheet=U0&amp;row=7696&amp;col=7&amp;number=0.000402&amp;sourceID=14","0.000402")</f>
        <v>0.000402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HYPERLINK("http://141.218.60.56/~jnz1568/getInfo.php?workbook=18_08.xlsx&amp;sheet=U0&amp;row=7697&amp;col=6&amp;number=4.3&amp;sourceID=14","4.3")</f>
        <v>4.3</v>
      </c>
      <c r="G7697" s="4" t="str">
        <f>HYPERLINK("http://141.218.60.56/~jnz1568/getInfo.php?workbook=18_08.xlsx&amp;sheet=U0&amp;row=7697&amp;col=7&amp;number=0.000401&amp;sourceID=14","0.000401")</f>
        <v>0.000401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HYPERLINK("http://141.218.60.56/~jnz1568/getInfo.php?workbook=18_08.xlsx&amp;sheet=U0&amp;row=7698&amp;col=6&amp;number=4.4&amp;sourceID=14","4.4")</f>
        <v>4.4</v>
      </c>
      <c r="G7698" s="4" t="str">
        <f>HYPERLINK("http://141.218.60.56/~jnz1568/getInfo.php?workbook=18_08.xlsx&amp;sheet=U0&amp;row=7698&amp;col=7&amp;number=0.0004&amp;sourceID=14","0.0004")</f>
        <v>0.0004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HYPERLINK("http://141.218.60.56/~jnz1568/getInfo.php?workbook=18_08.xlsx&amp;sheet=U0&amp;row=7699&amp;col=6&amp;number=4.5&amp;sourceID=14","4.5")</f>
        <v>4.5</v>
      </c>
      <c r="G7699" s="4" t="str">
        <f>HYPERLINK("http://141.218.60.56/~jnz1568/getInfo.php?workbook=18_08.xlsx&amp;sheet=U0&amp;row=7699&amp;col=7&amp;number=0.000399&amp;sourceID=14","0.000399")</f>
        <v>0.000399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HYPERLINK("http://141.218.60.56/~jnz1568/getInfo.php?workbook=18_08.xlsx&amp;sheet=U0&amp;row=7700&amp;col=6&amp;number=4.6&amp;sourceID=14","4.6")</f>
        <v>4.6</v>
      </c>
      <c r="G7700" s="4" t="str">
        <f>HYPERLINK("http://141.218.60.56/~jnz1568/getInfo.php?workbook=18_08.xlsx&amp;sheet=U0&amp;row=7700&amp;col=7&amp;number=0.000398&amp;sourceID=14","0.000398")</f>
        <v>0.000398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HYPERLINK("http://141.218.60.56/~jnz1568/getInfo.php?workbook=18_08.xlsx&amp;sheet=U0&amp;row=7701&amp;col=6&amp;number=4.7&amp;sourceID=14","4.7")</f>
        <v>4.7</v>
      </c>
      <c r="G7701" s="4" t="str">
        <f>HYPERLINK("http://141.218.60.56/~jnz1568/getInfo.php?workbook=18_08.xlsx&amp;sheet=U0&amp;row=7701&amp;col=7&amp;number=0.000397&amp;sourceID=14","0.000397")</f>
        <v>0.000397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HYPERLINK("http://141.218.60.56/~jnz1568/getInfo.php?workbook=18_08.xlsx&amp;sheet=U0&amp;row=7702&amp;col=6&amp;number=4.8&amp;sourceID=14","4.8")</f>
        <v>4.8</v>
      </c>
      <c r="G7702" s="4" t="str">
        <f>HYPERLINK("http://141.218.60.56/~jnz1568/getInfo.php?workbook=18_08.xlsx&amp;sheet=U0&amp;row=7702&amp;col=7&amp;number=0.000395&amp;sourceID=14","0.000395")</f>
        <v>0.000395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HYPERLINK("http://141.218.60.56/~jnz1568/getInfo.php?workbook=18_08.xlsx&amp;sheet=U0&amp;row=7703&amp;col=6&amp;number=4.9&amp;sourceID=14","4.9")</f>
        <v>4.9</v>
      </c>
      <c r="G7703" s="4" t="str">
        <f>HYPERLINK("http://141.218.60.56/~jnz1568/getInfo.php?workbook=18_08.xlsx&amp;sheet=U0&amp;row=7703&amp;col=7&amp;number=0.000393&amp;sourceID=14","0.000393")</f>
        <v>0.000393</v>
      </c>
    </row>
    <row r="7704" spans="1:7">
      <c r="A7704" s="3">
        <v>18</v>
      </c>
      <c r="B7704" s="3">
        <v>8</v>
      </c>
      <c r="C7704" s="3" t="s">
        <v>82</v>
      </c>
      <c r="D7704" s="3">
        <v>7</v>
      </c>
      <c r="E7704" s="3">
        <v>1</v>
      </c>
      <c r="F7704" s="4" t="str">
        <f>HYPERLINK("http://141.218.60.56/~jnz1568/getInfo.php?workbook=18_08.xlsx&amp;sheet=U0&amp;row=7704&amp;col=6&amp;number=3&amp;sourceID=14","3")</f>
        <v>3</v>
      </c>
      <c r="G7704" s="4" t="str">
        <f>HYPERLINK("http://141.218.60.56/~jnz1568/getInfo.php?workbook=18_08.xlsx&amp;sheet=U0&amp;row=7704&amp;col=7&amp;number=0.000529&amp;sourceID=14","0.000529")</f>
        <v>0.000529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HYPERLINK("http://141.218.60.56/~jnz1568/getInfo.php?workbook=18_08.xlsx&amp;sheet=U0&amp;row=7705&amp;col=6&amp;number=3.1&amp;sourceID=14","3.1")</f>
        <v>3.1</v>
      </c>
      <c r="G7705" s="4" t="str">
        <f>HYPERLINK("http://141.218.60.56/~jnz1568/getInfo.php?workbook=18_08.xlsx&amp;sheet=U0&amp;row=7705&amp;col=7&amp;number=0.000528&amp;sourceID=14","0.000528")</f>
        <v>0.000528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HYPERLINK("http://141.218.60.56/~jnz1568/getInfo.php?workbook=18_08.xlsx&amp;sheet=U0&amp;row=7706&amp;col=6&amp;number=3.2&amp;sourceID=14","3.2")</f>
        <v>3.2</v>
      </c>
      <c r="G7706" s="4" t="str">
        <f>HYPERLINK("http://141.218.60.56/~jnz1568/getInfo.php?workbook=18_08.xlsx&amp;sheet=U0&amp;row=7706&amp;col=7&amp;number=0.000528&amp;sourceID=14","0.000528")</f>
        <v>0.000528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HYPERLINK("http://141.218.60.56/~jnz1568/getInfo.php?workbook=18_08.xlsx&amp;sheet=U0&amp;row=7707&amp;col=6&amp;number=3.3&amp;sourceID=14","3.3")</f>
        <v>3.3</v>
      </c>
      <c r="G7707" s="4" t="str">
        <f>HYPERLINK("http://141.218.60.56/~jnz1568/getInfo.php?workbook=18_08.xlsx&amp;sheet=U0&amp;row=7707&amp;col=7&amp;number=0.000528&amp;sourceID=14","0.000528")</f>
        <v>0.000528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HYPERLINK("http://141.218.60.56/~jnz1568/getInfo.php?workbook=18_08.xlsx&amp;sheet=U0&amp;row=7708&amp;col=6&amp;number=3.4&amp;sourceID=14","3.4")</f>
        <v>3.4</v>
      </c>
      <c r="G7708" s="4" t="str">
        <f>HYPERLINK("http://141.218.60.56/~jnz1568/getInfo.php?workbook=18_08.xlsx&amp;sheet=U0&amp;row=7708&amp;col=7&amp;number=0.000528&amp;sourceID=14","0.000528")</f>
        <v>0.000528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HYPERLINK("http://141.218.60.56/~jnz1568/getInfo.php?workbook=18_08.xlsx&amp;sheet=U0&amp;row=7709&amp;col=6&amp;number=3.5&amp;sourceID=14","3.5")</f>
        <v>3.5</v>
      </c>
      <c r="G7709" s="4" t="str">
        <f>HYPERLINK("http://141.218.60.56/~jnz1568/getInfo.php?workbook=18_08.xlsx&amp;sheet=U0&amp;row=7709&amp;col=7&amp;number=0.000528&amp;sourceID=14","0.000528")</f>
        <v>0.000528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HYPERLINK("http://141.218.60.56/~jnz1568/getInfo.php?workbook=18_08.xlsx&amp;sheet=U0&amp;row=7710&amp;col=6&amp;number=3.6&amp;sourceID=14","3.6")</f>
        <v>3.6</v>
      </c>
      <c r="G7710" s="4" t="str">
        <f>HYPERLINK("http://141.218.60.56/~jnz1568/getInfo.php?workbook=18_08.xlsx&amp;sheet=U0&amp;row=7710&amp;col=7&amp;number=0.000528&amp;sourceID=14","0.000528")</f>
        <v>0.000528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HYPERLINK("http://141.218.60.56/~jnz1568/getInfo.php?workbook=18_08.xlsx&amp;sheet=U0&amp;row=7711&amp;col=6&amp;number=3.7&amp;sourceID=14","3.7")</f>
        <v>3.7</v>
      </c>
      <c r="G7711" s="4" t="str">
        <f>HYPERLINK("http://141.218.60.56/~jnz1568/getInfo.php?workbook=18_08.xlsx&amp;sheet=U0&amp;row=7711&amp;col=7&amp;number=0.000528&amp;sourceID=14","0.000528")</f>
        <v>0.000528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HYPERLINK("http://141.218.60.56/~jnz1568/getInfo.php?workbook=18_08.xlsx&amp;sheet=U0&amp;row=7712&amp;col=6&amp;number=3.8&amp;sourceID=14","3.8")</f>
        <v>3.8</v>
      </c>
      <c r="G7712" s="4" t="str">
        <f>HYPERLINK("http://141.218.60.56/~jnz1568/getInfo.php?workbook=18_08.xlsx&amp;sheet=U0&amp;row=7712&amp;col=7&amp;number=0.000528&amp;sourceID=14","0.000528")</f>
        <v>0.000528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HYPERLINK("http://141.218.60.56/~jnz1568/getInfo.php?workbook=18_08.xlsx&amp;sheet=U0&amp;row=7713&amp;col=6&amp;number=3.9&amp;sourceID=14","3.9")</f>
        <v>3.9</v>
      </c>
      <c r="G7713" s="4" t="str">
        <f>HYPERLINK("http://141.218.60.56/~jnz1568/getInfo.php?workbook=18_08.xlsx&amp;sheet=U0&amp;row=7713&amp;col=7&amp;number=0.000527&amp;sourceID=14","0.000527")</f>
        <v>0.000527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HYPERLINK("http://141.218.60.56/~jnz1568/getInfo.php?workbook=18_08.xlsx&amp;sheet=U0&amp;row=7714&amp;col=6&amp;number=4&amp;sourceID=14","4")</f>
        <v>4</v>
      </c>
      <c r="G7714" s="4" t="str">
        <f>HYPERLINK("http://141.218.60.56/~jnz1568/getInfo.php?workbook=18_08.xlsx&amp;sheet=U0&amp;row=7714&amp;col=7&amp;number=0.000527&amp;sourceID=14","0.000527")</f>
        <v>0.000527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HYPERLINK("http://141.218.60.56/~jnz1568/getInfo.php?workbook=18_08.xlsx&amp;sheet=U0&amp;row=7715&amp;col=6&amp;number=4.1&amp;sourceID=14","4.1")</f>
        <v>4.1</v>
      </c>
      <c r="G7715" s="4" t="str">
        <f>HYPERLINK("http://141.218.60.56/~jnz1568/getInfo.php?workbook=18_08.xlsx&amp;sheet=U0&amp;row=7715&amp;col=7&amp;number=0.000526&amp;sourceID=14","0.000526")</f>
        <v>0.000526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HYPERLINK("http://141.218.60.56/~jnz1568/getInfo.php?workbook=18_08.xlsx&amp;sheet=U0&amp;row=7716&amp;col=6&amp;number=4.2&amp;sourceID=14","4.2")</f>
        <v>4.2</v>
      </c>
      <c r="G7716" s="4" t="str">
        <f>HYPERLINK("http://141.218.60.56/~jnz1568/getInfo.php?workbook=18_08.xlsx&amp;sheet=U0&amp;row=7716&amp;col=7&amp;number=0.000526&amp;sourceID=14","0.000526")</f>
        <v>0.000526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HYPERLINK("http://141.218.60.56/~jnz1568/getInfo.php?workbook=18_08.xlsx&amp;sheet=U0&amp;row=7717&amp;col=6&amp;number=4.3&amp;sourceID=14","4.3")</f>
        <v>4.3</v>
      </c>
      <c r="G7717" s="4" t="str">
        <f>HYPERLINK("http://141.218.60.56/~jnz1568/getInfo.php?workbook=18_08.xlsx&amp;sheet=U0&amp;row=7717&amp;col=7&amp;number=0.000525&amp;sourceID=14","0.000525")</f>
        <v>0.000525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HYPERLINK("http://141.218.60.56/~jnz1568/getInfo.php?workbook=18_08.xlsx&amp;sheet=U0&amp;row=7718&amp;col=6&amp;number=4.4&amp;sourceID=14","4.4")</f>
        <v>4.4</v>
      </c>
      <c r="G7718" s="4" t="str">
        <f>HYPERLINK("http://141.218.60.56/~jnz1568/getInfo.php?workbook=18_08.xlsx&amp;sheet=U0&amp;row=7718&amp;col=7&amp;number=0.000524&amp;sourceID=14","0.000524")</f>
        <v>0.000524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HYPERLINK("http://141.218.60.56/~jnz1568/getInfo.php?workbook=18_08.xlsx&amp;sheet=U0&amp;row=7719&amp;col=6&amp;number=4.5&amp;sourceID=14","4.5")</f>
        <v>4.5</v>
      </c>
      <c r="G7719" s="4" t="str">
        <f>HYPERLINK("http://141.218.60.56/~jnz1568/getInfo.php?workbook=18_08.xlsx&amp;sheet=U0&amp;row=7719&amp;col=7&amp;number=0.000523&amp;sourceID=14","0.000523")</f>
        <v>0.000523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HYPERLINK("http://141.218.60.56/~jnz1568/getInfo.php?workbook=18_08.xlsx&amp;sheet=U0&amp;row=7720&amp;col=6&amp;number=4.6&amp;sourceID=14","4.6")</f>
        <v>4.6</v>
      </c>
      <c r="G7720" s="4" t="str">
        <f>HYPERLINK("http://141.218.60.56/~jnz1568/getInfo.php?workbook=18_08.xlsx&amp;sheet=U0&amp;row=7720&amp;col=7&amp;number=0.000521&amp;sourceID=14","0.000521")</f>
        <v>0.000521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HYPERLINK("http://141.218.60.56/~jnz1568/getInfo.php?workbook=18_08.xlsx&amp;sheet=U0&amp;row=7721&amp;col=6&amp;number=4.7&amp;sourceID=14","4.7")</f>
        <v>4.7</v>
      </c>
      <c r="G7721" s="4" t="str">
        <f>HYPERLINK("http://141.218.60.56/~jnz1568/getInfo.php?workbook=18_08.xlsx&amp;sheet=U0&amp;row=7721&amp;col=7&amp;number=0.000519&amp;sourceID=14","0.000519")</f>
        <v>0.000519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HYPERLINK("http://141.218.60.56/~jnz1568/getInfo.php?workbook=18_08.xlsx&amp;sheet=U0&amp;row=7722&amp;col=6&amp;number=4.8&amp;sourceID=14","4.8")</f>
        <v>4.8</v>
      </c>
      <c r="G7722" s="4" t="str">
        <f>HYPERLINK("http://141.218.60.56/~jnz1568/getInfo.php?workbook=18_08.xlsx&amp;sheet=U0&amp;row=7722&amp;col=7&amp;number=0.000517&amp;sourceID=14","0.000517")</f>
        <v>0.000517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HYPERLINK("http://141.218.60.56/~jnz1568/getInfo.php?workbook=18_08.xlsx&amp;sheet=U0&amp;row=7723&amp;col=6&amp;number=4.9&amp;sourceID=14","4.9")</f>
        <v>4.9</v>
      </c>
      <c r="G7723" s="4" t="str">
        <f>HYPERLINK("http://141.218.60.56/~jnz1568/getInfo.php?workbook=18_08.xlsx&amp;sheet=U0&amp;row=7723&amp;col=7&amp;number=0.000514&amp;sourceID=14","0.000514")</f>
        <v>0.000514</v>
      </c>
    </row>
    <row r="7724" spans="1:7">
      <c r="A7724" s="3">
        <v>18</v>
      </c>
      <c r="B7724" s="3">
        <v>8</v>
      </c>
      <c r="C7724" s="3" t="s">
        <v>82</v>
      </c>
      <c r="D7724" s="3">
        <v>8</v>
      </c>
      <c r="E7724" s="3">
        <v>1</v>
      </c>
      <c r="F7724" s="4" t="str">
        <f>HYPERLINK("http://141.218.60.56/~jnz1568/getInfo.php?workbook=18_08.xlsx&amp;sheet=U0&amp;row=7724&amp;col=6&amp;number=3&amp;sourceID=14","3")</f>
        <v>3</v>
      </c>
      <c r="G7724" s="4" t="str">
        <f>HYPERLINK("http://141.218.60.56/~jnz1568/getInfo.php?workbook=18_08.xlsx&amp;sheet=U0&amp;row=7724&amp;col=7&amp;number=9.04e-06&amp;sourceID=14","9.04e-06")</f>
        <v>9.04e-06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HYPERLINK("http://141.218.60.56/~jnz1568/getInfo.php?workbook=18_08.xlsx&amp;sheet=U0&amp;row=7725&amp;col=6&amp;number=3.1&amp;sourceID=14","3.1")</f>
        <v>3.1</v>
      </c>
      <c r="G7725" s="4" t="str">
        <f>HYPERLINK("http://141.218.60.56/~jnz1568/getInfo.php?workbook=18_08.xlsx&amp;sheet=U0&amp;row=7725&amp;col=7&amp;number=9.04e-06&amp;sourceID=14","9.04e-06")</f>
        <v>9.04e-06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HYPERLINK("http://141.218.60.56/~jnz1568/getInfo.php?workbook=18_08.xlsx&amp;sheet=U0&amp;row=7726&amp;col=6&amp;number=3.2&amp;sourceID=14","3.2")</f>
        <v>3.2</v>
      </c>
      <c r="G7726" s="4" t="str">
        <f>HYPERLINK("http://141.218.60.56/~jnz1568/getInfo.php?workbook=18_08.xlsx&amp;sheet=U0&amp;row=7726&amp;col=7&amp;number=9.04e-06&amp;sourceID=14","9.04e-06")</f>
        <v>9.04e-06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HYPERLINK("http://141.218.60.56/~jnz1568/getInfo.php?workbook=18_08.xlsx&amp;sheet=U0&amp;row=7727&amp;col=6&amp;number=3.3&amp;sourceID=14","3.3")</f>
        <v>3.3</v>
      </c>
      <c r="G7727" s="4" t="str">
        <f>HYPERLINK("http://141.218.60.56/~jnz1568/getInfo.php?workbook=18_08.xlsx&amp;sheet=U0&amp;row=7727&amp;col=7&amp;number=9.04e-06&amp;sourceID=14","9.04e-06")</f>
        <v>9.04e-06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HYPERLINK("http://141.218.60.56/~jnz1568/getInfo.php?workbook=18_08.xlsx&amp;sheet=U0&amp;row=7728&amp;col=6&amp;number=3.4&amp;sourceID=14","3.4")</f>
        <v>3.4</v>
      </c>
      <c r="G7728" s="4" t="str">
        <f>HYPERLINK("http://141.218.60.56/~jnz1568/getInfo.php?workbook=18_08.xlsx&amp;sheet=U0&amp;row=7728&amp;col=7&amp;number=9.03e-06&amp;sourceID=14","9.03e-06")</f>
        <v>9.03e-06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HYPERLINK("http://141.218.60.56/~jnz1568/getInfo.php?workbook=18_08.xlsx&amp;sheet=U0&amp;row=7729&amp;col=6&amp;number=3.5&amp;sourceID=14","3.5")</f>
        <v>3.5</v>
      </c>
      <c r="G7729" s="4" t="str">
        <f>HYPERLINK("http://141.218.60.56/~jnz1568/getInfo.php?workbook=18_08.xlsx&amp;sheet=U0&amp;row=7729&amp;col=7&amp;number=9.03e-06&amp;sourceID=14","9.03e-06")</f>
        <v>9.03e-06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HYPERLINK("http://141.218.60.56/~jnz1568/getInfo.php?workbook=18_08.xlsx&amp;sheet=U0&amp;row=7730&amp;col=6&amp;number=3.6&amp;sourceID=14","3.6")</f>
        <v>3.6</v>
      </c>
      <c r="G7730" s="4" t="str">
        <f>HYPERLINK("http://141.218.60.56/~jnz1568/getInfo.php?workbook=18_08.xlsx&amp;sheet=U0&amp;row=7730&amp;col=7&amp;number=9.03e-06&amp;sourceID=14","9.03e-06")</f>
        <v>9.03e-06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HYPERLINK("http://141.218.60.56/~jnz1568/getInfo.php?workbook=18_08.xlsx&amp;sheet=U0&amp;row=7731&amp;col=6&amp;number=3.7&amp;sourceID=14","3.7")</f>
        <v>3.7</v>
      </c>
      <c r="G7731" s="4" t="str">
        <f>HYPERLINK("http://141.218.60.56/~jnz1568/getInfo.php?workbook=18_08.xlsx&amp;sheet=U0&amp;row=7731&amp;col=7&amp;number=9.03e-06&amp;sourceID=14","9.03e-06")</f>
        <v>9.03e-06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HYPERLINK("http://141.218.60.56/~jnz1568/getInfo.php?workbook=18_08.xlsx&amp;sheet=U0&amp;row=7732&amp;col=6&amp;number=3.8&amp;sourceID=14","3.8")</f>
        <v>3.8</v>
      </c>
      <c r="G7732" s="4" t="str">
        <f>HYPERLINK("http://141.218.60.56/~jnz1568/getInfo.php?workbook=18_08.xlsx&amp;sheet=U0&amp;row=7732&amp;col=7&amp;number=9.03e-06&amp;sourceID=14","9.03e-06")</f>
        <v>9.03e-06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HYPERLINK("http://141.218.60.56/~jnz1568/getInfo.php?workbook=18_08.xlsx&amp;sheet=U0&amp;row=7733&amp;col=6&amp;number=3.9&amp;sourceID=14","3.9")</f>
        <v>3.9</v>
      </c>
      <c r="G7733" s="4" t="str">
        <f>HYPERLINK("http://141.218.60.56/~jnz1568/getInfo.php?workbook=18_08.xlsx&amp;sheet=U0&amp;row=7733&amp;col=7&amp;number=9.02e-06&amp;sourceID=14","9.02e-06")</f>
        <v>9.02e-06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HYPERLINK("http://141.218.60.56/~jnz1568/getInfo.php?workbook=18_08.xlsx&amp;sheet=U0&amp;row=7734&amp;col=6&amp;number=4&amp;sourceID=14","4")</f>
        <v>4</v>
      </c>
      <c r="G7734" s="4" t="str">
        <f>HYPERLINK("http://141.218.60.56/~jnz1568/getInfo.php?workbook=18_08.xlsx&amp;sheet=U0&amp;row=7734&amp;col=7&amp;number=9.02e-06&amp;sourceID=14","9.02e-06")</f>
        <v>9.02e-06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HYPERLINK("http://141.218.60.56/~jnz1568/getInfo.php?workbook=18_08.xlsx&amp;sheet=U0&amp;row=7735&amp;col=6&amp;number=4.1&amp;sourceID=14","4.1")</f>
        <v>4.1</v>
      </c>
      <c r="G7735" s="4" t="str">
        <f>HYPERLINK("http://141.218.60.56/~jnz1568/getInfo.php?workbook=18_08.xlsx&amp;sheet=U0&amp;row=7735&amp;col=7&amp;number=9.01e-06&amp;sourceID=14","9.01e-06")</f>
        <v>9.01e-06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HYPERLINK("http://141.218.60.56/~jnz1568/getInfo.php?workbook=18_08.xlsx&amp;sheet=U0&amp;row=7736&amp;col=6&amp;number=4.2&amp;sourceID=14","4.2")</f>
        <v>4.2</v>
      </c>
      <c r="G7736" s="4" t="str">
        <f>HYPERLINK("http://141.218.60.56/~jnz1568/getInfo.php?workbook=18_08.xlsx&amp;sheet=U0&amp;row=7736&amp;col=7&amp;number=9.01e-06&amp;sourceID=14","9.01e-06")</f>
        <v>9.01e-06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HYPERLINK("http://141.218.60.56/~jnz1568/getInfo.php?workbook=18_08.xlsx&amp;sheet=U0&amp;row=7737&amp;col=6&amp;number=4.3&amp;sourceID=14","4.3")</f>
        <v>4.3</v>
      </c>
      <c r="G7737" s="4" t="str">
        <f>HYPERLINK("http://141.218.60.56/~jnz1568/getInfo.php?workbook=18_08.xlsx&amp;sheet=U0&amp;row=7737&amp;col=7&amp;number=9e-06&amp;sourceID=14","9e-06")</f>
        <v>9e-06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HYPERLINK("http://141.218.60.56/~jnz1568/getInfo.php?workbook=18_08.xlsx&amp;sheet=U0&amp;row=7738&amp;col=6&amp;number=4.4&amp;sourceID=14","4.4")</f>
        <v>4.4</v>
      </c>
      <c r="G7738" s="4" t="str">
        <f>HYPERLINK("http://141.218.60.56/~jnz1568/getInfo.php?workbook=18_08.xlsx&amp;sheet=U0&amp;row=7738&amp;col=7&amp;number=8.99e-06&amp;sourceID=14","8.99e-06")</f>
        <v>8.99e-06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HYPERLINK("http://141.218.60.56/~jnz1568/getInfo.php?workbook=18_08.xlsx&amp;sheet=U0&amp;row=7739&amp;col=6&amp;number=4.5&amp;sourceID=14","4.5")</f>
        <v>4.5</v>
      </c>
      <c r="G7739" s="4" t="str">
        <f>HYPERLINK("http://141.218.60.56/~jnz1568/getInfo.php?workbook=18_08.xlsx&amp;sheet=U0&amp;row=7739&amp;col=7&amp;number=8.98e-06&amp;sourceID=14","8.98e-06")</f>
        <v>8.98e-06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HYPERLINK("http://141.218.60.56/~jnz1568/getInfo.php?workbook=18_08.xlsx&amp;sheet=U0&amp;row=7740&amp;col=6&amp;number=4.6&amp;sourceID=14","4.6")</f>
        <v>4.6</v>
      </c>
      <c r="G7740" s="4" t="str">
        <f>HYPERLINK("http://141.218.60.56/~jnz1568/getInfo.php?workbook=18_08.xlsx&amp;sheet=U0&amp;row=7740&amp;col=7&amp;number=8.96e-06&amp;sourceID=14","8.96e-06")</f>
        <v>8.96e-06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HYPERLINK("http://141.218.60.56/~jnz1568/getInfo.php?workbook=18_08.xlsx&amp;sheet=U0&amp;row=7741&amp;col=6&amp;number=4.7&amp;sourceID=14","4.7")</f>
        <v>4.7</v>
      </c>
      <c r="G7741" s="4" t="str">
        <f>HYPERLINK("http://141.218.60.56/~jnz1568/getInfo.php?workbook=18_08.xlsx&amp;sheet=U0&amp;row=7741&amp;col=7&amp;number=8.94e-06&amp;sourceID=14","8.94e-06")</f>
        <v>8.94e-06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HYPERLINK("http://141.218.60.56/~jnz1568/getInfo.php?workbook=18_08.xlsx&amp;sheet=U0&amp;row=7742&amp;col=6&amp;number=4.8&amp;sourceID=14","4.8")</f>
        <v>4.8</v>
      </c>
      <c r="G7742" s="4" t="str">
        <f>HYPERLINK("http://141.218.60.56/~jnz1568/getInfo.php?workbook=18_08.xlsx&amp;sheet=U0&amp;row=7742&amp;col=7&amp;number=8.92e-06&amp;sourceID=14","8.92e-06")</f>
        <v>8.92e-06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HYPERLINK("http://141.218.60.56/~jnz1568/getInfo.php?workbook=18_08.xlsx&amp;sheet=U0&amp;row=7743&amp;col=6&amp;number=4.9&amp;sourceID=14","4.9")</f>
        <v>4.9</v>
      </c>
      <c r="G7743" s="4" t="str">
        <f>HYPERLINK("http://141.218.60.56/~jnz1568/getInfo.php?workbook=18_08.xlsx&amp;sheet=U0&amp;row=7743&amp;col=7&amp;number=8.88e-06&amp;sourceID=14","8.88e-06")</f>
        <v>8.88e-06</v>
      </c>
    </row>
    <row r="7744" spans="1:7">
      <c r="A7744" s="3">
        <v>18</v>
      </c>
      <c r="B7744" s="3">
        <v>8</v>
      </c>
      <c r="C7744" s="3" t="s">
        <v>82</v>
      </c>
      <c r="D7744" s="3">
        <v>9</v>
      </c>
      <c r="E7744" s="3">
        <v>1</v>
      </c>
      <c r="F7744" s="4" t="str">
        <f>HYPERLINK("http://141.218.60.56/~jnz1568/getInfo.php?workbook=18_08.xlsx&amp;sheet=U0&amp;row=7744&amp;col=6&amp;number=3&amp;sourceID=14","3")</f>
        <v>3</v>
      </c>
      <c r="G7744" s="4" t="str">
        <f>HYPERLINK("http://141.218.60.56/~jnz1568/getInfo.php?workbook=18_08.xlsx&amp;sheet=U0&amp;row=7744&amp;col=7&amp;number=0.000636&amp;sourceID=14","0.000636")</f>
        <v>0.000636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HYPERLINK("http://141.218.60.56/~jnz1568/getInfo.php?workbook=18_08.xlsx&amp;sheet=U0&amp;row=7745&amp;col=6&amp;number=3.1&amp;sourceID=14","3.1")</f>
        <v>3.1</v>
      </c>
      <c r="G7745" s="4" t="str">
        <f>HYPERLINK("http://141.218.60.56/~jnz1568/getInfo.php?workbook=18_08.xlsx&amp;sheet=U0&amp;row=7745&amp;col=7&amp;number=0.000636&amp;sourceID=14","0.000636")</f>
        <v>0.000636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HYPERLINK("http://141.218.60.56/~jnz1568/getInfo.php?workbook=18_08.xlsx&amp;sheet=U0&amp;row=7746&amp;col=6&amp;number=3.2&amp;sourceID=14","3.2")</f>
        <v>3.2</v>
      </c>
      <c r="G7746" s="4" t="str">
        <f>HYPERLINK("http://141.218.60.56/~jnz1568/getInfo.php?workbook=18_08.xlsx&amp;sheet=U0&amp;row=7746&amp;col=7&amp;number=0.000636&amp;sourceID=14","0.000636")</f>
        <v>0.000636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HYPERLINK("http://141.218.60.56/~jnz1568/getInfo.php?workbook=18_08.xlsx&amp;sheet=U0&amp;row=7747&amp;col=6&amp;number=3.3&amp;sourceID=14","3.3")</f>
        <v>3.3</v>
      </c>
      <c r="G7747" s="4" t="str">
        <f>HYPERLINK("http://141.218.60.56/~jnz1568/getInfo.php?workbook=18_08.xlsx&amp;sheet=U0&amp;row=7747&amp;col=7&amp;number=0.000636&amp;sourceID=14","0.000636")</f>
        <v>0.000636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HYPERLINK("http://141.218.60.56/~jnz1568/getInfo.php?workbook=18_08.xlsx&amp;sheet=U0&amp;row=7748&amp;col=6&amp;number=3.4&amp;sourceID=14","3.4")</f>
        <v>3.4</v>
      </c>
      <c r="G7748" s="4" t="str">
        <f>HYPERLINK("http://141.218.60.56/~jnz1568/getInfo.php?workbook=18_08.xlsx&amp;sheet=U0&amp;row=7748&amp;col=7&amp;number=0.000636&amp;sourceID=14","0.000636")</f>
        <v>0.000636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HYPERLINK("http://141.218.60.56/~jnz1568/getInfo.php?workbook=18_08.xlsx&amp;sheet=U0&amp;row=7749&amp;col=6&amp;number=3.5&amp;sourceID=14","3.5")</f>
        <v>3.5</v>
      </c>
      <c r="G7749" s="4" t="str">
        <f>HYPERLINK("http://141.218.60.56/~jnz1568/getInfo.php?workbook=18_08.xlsx&amp;sheet=U0&amp;row=7749&amp;col=7&amp;number=0.000636&amp;sourceID=14","0.000636")</f>
        <v>0.000636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HYPERLINK("http://141.218.60.56/~jnz1568/getInfo.php?workbook=18_08.xlsx&amp;sheet=U0&amp;row=7750&amp;col=6&amp;number=3.6&amp;sourceID=14","3.6")</f>
        <v>3.6</v>
      </c>
      <c r="G7750" s="4" t="str">
        <f>HYPERLINK("http://141.218.60.56/~jnz1568/getInfo.php?workbook=18_08.xlsx&amp;sheet=U0&amp;row=7750&amp;col=7&amp;number=0.000636&amp;sourceID=14","0.000636")</f>
        <v>0.000636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HYPERLINK("http://141.218.60.56/~jnz1568/getInfo.php?workbook=18_08.xlsx&amp;sheet=U0&amp;row=7751&amp;col=6&amp;number=3.7&amp;sourceID=14","3.7")</f>
        <v>3.7</v>
      </c>
      <c r="G7751" s="4" t="str">
        <f>HYPERLINK("http://141.218.60.56/~jnz1568/getInfo.php?workbook=18_08.xlsx&amp;sheet=U0&amp;row=7751&amp;col=7&amp;number=0.000635&amp;sourceID=14","0.000635")</f>
        <v>0.000635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HYPERLINK("http://141.218.60.56/~jnz1568/getInfo.php?workbook=18_08.xlsx&amp;sheet=U0&amp;row=7752&amp;col=6&amp;number=3.8&amp;sourceID=14","3.8")</f>
        <v>3.8</v>
      </c>
      <c r="G7752" s="4" t="str">
        <f>HYPERLINK("http://141.218.60.56/~jnz1568/getInfo.php?workbook=18_08.xlsx&amp;sheet=U0&amp;row=7752&amp;col=7&amp;number=0.000635&amp;sourceID=14","0.000635")</f>
        <v>0.000635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HYPERLINK("http://141.218.60.56/~jnz1568/getInfo.php?workbook=18_08.xlsx&amp;sheet=U0&amp;row=7753&amp;col=6&amp;number=3.9&amp;sourceID=14","3.9")</f>
        <v>3.9</v>
      </c>
      <c r="G7753" s="4" t="str">
        <f>HYPERLINK("http://141.218.60.56/~jnz1568/getInfo.php?workbook=18_08.xlsx&amp;sheet=U0&amp;row=7753&amp;col=7&amp;number=0.000635&amp;sourceID=14","0.000635")</f>
        <v>0.000635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HYPERLINK("http://141.218.60.56/~jnz1568/getInfo.php?workbook=18_08.xlsx&amp;sheet=U0&amp;row=7754&amp;col=6&amp;number=4&amp;sourceID=14","4")</f>
        <v>4</v>
      </c>
      <c r="G7754" s="4" t="str">
        <f>HYPERLINK("http://141.218.60.56/~jnz1568/getInfo.php?workbook=18_08.xlsx&amp;sheet=U0&amp;row=7754&amp;col=7&amp;number=0.000634&amp;sourceID=14","0.000634")</f>
        <v>0.000634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HYPERLINK("http://141.218.60.56/~jnz1568/getInfo.php?workbook=18_08.xlsx&amp;sheet=U0&amp;row=7755&amp;col=6&amp;number=4.1&amp;sourceID=14","4.1")</f>
        <v>4.1</v>
      </c>
      <c r="G7755" s="4" t="str">
        <f>HYPERLINK("http://141.218.60.56/~jnz1568/getInfo.php?workbook=18_08.xlsx&amp;sheet=U0&amp;row=7755&amp;col=7&amp;number=0.000634&amp;sourceID=14","0.000634")</f>
        <v>0.000634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HYPERLINK("http://141.218.60.56/~jnz1568/getInfo.php?workbook=18_08.xlsx&amp;sheet=U0&amp;row=7756&amp;col=6&amp;number=4.2&amp;sourceID=14","4.2")</f>
        <v>4.2</v>
      </c>
      <c r="G7756" s="4" t="str">
        <f>HYPERLINK("http://141.218.60.56/~jnz1568/getInfo.php?workbook=18_08.xlsx&amp;sheet=U0&amp;row=7756&amp;col=7&amp;number=0.000633&amp;sourceID=14","0.000633")</f>
        <v>0.000633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HYPERLINK("http://141.218.60.56/~jnz1568/getInfo.php?workbook=18_08.xlsx&amp;sheet=U0&amp;row=7757&amp;col=6&amp;number=4.3&amp;sourceID=14","4.3")</f>
        <v>4.3</v>
      </c>
      <c r="G7757" s="4" t="str">
        <f>HYPERLINK("http://141.218.60.56/~jnz1568/getInfo.php?workbook=18_08.xlsx&amp;sheet=U0&amp;row=7757&amp;col=7&amp;number=0.000632&amp;sourceID=14","0.000632")</f>
        <v>0.000632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HYPERLINK("http://141.218.60.56/~jnz1568/getInfo.php?workbook=18_08.xlsx&amp;sheet=U0&amp;row=7758&amp;col=6&amp;number=4.4&amp;sourceID=14","4.4")</f>
        <v>4.4</v>
      </c>
      <c r="G7758" s="4" t="str">
        <f>HYPERLINK("http://141.218.60.56/~jnz1568/getInfo.php?workbook=18_08.xlsx&amp;sheet=U0&amp;row=7758&amp;col=7&amp;number=0.000631&amp;sourceID=14","0.000631")</f>
        <v>0.000631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HYPERLINK("http://141.218.60.56/~jnz1568/getInfo.php?workbook=18_08.xlsx&amp;sheet=U0&amp;row=7759&amp;col=6&amp;number=4.5&amp;sourceID=14","4.5")</f>
        <v>4.5</v>
      </c>
      <c r="G7759" s="4" t="str">
        <f>HYPERLINK("http://141.218.60.56/~jnz1568/getInfo.php?workbook=18_08.xlsx&amp;sheet=U0&amp;row=7759&amp;col=7&amp;number=0.00063&amp;sourceID=14","0.00063")</f>
        <v>0.00063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HYPERLINK("http://141.218.60.56/~jnz1568/getInfo.php?workbook=18_08.xlsx&amp;sheet=U0&amp;row=7760&amp;col=6&amp;number=4.6&amp;sourceID=14","4.6")</f>
        <v>4.6</v>
      </c>
      <c r="G7760" s="4" t="str">
        <f>HYPERLINK("http://141.218.60.56/~jnz1568/getInfo.php?workbook=18_08.xlsx&amp;sheet=U0&amp;row=7760&amp;col=7&amp;number=0.000628&amp;sourceID=14","0.000628")</f>
        <v>0.000628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HYPERLINK("http://141.218.60.56/~jnz1568/getInfo.php?workbook=18_08.xlsx&amp;sheet=U0&amp;row=7761&amp;col=6&amp;number=4.7&amp;sourceID=14","4.7")</f>
        <v>4.7</v>
      </c>
      <c r="G7761" s="4" t="str">
        <f>HYPERLINK("http://141.218.60.56/~jnz1568/getInfo.php?workbook=18_08.xlsx&amp;sheet=U0&amp;row=7761&amp;col=7&amp;number=0.000625&amp;sourceID=14","0.000625")</f>
        <v>0.000625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HYPERLINK("http://141.218.60.56/~jnz1568/getInfo.php?workbook=18_08.xlsx&amp;sheet=U0&amp;row=7762&amp;col=6&amp;number=4.8&amp;sourceID=14","4.8")</f>
        <v>4.8</v>
      </c>
      <c r="G7762" s="4" t="str">
        <f>HYPERLINK("http://141.218.60.56/~jnz1568/getInfo.php?workbook=18_08.xlsx&amp;sheet=U0&amp;row=7762&amp;col=7&amp;number=0.000623&amp;sourceID=14","0.000623")</f>
        <v>0.000623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HYPERLINK("http://141.218.60.56/~jnz1568/getInfo.php?workbook=18_08.xlsx&amp;sheet=U0&amp;row=7763&amp;col=6&amp;number=4.9&amp;sourceID=14","4.9")</f>
        <v>4.9</v>
      </c>
      <c r="G7763" s="4" t="str">
        <f>HYPERLINK("http://141.218.60.56/~jnz1568/getInfo.php?workbook=18_08.xlsx&amp;sheet=U0&amp;row=7763&amp;col=7&amp;number=0.000619&amp;sourceID=14","0.000619")</f>
        <v>0.000619</v>
      </c>
    </row>
    <row r="7764" spans="1:7">
      <c r="A7764" s="3">
        <v>18</v>
      </c>
      <c r="B7764" s="3">
        <v>8</v>
      </c>
      <c r="C7764" s="3" t="s">
        <v>83</v>
      </c>
      <c r="D7764" s="3">
        <v>0</v>
      </c>
      <c r="E7764" s="3">
        <v>1</v>
      </c>
      <c r="F7764" s="4" t="str">
        <f>HYPERLINK("http://141.218.60.56/~jnz1568/getInfo.php?workbook=18_08.xlsx&amp;sheet=U0&amp;row=7764&amp;col=6&amp;number=3&amp;sourceID=14","3")</f>
        <v>3</v>
      </c>
      <c r="G7764" s="4" t="str">
        <f>HYPERLINK("http://141.218.60.56/~jnz1568/getInfo.php?workbook=18_08.xlsx&amp;sheet=U0&amp;row=7764&amp;col=7&amp;number=1.95e-05&amp;sourceID=14","1.95e-05")</f>
        <v>1.95e-05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HYPERLINK("http://141.218.60.56/~jnz1568/getInfo.php?workbook=18_08.xlsx&amp;sheet=U0&amp;row=7765&amp;col=6&amp;number=3.1&amp;sourceID=14","3.1")</f>
        <v>3.1</v>
      </c>
      <c r="G7765" s="4" t="str">
        <f>HYPERLINK("http://141.218.60.56/~jnz1568/getInfo.php?workbook=18_08.xlsx&amp;sheet=U0&amp;row=7765&amp;col=7&amp;number=1.95e-05&amp;sourceID=14","1.95e-05")</f>
        <v>1.95e-05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HYPERLINK("http://141.218.60.56/~jnz1568/getInfo.php?workbook=18_08.xlsx&amp;sheet=U0&amp;row=7766&amp;col=6&amp;number=3.2&amp;sourceID=14","3.2")</f>
        <v>3.2</v>
      </c>
      <c r="G7766" s="4" t="str">
        <f>HYPERLINK("http://141.218.60.56/~jnz1568/getInfo.php?workbook=18_08.xlsx&amp;sheet=U0&amp;row=7766&amp;col=7&amp;number=1.95e-05&amp;sourceID=14","1.95e-05")</f>
        <v>1.95e-05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HYPERLINK("http://141.218.60.56/~jnz1568/getInfo.php?workbook=18_08.xlsx&amp;sheet=U0&amp;row=7767&amp;col=6&amp;number=3.3&amp;sourceID=14","3.3")</f>
        <v>3.3</v>
      </c>
      <c r="G7767" s="4" t="str">
        <f>HYPERLINK("http://141.218.60.56/~jnz1568/getInfo.php?workbook=18_08.xlsx&amp;sheet=U0&amp;row=7767&amp;col=7&amp;number=1.95e-05&amp;sourceID=14","1.95e-05")</f>
        <v>1.95e-05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HYPERLINK("http://141.218.60.56/~jnz1568/getInfo.php?workbook=18_08.xlsx&amp;sheet=U0&amp;row=7768&amp;col=6&amp;number=3.4&amp;sourceID=14","3.4")</f>
        <v>3.4</v>
      </c>
      <c r="G7768" s="4" t="str">
        <f>HYPERLINK("http://141.218.60.56/~jnz1568/getInfo.php?workbook=18_08.xlsx&amp;sheet=U0&amp;row=7768&amp;col=7&amp;number=1.95e-05&amp;sourceID=14","1.95e-05")</f>
        <v>1.95e-05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HYPERLINK("http://141.218.60.56/~jnz1568/getInfo.php?workbook=18_08.xlsx&amp;sheet=U0&amp;row=7769&amp;col=6&amp;number=3.5&amp;sourceID=14","3.5")</f>
        <v>3.5</v>
      </c>
      <c r="G7769" s="4" t="str">
        <f>HYPERLINK("http://141.218.60.56/~jnz1568/getInfo.php?workbook=18_08.xlsx&amp;sheet=U0&amp;row=7769&amp;col=7&amp;number=1.95e-05&amp;sourceID=14","1.95e-05")</f>
        <v>1.95e-05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HYPERLINK("http://141.218.60.56/~jnz1568/getInfo.php?workbook=18_08.xlsx&amp;sheet=U0&amp;row=7770&amp;col=6&amp;number=3.6&amp;sourceID=14","3.6")</f>
        <v>3.6</v>
      </c>
      <c r="G7770" s="4" t="str">
        <f>HYPERLINK("http://141.218.60.56/~jnz1568/getInfo.php?workbook=18_08.xlsx&amp;sheet=U0&amp;row=7770&amp;col=7&amp;number=1.95e-05&amp;sourceID=14","1.95e-05")</f>
        <v>1.95e-05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HYPERLINK("http://141.218.60.56/~jnz1568/getInfo.php?workbook=18_08.xlsx&amp;sheet=U0&amp;row=7771&amp;col=6&amp;number=3.7&amp;sourceID=14","3.7")</f>
        <v>3.7</v>
      </c>
      <c r="G7771" s="4" t="str">
        <f>HYPERLINK("http://141.218.60.56/~jnz1568/getInfo.php?workbook=18_08.xlsx&amp;sheet=U0&amp;row=7771&amp;col=7&amp;number=1.95e-05&amp;sourceID=14","1.95e-05")</f>
        <v>1.95e-05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HYPERLINK("http://141.218.60.56/~jnz1568/getInfo.php?workbook=18_08.xlsx&amp;sheet=U0&amp;row=7772&amp;col=6&amp;number=3.8&amp;sourceID=14","3.8")</f>
        <v>3.8</v>
      </c>
      <c r="G7772" s="4" t="str">
        <f>HYPERLINK("http://141.218.60.56/~jnz1568/getInfo.php?workbook=18_08.xlsx&amp;sheet=U0&amp;row=7772&amp;col=7&amp;number=1.95e-05&amp;sourceID=14","1.95e-05")</f>
        <v>1.95e-05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HYPERLINK("http://141.218.60.56/~jnz1568/getInfo.php?workbook=18_08.xlsx&amp;sheet=U0&amp;row=7773&amp;col=6&amp;number=3.9&amp;sourceID=14","3.9")</f>
        <v>3.9</v>
      </c>
      <c r="G7773" s="4" t="str">
        <f>HYPERLINK("http://141.218.60.56/~jnz1568/getInfo.php?workbook=18_08.xlsx&amp;sheet=U0&amp;row=7773&amp;col=7&amp;number=1.95e-05&amp;sourceID=14","1.95e-05")</f>
        <v>1.95e-05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HYPERLINK("http://141.218.60.56/~jnz1568/getInfo.php?workbook=18_08.xlsx&amp;sheet=U0&amp;row=7774&amp;col=6&amp;number=4&amp;sourceID=14","4")</f>
        <v>4</v>
      </c>
      <c r="G7774" s="4" t="str">
        <f>HYPERLINK("http://141.218.60.56/~jnz1568/getInfo.php?workbook=18_08.xlsx&amp;sheet=U0&amp;row=7774&amp;col=7&amp;number=1.95e-05&amp;sourceID=14","1.95e-05")</f>
        <v>1.95e-05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HYPERLINK("http://141.218.60.56/~jnz1568/getInfo.php?workbook=18_08.xlsx&amp;sheet=U0&amp;row=7775&amp;col=6&amp;number=4.1&amp;sourceID=14","4.1")</f>
        <v>4.1</v>
      </c>
      <c r="G7775" s="4" t="str">
        <f>HYPERLINK("http://141.218.60.56/~jnz1568/getInfo.php?workbook=18_08.xlsx&amp;sheet=U0&amp;row=7775&amp;col=7&amp;number=1.95e-05&amp;sourceID=14","1.95e-05")</f>
        <v>1.95e-05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HYPERLINK("http://141.218.60.56/~jnz1568/getInfo.php?workbook=18_08.xlsx&amp;sheet=U0&amp;row=7776&amp;col=6&amp;number=4.2&amp;sourceID=14","4.2")</f>
        <v>4.2</v>
      </c>
      <c r="G7776" s="4" t="str">
        <f>HYPERLINK("http://141.218.60.56/~jnz1568/getInfo.php?workbook=18_08.xlsx&amp;sheet=U0&amp;row=7776&amp;col=7&amp;number=1.95e-05&amp;sourceID=14","1.95e-05")</f>
        <v>1.95e-05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HYPERLINK("http://141.218.60.56/~jnz1568/getInfo.php?workbook=18_08.xlsx&amp;sheet=U0&amp;row=7777&amp;col=6&amp;number=4.3&amp;sourceID=14","4.3")</f>
        <v>4.3</v>
      </c>
      <c r="G7777" s="4" t="str">
        <f>HYPERLINK("http://141.218.60.56/~jnz1568/getInfo.php?workbook=18_08.xlsx&amp;sheet=U0&amp;row=7777&amp;col=7&amp;number=1.95e-05&amp;sourceID=14","1.95e-05")</f>
        <v>1.95e-05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HYPERLINK("http://141.218.60.56/~jnz1568/getInfo.php?workbook=18_08.xlsx&amp;sheet=U0&amp;row=7778&amp;col=6&amp;number=4.4&amp;sourceID=14","4.4")</f>
        <v>4.4</v>
      </c>
      <c r="G7778" s="4" t="str">
        <f>HYPERLINK("http://141.218.60.56/~jnz1568/getInfo.php?workbook=18_08.xlsx&amp;sheet=U0&amp;row=7778&amp;col=7&amp;number=1.95e-05&amp;sourceID=14","1.95e-05")</f>
        <v>1.95e-05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HYPERLINK("http://141.218.60.56/~jnz1568/getInfo.php?workbook=18_08.xlsx&amp;sheet=U0&amp;row=7779&amp;col=6&amp;number=4.5&amp;sourceID=14","4.5")</f>
        <v>4.5</v>
      </c>
      <c r="G7779" s="4" t="str">
        <f>HYPERLINK("http://141.218.60.56/~jnz1568/getInfo.php?workbook=18_08.xlsx&amp;sheet=U0&amp;row=7779&amp;col=7&amp;number=1.94e-05&amp;sourceID=14","1.94e-05")</f>
        <v>1.94e-05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HYPERLINK("http://141.218.60.56/~jnz1568/getInfo.php?workbook=18_08.xlsx&amp;sheet=U0&amp;row=7780&amp;col=6&amp;number=4.6&amp;sourceID=14","4.6")</f>
        <v>4.6</v>
      </c>
      <c r="G7780" s="4" t="str">
        <f>HYPERLINK("http://141.218.60.56/~jnz1568/getInfo.php?workbook=18_08.xlsx&amp;sheet=U0&amp;row=7780&amp;col=7&amp;number=1.94e-05&amp;sourceID=14","1.94e-05")</f>
        <v>1.94e-05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HYPERLINK("http://141.218.60.56/~jnz1568/getInfo.php?workbook=18_08.xlsx&amp;sheet=U0&amp;row=7781&amp;col=6&amp;number=4.7&amp;sourceID=14","4.7")</f>
        <v>4.7</v>
      </c>
      <c r="G7781" s="4" t="str">
        <f>HYPERLINK("http://141.218.60.56/~jnz1568/getInfo.php?workbook=18_08.xlsx&amp;sheet=U0&amp;row=7781&amp;col=7&amp;number=1.94e-05&amp;sourceID=14","1.94e-05")</f>
        <v>1.94e-05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HYPERLINK("http://141.218.60.56/~jnz1568/getInfo.php?workbook=18_08.xlsx&amp;sheet=U0&amp;row=7782&amp;col=6&amp;number=4.8&amp;sourceID=14","4.8")</f>
        <v>4.8</v>
      </c>
      <c r="G7782" s="4" t="str">
        <f>HYPERLINK("http://141.218.60.56/~jnz1568/getInfo.php?workbook=18_08.xlsx&amp;sheet=U0&amp;row=7782&amp;col=7&amp;number=1.94e-05&amp;sourceID=14","1.94e-05")</f>
        <v>1.94e-05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HYPERLINK("http://141.218.60.56/~jnz1568/getInfo.php?workbook=18_08.xlsx&amp;sheet=U0&amp;row=7783&amp;col=6&amp;number=4.9&amp;sourceID=14","4.9")</f>
        <v>4.9</v>
      </c>
      <c r="G7783" s="4" t="str">
        <f>HYPERLINK("http://141.218.60.56/~jnz1568/getInfo.php?workbook=18_08.xlsx&amp;sheet=U0&amp;row=7783&amp;col=7&amp;number=1.94e-05&amp;sourceID=14","1.94e-05")</f>
        <v>1.94e-05</v>
      </c>
    </row>
    <row r="7784" spans="1:7">
      <c r="A7784" s="3">
        <v>18</v>
      </c>
      <c r="B7784" s="3">
        <v>8</v>
      </c>
      <c r="C7784" s="3" t="s">
        <v>83</v>
      </c>
      <c r="D7784" s="3">
        <v>1</v>
      </c>
      <c r="E7784" s="3">
        <v>1</v>
      </c>
      <c r="F7784" s="4" t="str">
        <f>HYPERLINK("http://141.218.60.56/~jnz1568/getInfo.php?workbook=18_08.xlsx&amp;sheet=U0&amp;row=7784&amp;col=6&amp;number=3&amp;sourceID=14","3")</f>
        <v>3</v>
      </c>
      <c r="G7784" s="4" t="str">
        <f>HYPERLINK("http://141.218.60.56/~jnz1568/getInfo.php?workbook=18_08.xlsx&amp;sheet=U0&amp;row=7784&amp;col=7&amp;number=1.89e-05&amp;sourceID=14","1.89e-05")</f>
        <v>1.89e-05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HYPERLINK("http://141.218.60.56/~jnz1568/getInfo.php?workbook=18_08.xlsx&amp;sheet=U0&amp;row=7785&amp;col=6&amp;number=3.1&amp;sourceID=14","3.1")</f>
        <v>3.1</v>
      </c>
      <c r="G7785" s="4" t="str">
        <f>HYPERLINK("http://141.218.60.56/~jnz1568/getInfo.php?workbook=18_08.xlsx&amp;sheet=U0&amp;row=7785&amp;col=7&amp;number=1.89e-05&amp;sourceID=14","1.89e-05")</f>
        <v>1.89e-05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HYPERLINK("http://141.218.60.56/~jnz1568/getInfo.php?workbook=18_08.xlsx&amp;sheet=U0&amp;row=7786&amp;col=6&amp;number=3.2&amp;sourceID=14","3.2")</f>
        <v>3.2</v>
      </c>
      <c r="G7786" s="4" t="str">
        <f>HYPERLINK("http://141.218.60.56/~jnz1568/getInfo.php?workbook=18_08.xlsx&amp;sheet=U0&amp;row=7786&amp;col=7&amp;number=1.89e-05&amp;sourceID=14","1.89e-05")</f>
        <v>1.89e-05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HYPERLINK("http://141.218.60.56/~jnz1568/getInfo.php?workbook=18_08.xlsx&amp;sheet=U0&amp;row=7787&amp;col=6&amp;number=3.3&amp;sourceID=14","3.3")</f>
        <v>3.3</v>
      </c>
      <c r="G7787" s="4" t="str">
        <f>HYPERLINK("http://141.218.60.56/~jnz1568/getInfo.php?workbook=18_08.xlsx&amp;sheet=U0&amp;row=7787&amp;col=7&amp;number=1.89e-05&amp;sourceID=14","1.89e-05")</f>
        <v>1.89e-05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HYPERLINK("http://141.218.60.56/~jnz1568/getInfo.php?workbook=18_08.xlsx&amp;sheet=U0&amp;row=7788&amp;col=6&amp;number=3.4&amp;sourceID=14","3.4")</f>
        <v>3.4</v>
      </c>
      <c r="G7788" s="4" t="str">
        <f>HYPERLINK("http://141.218.60.56/~jnz1568/getInfo.php?workbook=18_08.xlsx&amp;sheet=U0&amp;row=7788&amp;col=7&amp;number=1.89e-05&amp;sourceID=14","1.89e-05")</f>
        <v>1.89e-05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HYPERLINK("http://141.218.60.56/~jnz1568/getInfo.php?workbook=18_08.xlsx&amp;sheet=U0&amp;row=7789&amp;col=6&amp;number=3.5&amp;sourceID=14","3.5")</f>
        <v>3.5</v>
      </c>
      <c r="G7789" s="4" t="str">
        <f>HYPERLINK("http://141.218.60.56/~jnz1568/getInfo.php?workbook=18_08.xlsx&amp;sheet=U0&amp;row=7789&amp;col=7&amp;number=1.89e-05&amp;sourceID=14","1.89e-05")</f>
        <v>1.89e-05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HYPERLINK("http://141.218.60.56/~jnz1568/getInfo.php?workbook=18_08.xlsx&amp;sheet=U0&amp;row=7790&amp;col=6&amp;number=3.6&amp;sourceID=14","3.6")</f>
        <v>3.6</v>
      </c>
      <c r="G7790" s="4" t="str">
        <f>HYPERLINK("http://141.218.60.56/~jnz1568/getInfo.php?workbook=18_08.xlsx&amp;sheet=U0&amp;row=7790&amp;col=7&amp;number=1.89e-05&amp;sourceID=14","1.89e-05")</f>
        <v>1.89e-05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HYPERLINK("http://141.218.60.56/~jnz1568/getInfo.php?workbook=18_08.xlsx&amp;sheet=U0&amp;row=7791&amp;col=6&amp;number=3.7&amp;sourceID=14","3.7")</f>
        <v>3.7</v>
      </c>
      <c r="G7791" s="4" t="str">
        <f>HYPERLINK("http://141.218.60.56/~jnz1568/getInfo.php?workbook=18_08.xlsx&amp;sheet=U0&amp;row=7791&amp;col=7&amp;number=1.89e-05&amp;sourceID=14","1.89e-05")</f>
        <v>1.89e-05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HYPERLINK("http://141.218.60.56/~jnz1568/getInfo.php?workbook=18_08.xlsx&amp;sheet=U0&amp;row=7792&amp;col=6&amp;number=3.8&amp;sourceID=14","3.8")</f>
        <v>3.8</v>
      </c>
      <c r="G7792" s="4" t="str">
        <f>HYPERLINK("http://141.218.60.56/~jnz1568/getInfo.php?workbook=18_08.xlsx&amp;sheet=U0&amp;row=7792&amp;col=7&amp;number=1.89e-05&amp;sourceID=14","1.89e-05")</f>
        <v>1.89e-05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HYPERLINK("http://141.218.60.56/~jnz1568/getInfo.php?workbook=18_08.xlsx&amp;sheet=U0&amp;row=7793&amp;col=6&amp;number=3.9&amp;sourceID=14","3.9")</f>
        <v>3.9</v>
      </c>
      <c r="G7793" s="4" t="str">
        <f>HYPERLINK("http://141.218.60.56/~jnz1568/getInfo.php?workbook=18_08.xlsx&amp;sheet=U0&amp;row=7793&amp;col=7&amp;number=1.88e-05&amp;sourceID=14","1.88e-05")</f>
        <v>1.88e-05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HYPERLINK("http://141.218.60.56/~jnz1568/getInfo.php?workbook=18_08.xlsx&amp;sheet=U0&amp;row=7794&amp;col=6&amp;number=4&amp;sourceID=14","4")</f>
        <v>4</v>
      </c>
      <c r="G7794" s="4" t="str">
        <f>HYPERLINK("http://141.218.60.56/~jnz1568/getInfo.php?workbook=18_08.xlsx&amp;sheet=U0&amp;row=7794&amp;col=7&amp;number=1.88e-05&amp;sourceID=14","1.88e-05")</f>
        <v>1.88e-05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HYPERLINK("http://141.218.60.56/~jnz1568/getInfo.php?workbook=18_08.xlsx&amp;sheet=U0&amp;row=7795&amp;col=6&amp;number=4.1&amp;sourceID=14","4.1")</f>
        <v>4.1</v>
      </c>
      <c r="G7795" s="4" t="str">
        <f>HYPERLINK("http://141.218.60.56/~jnz1568/getInfo.php?workbook=18_08.xlsx&amp;sheet=U0&amp;row=7795&amp;col=7&amp;number=1.88e-05&amp;sourceID=14","1.88e-05")</f>
        <v>1.88e-05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HYPERLINK("http://141.218.60.56/~jnz1568/getInfo.php?workbook=18_08.xlsx&amp;sheet=U0&amp;row=7796&amp;col=6&amp;number=4.2&amp;sourceID=14","4.2")</f>
        <v>4.2</v>
      </c>
      <c r="G7796" s="4" t="str">
        <f>HYPERLINK("http://141.218.60.56/~jnz1568/getInfo.php?workbook=18_08.xlsx&amp;sheet=U0&amp;row=7796&amp;col=7&amp;number=1.87e-05&amp;sourceID=14","1.87e-05")</f>
        <v>1.87e-05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HYPERLINK("http://141.218.60.56/~jnz1568/getInfo.php?workbook=18_08.xlsx&amp;sheet=U0&amp;row=7797&amp;col=6&amp;number=4.3&amp;sourceID=14","4.3")</f>
        <v>4.3</v>
      </c>
      <c r="G7797" s="4" t="str">
        <f>HYPERLINK("http://141.218.60.56/~jnz1568/getInfo.php?workbook=18_08.xlsx&amp;sheet=U0&amp;row=7797&amp;col=7&amp;number=1.87e-05&amp;sourceID=14","1.87e-05")</f>
        <v>1.87e-05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HYPERLINK("http://141.218.60.56/~jnz1568/getInfo.php?workbook=18_08.xlsx&amp;sheet=U0&amp;row=7798&amp;col=6&amp;number=4.4&amp;sourceID=14","4.4")</f>
        <v>4.4</v>
      </c>
      <c r="G7798" s="4" t="str">
        <f>HYPERLINK("http://141.218.60.56/~jnz1568/getInfo.php?workbook=18_08.xlsx&amp;sheet=U0&amp;row=7798&amp;col=7&amp;number=1.86e-05&amp;sourceID=14","1.86e-05")</f>
        <v>1.86e-05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HYPERLINK("http://141.218.60.56/~jnz1568/getInfo.php?workbook=18_08.xlsx&amp;sheet=U0&amp;row=7799&amp;col=6&amp;number=4.5&amp;sourceID=14","4.5")</f>
        <v>4.5</v>
      </c>
      <c r="G7799" s="4" t="str">
        <f>HYPERLINK("http://141.218.60.56/~jnz1568/getInfo.php?workbook=18_08.xlsx&amp;sheet=U0&amp;row=7799&amp;col=7&amp;number=1.86e-05&amp;sourceID=14","1.86e-05")</f>
        <v>1.86e-05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HYPERLINK("http://141.218.60.56/~jnz1568/getInfo.php?workbook=18_08.xlsx&amp;sheet=U0&amp;row=7800&amp;col=6&amp;number=4.6&amp;sourceID=14","4.6")</f>
        <v>4.6</v>
      </c>
      <c r="G7800" s="4" t="str">
        <f>HYPERLINK("http://141.218.60.56/~jnz1568/getInfo.php?workbook=18_08.xlsx&amp;sheet=U0&amp;row=7800&amp;col=7&amp;number=1.85e-05&amp;sourceID=14","1.85e-05")</f>
        <v>1.85e-05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HYPERLINK("http://141.218.60.56/~jnz1568/getInfo.php?workbook=18_08.xlsx&amp;sheet=U0&amp;row=7801&amp;col=6&amp;number=4.7&amp;sourceID=14","4.7")</f>
        <v>4.7</v>
      </c>
      <c r="G7801" s="4" t="str">
        <f>HYPERLINK("http://141.218.60.56/~jnz1568/getInfo.php?workbook=18_08.xlsx&amp;sheet=U0&amp;row=7801&amp;col=7&amp;number=1.84e-05&amp;sourceID=14","1.84e-05")</f>
        <v>1.84e-05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HYPERLINK("http://141.218.60.56/~jnz1568/getInfo.php?workbook=18_08.xlsx&amp;sheet=U0&amp;row=7802&amp;col=6&amp;number=4.8&amp;sourceID=14","4.8")</f>
        <v>4.8</v>
      </c>
      <c r="G7802" s="4" t="str">
        <f>HYPERLINK("http://141.218.60.56/~jnz1568/getInfo.php?workbook=18_08.xlsx&amp;sheet=U0&amp;row=7802&amp;col=7&amp;number=1.82e-05&amp;sourceID=14","1.82e-05")</f>
        <v>1.82e-05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HYPERLINK("http://141.218.60.56/~jnz1568/getInfo.php?workbook=18_08.xlsx&amp;sheet=U0&amp;row=7803&amp;col=6&amp;number=4.9&amp;sourceID=14","4.9")</f>
        <v>4.9</v>
      </c>
      <c r="G7803" s="4" t="str">
        <f>HYPERLINK("http://141.218.60.56/~jnz1568/getInfo.php?workbook=18_08.xlsx&amp;sheet=U0&amp;row=7803&amp;col=7&amp;number=1.8e-05&amp;sourceID=14","1.8e-05")</f>
        <v>1.8e-05</v>
      </c>
    </row>
    <row r="7804" spans="1:7">
      <c r="A7804" s="3">
        <v>18</v>
      </c>
      <c r="B7804" s="3">
        <v>8</v>
      </c>
      <c r="C7804" s="3" t="s">
        <v>83</v>
      </c>
      <c r="D7804" s="3">
        <v>2</v>
      </c>
      <c r="E7804" s="3">
        <v>1</v>
      </c>
      <c r="F7804" s="4" t="str">
        <f>HYPERLINK("http://141.218.60.56/~jnz1568/getInfo.php?workbook=18_08.xlsx&amp;sheet=U0&amp;row=7804&amp;col=6&amp;number=3&amp;sourceID=14","3")</f>
        <v>3</v>
      </c>
      <c r="G7804" s="4" t="str">
        <f>HYPERLINK("http://141.218.60.56/~jnz1568/getInfo.php?workbook=18_08.xlsx&amp;sheet=U0&amp;row=7804&amp;col=7&amp;number=1.86e-05&amp;sourceID=14","1.86e-05")</f>
        <v>1.86e-05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HYPERLINK("http://141.218.60.56/~jnz1568/getInfo.php?workbook=18_08.xlsx&amp;sheet=U0&amp;row=7805&amp;col=6&amp;number=3.1&amp;sourceID=14","3.1")</f>
        <v>3.1</v>
      </c>
      <c r="G7805" s="4" t="str">
        <f>HYPERLINK("http://141.218.60.56/~jnz1568/getInfo.php?workbook=18_08.xlsx&amp;sheet=U0&amp;row=7805&amp;col=7&amp;number=1.86e-05&amp;sourceID=14","1.86e-05")</f>
        <v>1.86e-05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HYPERLINK("http://141.218.60.56/~jnz1568/getInfo.php?workbook=18_08.xlsx&amp;sheet=U0&amp;row=7806&amp;col=6&amp;number=3.2&amp;sourceID=14","3.2")</f>
        <v>3.2</v>
      </c>
      <c r="G7806" s="4" t="str">
        <f>HYPERLINK("http://141.218.60.56/~jnz1568/getInfo.php?workbook=18_08.xlsx&amp;sheet=U0&amp;row=7806&amp;col=7&amp;number=1.86e-05&amp;sourceID=14","1.86e-05")</f>
        <v>1.86e-05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HYPERLINK("http://141.218.60.56/~jnz1568/getInfo.php?workbook=18_08.xlsx&amp;sheet=U0&amp;row=7807&amp;col=6&amp;number=3.3&amp;sourceID=14","3.3")</f>
        <v>3.3</v>
      </c>
      <c r="G7807" s="4" t="str">
        <f>HYPERLINK("http://141.218.60.56/~jnz1568/getInfo.php?workbook=18_08.xlsx&amp;sheet=U0&amp;row=7807&amp;col=7&amp;number=1.86e-05&amp;sourceID=14","1.86e-05")</f>
        <v>1.86e-05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HYPERLINK("http://141.218.60.56/~jnz1568/getInfo.php?workbook=18_08.xlsx&amp;sheet=U0&amp;row=7808&amp;col=6&amp;number=3.4&amp;sourceID=14","3.4")</f>
        <v>3.4</v>
      </c>
      <c r="G7808" s="4" t="str">
        <f>HYPERLINK("http://141.218.60.56/~jnz1568/getInfo.php?workbook=18_08.xlsx&amp;sheet=U0&amp;row=7808&amp;col=7&amp;number=1.86e-05&amp;sourceID=14","1.86e-05")</f>
        <v>1.86e-05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HYPERLINK("http://141.218.60.56/~jnz1568/getInfo.php?workbook=18_08.xlsx&amp;sheet=U0&amp;row=7809&amp;col=6&amp;number=3.5&amp;sourceID=14","3.5")</f>
        <v>3.5</v>
      </c>
      <c r="G7809" s="4" t="str">
        <f>HYPERLINK("http://141.218.60.56/~jnz1568/getInfo.php?workbook=18_08.xlsx&amp;sheet=U0&amp;row=7809&amp;col=7&amp;number=1.86e-05&amp;sourceID=14","1.86e-05")</f>
        <v>1.86e-05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HYPERLINK("http://141.218.60.56/~jnz1568/getInfo.php?workbook=18_08.xlsx&amp;sheet=U0&amp;row=7810&amp;col=6&amp;number=3.6&amp;sourceID=14","3.6")</f>
        <v>3.6</v>
      </c>
      <c r="G7810" s="4" t="str">
        <f>HYPERLINK("http://141.218.60.56/~jnz1568/getInfo.php?workbook=18_08.xlsx&amp;sheet=U0&amp;row=7810&amp;col=7&amp;number=1.86e-05&amp;sourceID=14","1.86e-05")</f>
        <v>1.86e-05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HYPERLINK("http://141.218.60.56/~jnz1568/getInfo.php?workbook=18_08.xlsx&amp;sheet=U0&amp;row=7811&amp;col=6&amp;number=3.7&amp;sourceID=14","3.7")</f>
        <v>3.7</v>
      </c>
      <c r="G7811" s="4" t="str">
        <f>HYPERLINK("http://141.218.60.56/~jnz1568/getInfo.php?workbook=18_08.xlsx&amp;sheet=U0&amp;row=7811&amp;col=7&amp;number=1.86e-05&amp;sourceID=14","1.86e-05")</f>
        <v>1.86e-05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HYPERLINK("http://141.218.60.56/~jnz1568/getInfo.php?workbook=18_08.xlsx&amp;sheet=U0&amp;row=7812&amp;col=6&amp;number=3.8&amp;sourceID=14","3.8")</f>
        <v>3.8</v>
      </c>
      <c r="G7812" s="4" t="str">
        <f>HYPERLINK("http://141.218.60.56/~jnz1568/getInfo.php?workbook=18_08.xlsx&amp;sheet=U0&amp;row=7812&amp;col=7&amp;number=1.86e-05&amp;sourceID=14","1.86e-05")</f>
        <v>1.86e-05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HYPERLINK("http://141.218.60.56/~jnz1568/getInfo.php?workbook=18_08.xlsx&amp;sheet=U0&amp;row=7813&amp;col=6&amp;number=3.9&amp;sourceID=14","3.9")</f>
        <v>3.9</v>
      </c>
      <c r="G7813" s="4" t="str">
        <f>HYPERLINK("http://141.218.60.56/~jnz1568/getInfo.php?workbook=18_08.xlsx&amp;sheet=U0&amp;row=7813&amp;col=7&amp;number=1.85e-05&amp;sourceID=14","1.85e-05")</f>
        <v>1.85e-05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HYPERLINK("http://141.218.60.56/~jnz1568/getInfo.php?workbook=18_08.xlsx&amp;sheet=U0&amp;row=7814&amp;col=6&amp;number=4&amp;sourceID=14","4")</f>
        <v>4</v>
      </c>
      <c r="G7814" s="4" t="str">
        <f>HYPERLINK("http://141.218.60.56/~jnz1568/getInfo.php?workbook=18_08.xlsx&amp;sheet=U0&amp;row=7814&amp;col=7&amp;number=1.85e-05&amp;sourceID=14","1.85e-05")</f>
        <v>1.85e-05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HYPERLINK("http://141.218.60.56/~jnz1568/getInfo.php?workbook=18_08.xlsx&amp;sheet=U0&amp;row=7815&amp;col=6&amp;number=4.1&amp;sourceID=14","4.1")</f>
        <v>4.1</v>
      </c>
      <c r="G7815" s="4" t="str">
        <f>HYPERLINK("http://141.218.60.56/~jnz1568/getInfo.php?workbook=18_08.xlsx&amp;sheet=U0&amp;row=7815&amp;col=7&amp;number=1.85e-05&amp;sourceID=14","1.85e-05")</f>
        <v>1.85e-05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HYPERLINK("http://141.218.60.56/~jnz1568/getInfo.php?workbook=18_08.xlsx&amp;sheet=U0&amp;row=7816&amp;col=6&amp;number=4.2&amp;sourceID=14","4.2")</f>
        <v>4.2</v>
      </c>
      <c r="G7816" s="4" t="str">
        <f>HYPERLINK("http://141.218.60.56/~jnz1568/getInfo.php?workbook=18_08.xlsx&amp;sheet=U0&amp;row=7816&amp;col=7&amp;number=1.84e-05&amp;sourceID=14","1.84e-05")</f>
        <v>1.84e-05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HYPERLINK("http://141.218.60.56/~jnz1568/getInfo.php?workbook=18_08.xlsx&amp;sheet=U0&amp;row=7817&amp;col=6&amp;number=4.3&amp;sourceID=14","4.3")</f>
        <v>4.3</v>
      </c>
      <c r="G7817" s="4" t="str">
        <f>HYPERLINK("http://141.218.60.56/~jnz1568/getInfo.php?workbook=18_08.xlsx&amp;sheet=U0&amp;row=7817&amp;col=7&amp;number=1.84e-05&amp;sourceID=14","1.84e-05")</f>
        <v>1.84e-05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HYPERLINK("http://141.218.60.56/~jnz1568/getInfo.php?workbook=18_08.xlsx&amp;sheet=U0&amp;row=7818&amp;col=6&amp;number=4.4&amp;sourceID=14","4.4")</f>
        <v>4.4</v>
      </c>
      <c r="G7818" s="4" t="str">
        <f>HYPERLINK("http://141.218.60.56/~jnz1568/getInfo.php?workbook=18_08.xlsx&amp;sheet=U0&amp;row=7818&amp;col=7&amp;number=1.83e-05&amp;sourceID=14","1.83e-05")</f>
        <v>1.83e-05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HYPERLINK("http://141.218.60.56/~jnz1568/getInfo.php?workbook=18_08.xlsx&amp;sheet=U0&amp;row=7819&amp;col=6&amp;number=4.5&amp;sourceID=14","4.5")</f>
        <v>4.5</v>
      </c>
      <c r="G7819" s="4" t="str">
        <f>HYPERLINK("http://141.218.60.56/~jnz1568/getInfo.php?workbook=18_08.xlsx&amp;sheet=U0&amp;row=7819&amp;col=7&amp;number=1.83e-05&amp;sourceID=14","1.83e-05")</f>
        <v>1.83e-05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HYPERLINK("http://141.218.60.56/~jnz1568/getInfo.php?workbook=18_08.xlsx&amp;sheet=U0&amp;row=7820&amp;col=6&amp;number=4.6&amp;sourceID=14","4.6")</f>
        <v>4.6</v>
      </c>
      <c r="G7820" s="4" t="str">
        <f>HYPERLINK("http://141.218.60.56/~jnz1568/getInfo.php?workbook=18_08.xlsx&amp;sheet=U0&amp;row=7820&amp;col=7&amp;number=1.82e-05&amp;sourceID=14","1.82e-05")</f>
        <v>1.82e-05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HYPERLINK("http://141.218.60.56/~jnz1568/getInfo.php?workbook=18_08.xlsx&amp;sheet=U0&amp;row=7821&amp;col=6&amp;number=4.7&amp;sourceID=14","4.7")</f>
        <v>4.7</v>
      </c>
      <c r="G7821" s="4" t="str">
        <f>HYPERLINK("http://141.218.60.56/~jnz1568/getInfo.php?workbook=18_08.xlsx&amp;sheet=U0&amp;row=7821&amp;col=7&amp;number=1.8e-05&amp;sourceID=14","1.8e-05")</f>
        <v>1.8e-05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HYPERLINK("http://141.218.60.56/~jnz1568/getInfo.php?workbook=18_08.xlsx&amp;sheet=U0&amp;row=7822&amp;col=6&amp;number=4.8&amp;sourceID=14","4.8")</f>
        <v>4.8</v>
      </c>
      <c r="G7822" s="4" t="str">
        <f>HYPERLINK("http://141.218.60.56/~jnz1568/getInfo.php?workbook=18_08.xlsx&amp;sheet=U0&amp;row=7822&amp;col=7&amp;number=1.79e-05&amp;sourceID=14","1.79e-05")</f>
        <v>1.79e-05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HYPERLINK("http://141.218.60.56/~jnz1568/getInfo.php?workbook=18_08.xlsx&amp;sheet=U0&amp;row=7823&amp;col=6&amp;number=4.9&amp;sourceID=14","4.9")</f>
        <v>4.9</v>
      </c>
      <c r="G7823" s="4" t="str">
        <f>HYPERLINK("http://141.218.60.56/~jnz1568/getInfo.php?workbook=18_08.xlsx&amp;sheet=U0&amp;row=7823&amp;col=7&amp;number=1.77e-05&amp;sourceID=14","1.77e-05")</f>
        <v>1.77e-05</v>
      </c>
    </row>
    <row r="7824" spans="1:7">
      <c r="A7824" s="3">
        <v>18</v>
      </c>
      <c r="B7824" s="3">
        <v>8</v>
      </c>
      <c r="C7824" s="3" t="s">
        <v>83</v>
      </c>
      <c r="D7824" s="3">
        <v>3</v>
      </c>
      <c r="E7824" s="3">
        <v>1</v>
      </c>
      <c r="F7824" s="4" t="str">
        <f>HYPERLINK("http://141.218.60.56/~jnz1568/getInfo.php?workbook=18_08.xlsx&amp;sheet=U0&amp;row=7824&amp;col=6&amp;number=3&amp;sourceID=14","3")</f>
        <v>3</v>
      </c>
      <c r="G7824" s="4" t="str">
        <f>HYPERLINK("http://141.218.60.56/~jnz1568/getInfo.php?workbook=18_08.xlsx&amp;sheet=U0&amp;row=7824&amp;col=7&amp;number=5.94e-05&amp;sourceID=14","5.94e-05")</f>
        <v>5.94e-05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HYPERLINK("http://141.218.60.56/~jnz1568/getInfo.php?workbook=18_08.xlsx&amp;sheet=U0&amp;row=7825&amp;col=6&amp;number=3.1&amp;sourceID=14","3.1")</f>
        <v>3.1</v>
      </c>
      <c r="G7825" s="4" t="str">
        <f>HYPERLINK("http://141.218.60.56/~jnz1568/getInfo.php?workbook=18_08.xlsx&amp;sheet=U0&amp;row=7825&amp;col=7&amp;number=5.94e-05&amp;sourceID=14","5.94e-05")</f>
        <v>5.94e-05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HYPERLINK("http://141.218.60.56/~jnz1568/getInfo.php?workbook=18_08.xlsx&amp;sheet=U0&amp;row=7826&amp;col=6&amp;number=3.2&amp;sourceID=14","3.2")</f>
        <v>3.2</v>
      </c>
      <c r="G7826" s="4" t="str">
        <f>HYPERLINK("http://141.218.60.56/~jnz1568/getInfo.php?workbook=18_08.xlsx&amp;sheet=U0&amp;row=7826&amp;col=7&amp;number=5.94e-05&amp;sourceID=14","5.94e-05")</f>
        <v>5.94e-05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HYPERLINK("http://141.218.60.56/~jnz1568/getInfo.php?workbook=18_08.xlsx&amp;sheet=U0&amp;row=7827&amp;col=6&amp;number=3.3&amp;sourceID=14","3.3")</f>
        <v>3.3</v>
      </c>
      <c r="G7827" s="4" t="str">
        <f>HYPERLINK("http://141.218.60.56/~jnz1568/getInfo.php?workbook=18_08.xlsx&amp;sheet=U0&amp;row=7827&amp;col=7&amp;number=5.94e-05&amp;sourceID=14","5.94e-05")</f>
        <v>5.94e-05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HYPERLINK("http://141.218.60.56/~jnz1568/getInfo.php?workbook=18_08.xlsx&amp;sheet=U0&amp;row=7828&amp;col=6&amp;number=3.4&amp;sourceID=14","3.4")</f>
        <v>3.4</v>
      </c>
      <c r="G7828" s="4" t="str">
        <f>HYPERLINK("http://141.218.60.56/~jnz1568/getInfo.php?workbook=18_08.xlsx&amp;sheet=U0&amp;row=7828&amp;col=7&amp;number=5.94e-05&amp;sourceID=14","5.94e-05")</f>
        <v>5.94e-05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HYPERLINK("http://141.218.60.56/~jnz1568/getInfo.php?workbook=18_08.xlsx&amp;sheet=U0&amp;row=7829&amp;col=6&amp;number=3.5&amp;sourceID=14","3.5")</f>
        <v>3.5</v>
      </c>
      <c r="G7829" s="4" t="str">
        <f>HYPERLINK("http://141.218.60.56/~jnz1568/getInfo.php?workbook=18_08.xlsx&amp;sheet=U0&amp;row=7829&amp;col=7&amp;number=5.93e-05&amp;sourceID=14","5.93e-05")</f>
        <v>5.93e-05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HYPERLINK("http://141.218.60.56/~jnz1568/getInfo.php?workbook=18_08.xlsx&amp;sheet=U0&amp;row=7830&amp;col=6&amp;number=3.6&amp;sourceID=14","3.6")</f>
        <v>3.6</v>
      </c>
      <c r="G7830" s="4" t="str">
        <f>HYPERLINK("http://141.218.60.56/~jnz1568/getInfo.php?workbook=18_08.xlsx&amp;sheet=U0&amp;row=7830&amp;col=7&amp;number=5.93e-05&amp;sourceID=14","5.93e-05")</f>
        <v>5.93e-05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HYPERLINK("http://141.218.60.56/~jnz1568/getInfo.php?workbook=18_08.xlsx&amp;sheet=U0&amp;row=7831&amp;col=6&amp;number=3.7&amp;sourceID=14","3.7")</f>
        <v>3.7</v>
      </c>
      <c r="G7831" s="4" t="str">
        <f>HYPERLINK("http://141.218.60.56/~jnz1568/getInfo.php?workbook=18_08.xlsx&amp;sheet=U0&amp;row=7831&amp;col=7&amp;number=5.93e-05&amp;sourceID=14","5.93e-05")</f>
        <v>5.93e-05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HYPERLINK("http://141.218.60.56/~jnz1568/getInfo.php?workbook=18_08.xlsx&amp;sheet=U0&amp;row=7832&amp;col=6&amp;number=3.8&amp;sourceID=14","3.8")</f>
        <v>3.8</v>
      </c>
      <c r="G7832" s="4" t="str">
        <f>HYPERLINK("http://141.218.60.56/~jnz1568/getInfo.php?workbook=18_08.xlsx&amp;sheet=U0&amp;row=7832&amp;col=7&amp;number=5.93e-05&amp;sourceID=14","5.93e-05")</f>
        <v>5.93e-05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HYPERLINK("http://141.218.60.56/~jnz1568/getInfo.php?workbook=18_08.xlsx&amp;sheet=U0&amp;row=7833&amp;col=6&amp;number=3.9&amp;sourceID=14","3.9")</f>
        <v>3.9</v>
      </c>
      <c r="G7833" s="4" t="str">
        <f>HYPERLINK("http://141.218.60.56/~jnz1568/getInfo.php?workbook=18_08.xlsx&amp;sheet=U0&amp;row=7833&amp;col=7&amp;number=5.93e-05&amp;sourceID=14","5.93e-05")</f>
        <v>5.93e-05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HYPERLINK("http://141.218.60.56/~jnz1568/getInfo.php?workbook=18_08.xlsx&amp;sheet=U0&amp;row=7834&amp;col=6&amp;number=4&amp;sourceID=14","4")</f>
        <v>4</v>
      </c>
      <c r="G7834" s="4" t="str">
        <f>HYPERLINK("http://141.218.60.56/~jnz1568/getInfo.php?workbook=18_08.xlsx&amp;sheet=U0&amp;row=7834&amp;col=7&amp;number=5.92e-05&amp;sourceID=14","5.92e-05")</f>
        <v>5.92e-05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HYPERLINK("http://141.218.60.56/~jnz1568/getInfo.php?workbook=18_08.xlsx&amp;sheet=U0&amp;row=7835&amp;col=6&amp;number=4.1&amp;sourceID=14","4.1")</f>
        <v>4.1</v>
      </c>
      <c r="G7835" s="4" t="str">
        <f>HYPERLINK("http://141.218.60.56/~jnz1568/getInfo.php?workbook=18_08.xlsx&amp;sheet=U0&amp;row=7835&amp;col=7&amp;number=5.92e-05&amp;sourceID=14","5.92e-05")</f>
        <v>5.92e-05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HYPERLINK("http://141.218.60.56/~jnz1568/getInfo.php?workbook=18_08.xlsx&amp;sheet=U0&amp;row=7836&amp;col=6&amp;number=4.2&amp;sourceID=14","4.2")</f>
        <v>4.2</v>
      </c>
      <c r="G7836" s="4" t="str">
        <f>HYPERLINK("http://141.218.60.56/~jnz1568/getInfo.php?workbook=18_08.xlsx&amp;sheet=U0&amp;row=7836&amp;col=7&amp;number=5.92e-05&amp;sourceID=14","5.92e-05")</f>
        <v>5.92e-05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HYPERLINK("http://141.218.60.56/~jnz1568/getInfo.php?workbook=18_08.xlsx&amp;sheet=U0&amp;row=7837&amp;col=6&amp;number=4.3&amp;sourceID=14","4.3")</f>
        <v>4.3</v>
      </c>
      <c r="G7837" s="4" t="str">
        <f>HYPERLINK("http://141.218.60.56/~jnz1568/getInfo.php?workbook=18_08.xlsx&amp;sheet=U0&amp;row=7837&amp;col=7&amp;number=5.91e-05&amp;sourceID=14","5.91e-05")</f>
        <v>5.91e-05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HYPERLINK("http://141.218.60.56/~jnz1568/getInfo.php?workbook=18_08.xlsx&amp;sheet=U0&amp;row=7838&amp;col=6&amp;number=4.4&amp;sourceID=14","4.4")</f>
        <v>4.4</v>
      </c>
      <c r="G7838" s="4" t="str">
        <f>HYPERLINK("http://141.218.60.56/~jnz1568/getInfo.php?workbook=18_08.xlsx&amp;sheet=U0&amp;row=7838&amp;col=7&amp;number=5.9e-05&amp;sourceID=14","5.9e-05")</f>
        <v>5.9e-05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HYPERLINK("http://141.218.60.56/~jnz1568/getInfo.php?workbook=18_08.xlsx&amp;sheet=U0&amp;row=7839&amp;col=6&amp;number=4.5&amp;sourceID=14","4.5")</f>
        <v>4.5</v>
      </c>
      <c r="G7839" s="4" t="str">
        <f>HYPERLINK("http://141.218.60.56/~jnz1568/getInfo.php?workbook=18_08.xlsx&amp;sheet=U0&amp;row=7839&amp;col=7&amp;number=5.89e-05&amp;sourceID=14","5.89e-05")</f>
        <v>5.89e-05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HYPERLINK("http://141.218.60.56/~jnz1568/getInfo.php?workbook=18_08.xlsx&amp;sheet=U0&amp;row=7840&amp;col=6&amp;number=4.6&amp;sourceID=14","4.6")</f>
        <v>4.6</v>
      </c>
      <c r="G7840" s="4" t="str">
        <f>HYPERLINK("http://141.218.60.56/~jnz1568/getInfo.php?workbook=18_08.xlsx&amp;sheet=U0&amp;row=7840&amp;col=7&amp;number=5.88e-05&amp;sourceID=14","5.88e-05")</f>
        <v>5.88e-05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HYPERLINK("http://141.218.60.56/~jnz1568/getInfo.php?workbook=18_08.xlsx&amp;sheet=U0&amp;row=7841&amp;col=6&amp;number=4.7&amp;sourceID=14","4.7")</f>
        <v>4.7</v>
      </c>
      <c r="G7841" s="4" t="str">
        <f>HYPERLINK("http://141.218.60.56/~jnz1568/getInfo.php?workbook=18_08.xlsx&amp;sheet=U0&amp;row=7841&amp;col=7&amp;number=5.86e-05&amp;sourceID=14","5.86e-05")</f>
        <v>5.86e-05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HYPERLINK("http://141.218.60.56/~jnz1568/getInfo.php?workbook=18_08.xlsx&amp;sheet=U0&amp;row=7842&amp;col=6&amp;number=4.8&amp;sourceID=14","4.8")</f>
        <v>4.8</v>
      </c>
      <c r="G7842" s="4" t="str">
        <f>HYPERLINK("http://141.218.60.56/~jnz1568/getInfo.php?workbook=18_08.xlsx&amp;sheet=U0&amp;row=7842&amp;col=7&amp;number=5.85e-05&amp;sourceID=14","5.85e-05")</f>
        <v>5.85e-05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HYPERLINK("http://141.218.60.56/~jnz1568/getInfo.php?workbook=18_08.xlsx&amp;sheet=U0&amp;row=7843&amp;col=6&amp;number=4.9&amp;sourceID=14","4.9")</f>
        <v>4.9</v>
      </c>
      <c r="G7843" s="4" t="str">
        <f>HYPERLINK("http://141.218.60.56/~jnz1568/getInfo.php?workbook=18_08.xlsx&amp;sheet=U0&amp;row=7843&amp;col=7&amp;number=5.82e-05&amp;sourceID=14","5.82e-05")</f>
        <v>5.82e-05</v>
      </c>
    </row>
    <row r="7844" spans="1:7">
      <c r="A7844" s="3">
        <v>18</v>
      </c>
      <c r="B7844" s="3">
        <v>8</v>
      </c>
      <c r="C7844" s="3" t="s">
        <v>83</v>
      </c>
      <c r="D7844" s="3">
        <v>4</v>
      </c>
      <c r="E7844" s="3">
        <v>1</v>
      </c>
      <c r="F7844" s="4" t="str">
        <f>HYPERLINK("http://141.218.60.56/~jnz1568/getInfo.php?workbook=18_08.xlsx&amp;sheet=U0&amp;row=7844&amp;col=6&amp;number=3&amp;sourceID=14","3")</f>
        <v>3</v>
      </c>
      <c r="G7844" s="4" t="str">
        <f>HYPERLINK("http://141.218.60.56/~jnz1568/getInfo.php?workbook=18_08.xlsx&amp;sheet=U0&amp;row=7844&amp;col=7&amp;number=0.00325&amp;sourceID=14","0.00325")</f>
        <v>0.00325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HYPERLINK("http://141.218.60.56/~jnz1568/getInfo.php?workbook=18_08.xlsx&amp;sheet=U0&amp;row=7845&amp;col=6&amp;number=3.1&amp;sourceID=14","3.1")</f>
        <v>3.1</v>
      </c>
      <c r="G7845" s="4" t="str">
        <f>HYPERLINK("http://141.218.60.56/~jnz1568/getInfo.php?workbook=18_08.xlsx&amp;sheet=U0&amp;row=7845&amp;col=7&amp;number=0.00326&amp;sourceID=14","0.00326")</f>
        <v>0.00326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HYPERLINK("http://141.218.60.56/~jnz1568/getInfo.php?workbook=18_08.xlsx&amp;sheet=U0&amp;row=7846&amp;col=6&amp;number=3.2&amp;sourceID=14","3.2")</f>
        <v>3.2</v>
      </c>
      <c r="G7846" s="4" t="str">
        <f>HYPERLINK("http://141.218.60.56/~jnz1568/getInfo.php?workbook=18_08.xlsx&amp;sheet=U0&amp;row=7846&amp;col=7&amp;number=0.00326&amp;sourceID=14","0.00326")</f>
        <v>0.00326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HYPERLINK("http://141.218.60.56/~jnz1568/getInfo.php?workbook=18_08.xlsx&amp;sheet=U0&amp;row=7847&amp;col=6&amp;number=3.3&amp;sourceID=14","3.3")</f>
        <v>3.3</v>
      </c>
      <c r="G7847" s="4" t="str">
        <f>HYPERLINK("http://141.218.60.56/~jnz1568/getInfo.php?workbook=18_08.xlsx&amp;sheet=U0&amp;row=7847&amp;col=7&amp;number=0.00326&amp;sourceID=14","0.00326")</f>
        <v>0.00326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HYPERLINK("http://141.218.60.56/~jnz1568/getInfo.php?workbook=18_08.xlsx&amp;sheet=U0&amp;row=7848&amp;col=6&amp;number=3.4&amp;sourceID=14","3.4")</f>
        <v>3.4</v>
      </c>
      <c r="G7848" s="4" t="str">
        <f>HYPERLINK("http://141.218.60.56/~jnz1568/getInfo.php?workbook=18_08.xlsx&amp;sheet=U0&amp;row=7848&amp;col=7&amp;number=0.00326&amp;sourceID=14","0.00326")</f>
        <v>0.00326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HYPERLINK("http://141.218.60.56/~jnz1568/getInfo.php?workbook=18_08.xlsx&amp;sheet=U0&amp;row=7849&amp;col=6&amp;number=3.5&amp;sourceID=14","3.5")</f>
        <v>3.5</v>
      </c>
      <c r="G7849" s="4" t="str">
        <f>HYPERLINK("http://141.218.60.56/~jnz1568/getInfo.php?workbook=18_08.xlsx&amp;sheet=U0&amp;row=7849&amp;col=7&amp;number=0.00326&amp;sourceID=14","0.00326")</f>
        <v>0.00326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HYPERLINK("http://141.218.60.56/~jnz1568/getInfo.php?workbook=18_08.xlsx&amp;sheet=U0&amp;row=7850&amp;col=6&amp;number=3.6&amp;sourceID=14","3.6")</f>
        <v>3.6</v>
      </c>
      <c r="G7850" s="4" t="str">
        <f>HYPERLINK("http://141.218.60.56/~jnz1568/getInfo.php?workbook=18_08.xlsx&amp;sheet=U0&amp;row=7850&amp;col=7&amp;number=0.00326&amp;sourceID=14","0.00326")</f>
        <v>0.00326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HYPERLINK("http://141.218.60.56/~jnz1568/getInfo.php?workbook=18_08.xlsx&amp;sheet=U0&amp;row=7851&amp;col=6&amp;number=3.7&amp;sourceID=14","3.7")</f>
        <v>3.7</v>
      </c>
      <c r="G7851" s="4" t="str">
        <f>HYPERLINK("http://141.218.60.56/~jnz1568/getInfo.php?workbook=18_08.xlsx&amp;sheet=U0&amp;row=7851&amp;col=7&amp;number=0.00326&amp;sourceID=14","0.00326")</f>
        <v>0.00326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HYPERLINK("http://141.218.60.56/~jnz1568/getInfo.php?workbook=18_08.xlsx&amp;sheet=U0&amp;row=7852&amp;col=6&amp;number=3.8&amp;sourceID=14","3.8")</f>
        <v>3.8</v>
      </c>
      <c r="G7852" s="4" t="str">
        <f>HYPERLINK("http://141.218.60.56/~jnz1568/getInfo.php?workbook=18_08.xlsx&amp;sheet=U0&amp;row=7852&amp;col=7&amp;number=0.00326&amp;sourceID=14","0.00326")</f>
        <v>0.00326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HYPERLINK("http://141.218.60.56/~jnz1568/getInfo.php?workbook=18_08.xlsx&amp;sheet=U0&amp;row=7853&amp;col=6&amp;number=3.9&amp;sourceID=14","3.9")</f>
        <v>3.9</v>
      </c>
      <c r="G7853" s="4" t="str">
        <f>HYPERLINK("http://141.218.60.56/~jnz1568/getInfo.php?workbook=18_08.xlsx&amp;sheet=U0&amp;row=7853&amp;col=7&amp;number=0.00326&amp;sourceID=14","0.00326")</f>
        <v>0.00326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HYPERLINK("http://141.218.60.56/~jnz1568/getInfo.php?workbook=18_08.xlsx&amp;sheet=U0&amp;row=7854&amp;col=6&amp;number=4&amp;sourceID=14","4")</f>
        <v>4</v>
      </c>
      <c r="G7854" s="4" t="str">
        <f>HYPERLINK("http://141.218.60.56/~jnz1568/getInfo.php?workbook=18_08.xlsx&amp;sheet=U0&amp;row=7854&amp;col=7&amp;number=0.00326&amp;sourceID=14","0.00326")</f>
        <v>0.00326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HYPERLINK("http://141.218.60.56/~jnz1568/getInfo.php?workbook=18_08.xlsx&amp;sheet=U0&amp;row=7855&amp;col=6&amp;number=4.1&amp;sourceID=14","4.1")</f>
        <v>4.1</v>
      </c>
      <c r="G7855" s="4" t="str">
        <f>HYPERLINK("http://141.218.60.56/~jnz1568/getInfo.php?workbook=18_08.xlsx&amp;sheet=U0&amp;row=7855&amp;col=7&amp;number=0.00327&amp;sourceID=14","0.00327")</f>
        <v>0.00327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HYPERLINK("http://141.218.60.56/~jnz1568/getInfo.php?workbook=18_08.xlsx&amp;sheet=U0&amp;row=7856&amp;col=6&amp;number=4.2&amp;sourceID=14","4.2")</f>
        <v>4.2</v>
      </c>
      <c r="G7856" s="4" t="str">
        <f>HYPERLINK("http://141.218.60.56/~jnz1568/getInfo.php?workbook=18_08.xlsx&amp;sheet=U0&amp;row=7856&amp;col=7&amp;number=0.00327&amp;sourceID=14","0.00327")</f>
        <v>0.00327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HYPERLINK("http://141.218.60.56/~jnz1568/getInfo.php?workbook=18_08.xlsx&amp;sheet=U0&amp;row=7857&amp;col=6&amp;number=4.3&amp;sourceID=14","4.3")</f>
        <v>4.3</v>
      </c>
      <c r="G7857" s="4" t="str">
        <f>HYPERLINK("http://141.218.60.56/~jnz1568/getInfo.php?workbook=18_08.xlsx&amp;sheet=U0&amp;row=7857&amp;col=7&amp;number=0.00327&amp;sourceID=14","0.00327")</f>
        <v>0.00327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HYPERLINK("http://141.218.60.56/~jnz1568/getInfo.php?workbook=18_08.xlsx&amp;sheet=U0&amp;row=7858&amp;col=6&amp;number=4.4&amp;sourceID=14","4.4")</f>
        <v>4.4</v>
      </c>
      <c r="G7858" s="4" t="str">
        <f>HYPERLINK("http://141.218.60.56/~jnz1568/getInfo.php?workbook=18_08.xlsx&amp;sheet=U0&amp;row=7858&amp;col=7&amp;number=0.00328&amp;sourceID=14","0.00328")</f>
        <v>0.00328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HYPERLINK("http://141.218.60.56/~jnz1568/getInfo.php?workbook=18_08.xlsx&amp;sheet=U0&amp;row=7859&amp;col=6&amp;number=4.5&amp;sourceID=14","4.5")</f>
        <v>4.5</v>
      </c>
      <c r="G7859" s="4" t="str">
        <f>HYPERLINK("http://141.218.60.56/~jnz1568/getInfo.php?workbook=18_08.xlsx&amp;sheet=U0&amp;row=7859&amp;col=7&amp;number=0.00328&amp;sourceID=14","0.00328")</f>
        <v>0.00328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HYPERLINK("http://141.218.60.56/~jnz1568/getInfo.php?workbook=18_08.xlsx&amp;sheet=U0&amp;row=7860&amp;col=6&amp;number=4.6&amp;sourceID=14","4.6")</f>
        <v>4.6</v>
      </c>
      <c r="G7860" s="4" t="str">
        <f>HYPERLINK("http://141.218.60.56/~jnz1568/getInfo.php?workbook=18_08.xlsx&amp;sheet=U0&amp;row=7860&amp;col=7&amp;number=0.00329&amp;sourceID=14","0.00329")</f>
        <v>0.00329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HYPERLINK("http://141.218.60.56/~jnz1568/getInfo.php?workbook=18_08.xlsx&amp;sheet=U0&amp;row=7861&amp;col=6&amp;number=4.7&amp;sourceID=14","4.7")</f>
        <v>4.7</v>
      </c>
      <c r="G7861" s="4" t="str">
        <f>HYPERLINK("http://141.218.60.56/~jnz1568/getInfo.php?workbook=18_08.xlsx&amp;sheet=U0&amp;row=7861&amp;col=7&amp;number=0.0033&amp;sourceID=14","0.0033")</f>
        <v>0.0033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HYPERLINK("http://141.218.60.56/~jnz1568/getInfo.php?workbook=18_08.xlsx&amp;sheet=U0&amp;row=7862&amp;col=6&amp;number=4.8&amp;sourceID=14","4.8")</f>
        <v>4.8</v>
      </c>
      <c r="G7862" s="4" t="str">
        <f>HYPERLINK("http://141.218.60.56/~jnz1568/getInfo.php?workbook=18_08.xlsx&amp;sheet=U0&amp;row=7862&amp;col=7&amp;number=0.00331&amp;sourceID=14","0.00331")</f>
        <v>0.00331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HYPERLINK("http://141.218.60.56/~jnz1568/getInfo.php?workbook=18_08.xlsx&amp;sheet=U0&amp;row=7863&amp;col=6&amp;number=4.9&amp;sourceID=14","4.9")</f>
        <v>4.9</v>
      </c>
      <c r="G7863" s="4" t="str">
        <f>HYPERLINK("http://141.218.60.56/~jnz1568/getInfo.php?workbook=18_08.xlsx&amp;sheet=U0&amp;row=7863&amp;col=7&amp;number=0.00333&amp;sourceID=14","0.00333")</f>
        <v>0.00333</v>
      </c>
    </row>
    <row r="7864" spans="1:7">
      <c r="A7864" s="3">
        <v>18</v>
      </c>
      <c r="B7864" s="3">
        <v>8</v>
      </c>
      <c r="C7864" s="3" t="s">
        <v>83</v>
      </c>
      <c r="D7864" s="3">
        <v>5</v>
      </c>
      <c r="E7864" s="3">
        <v>1</v>
      </c>
      <c r="F7864" s="4" t="str">
        <f>HYPERLINK("http://141.218.60.56/~jnz1568/getInfo.php?workbook=18_08.xlsx&amp;sheet=U0&amp;row=7864&amp;col=6&amp;number=3&amp;sourceID=14","3")</f>
        <v>3</v>
      </c>
      <c r="G7864" s="4" t="str">
        <f>HYPERLINK("http://141.218.60.56/~jnz1568/getInfo.php?workbook=18_08.xlsx&amp;sheet=U0&amp;row=7864&amp;col=7&amp;number=0.0794&amp;sourceID=14","0.0794")</f>
        <v>0.0794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HYPERLINK("http://141.218.60.56/~jnz1568/getInfo.php?workbook=18_08.xlsx&amp;sheet=U0&amp;row=7865&amp;col=6&amp;number=3.1&amp;sourceID=14","3.1")</f>
        <v>3.1</v>
      </c>
      <c r="G7865" s="4" t="str">
        <f>HYPERLINK("http://141.218.60.56/~jnz1568/getInfo.php?workbook=18_08.xlsx&amp;sheet=U0&amp;row=7865&amp;col=7&amp;number=0.0794&amp;sourceID=14","0.0794")</f>
        <v>0.0794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HYPERLINK("http://141.218.60.56/~jnz1568/getInfo.php?workbook=18_08.xlsx&amp;sheet=U0&amp;row=7866&amp;col=6&amp;number=3.2&amp;sourceID=14","3.2")</f>
        <v>3.2</v>
      </c>
      <c r="G7866" s="4" t="str">
        <f>HYPERLINK("http://141.218.60.56/~jnz1568/getInfo.php?workbook=18_08.xlsx&amp;sheet=U0&amp;row=7866&amp;col=7&amp;number=0.0794&amp;sourceID=14","0.0794")</f>
        <v>0.0794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HYPERLINK("http://141.218.60.56/~jnz1568/getInfo.php?workbook=18_08.xlsx&amp;sheet=U0&amp;row=7867&amp;col=6&amp;number=3.3&amp;sourceID=14","3.3")</f>
        <v>3.3</v>
      </c>
      <c r="G7867" s="4" t="str">
        <f>HYPERLINK("http://141.218.60.56/~jnz1568/getInfo.php?workbook=18_08.xlsx&amp;sheet=U0&amp;row=7867&amp;col=7&amp;number=0.0794&amp;sourceID=14","0.0794")</f>
        <v>0.0794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HYPERLINK("http://141.218.60.56/~jnz1568/getInfo.php?workbook=18_08.xlsx&amp;sheet=U0&amp;row=7868&amp;col=6&amp;number=3.4&amp;sourceID=14","3.4")</f>
        <v>3.4</v>
      </c>
      <c r="G7868" s="4" t="str">
        <f>HYPERLINK("http://141.218.60.56/~jnz1568/getInfo.php?workbook=18_08.xlsx&amp;sheet=U0&amp;row=7868&amp;col=7&amp;number=0.0794&amp;sourceID=14","0.0794")</f>
        <v>0.0794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HYPERLINK("http://141.218.60.56/~jnz1568/getInfo.php?workbook=18_08.xlsx&amp;sheet=U0&amp;row=7869&amp;col=6&amp;number=3.5&amp;sourceID=14","3.5")</f>
        <v>3.5</v>
      </c>
      <c r="G7869" s="4" t="str">
        <f>HYPERLINK("http://141.218.60.56/~jnz1568/getInfo.php?workbook=18_08.xlsx&amp;sheet=U0&amp;row=7869&amp;col=7&amp;number=0.0794&amp;sourceID=14","0.0794")</f>
        <v>0.0794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HYPERLINK("http://141.218.60.56/~jnz1568/getInfo.php?workbook=18_08.xlsx&amp;sheet=U0&amp;row=7870&amp;col=6&amp;number=3.6&amp;sourceID=14","3.6")</f>
        <v>3.6</v>
      </c>
      <c r="G7870" s="4" t="str">
        <f>HYPERLINK("http://141.218.60.56/~jnz1568/getInfo.php?workbook=18_08.xlsx&amp;sheet=U0&amp;row=7870&amp;col=7&amp;number=0.0794&amp;sourceID=14","0.0794")</f>
        <v>0.0794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HYPERLINK("http://141.218.60.56/~jnz1568/getInfo.php?workbook=18_08.xlsx&amp;sheet=U0&amp;row=7871&amp;col=6&amp;number=3.7&amp;sourceID=14","3.7")</f>
        <v>3.7</v>
      </c>
      <c r="G7871" s="4" t="str">
        <f>HYPERLINK("http://141.218.60.56/~jnz1568/getInfo.php?workbook=18_08.xlsx&amp;sheet=U0&amp;row=7871&amp;col=7&amp;number=0.0794&amp;sourceID=14","0.0794")</f>
        <v>0.0794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HYPERLINK("http://141.218.60.56/~jnz1568/getInfo.php?workbook=18_08.xlsx&amp;sheet=U0&amp;row=7872&amp;col=6&amp;number=3.8&amp;sourceID=14","3.8")</f>
        <v>3.8</v>
      </c>
      <c r="G7872" s="4" t="str">
        <f>HYPERLINK("http://141.218.60.56/~jnz1568/getInfo.php?workbook=18_08.xlsx&amp;sheet=U0&amp;row=7872&amp;col=7&amp;number=0.0794&amp;sourceID=14","0.0794")</f>
        <v>0.0794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HYPERLINK("http://141.218.60.56/~jnz1568/getInfo.php?workbook=18_08.xlsx&amp;sheet=U0&amp;row=7873&amp;col=6&amp;number=3.9&amp;sourceID=14","3.9")</f>
        <v>3.9</v>
      </c>
      <c r="G7873" s="4" t="str">
        <f>HYPERLINK("http://141.218.60.56/~jnz1568/getInfo.php?workbook=18_08.xlsx&amp;sheet=U0&amp;row=7873&amp;col=7&amp;number=0.0794&amp;sourceID=14","0.0794")</f>
        <v>0.0794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HYPERLINK("http://141.218.60.56/~jnz1568/getInfo.php?workbook=18_08.xlsx&amp;sheet=U0&amp;row=7874&amp;col=6&amp;number=4&amp;sourceID=14","4")</f>
        <v>4</v>
      </c>
      <c r="G7874" s="4" t="str">
        <f>HYPERLINK("http://141.218.60.56/~jnz1568/getInfo.php?workbook=18_08.xlsx&amp;sheet=U0&amp;row=7874&amp;col=7&amp;number=0.0794&amp;sourceID=14","0.0794")</f>
        <v>0.0794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HYPERLINK("http://141.218.60.56/~jnz1568/getInfo.php?workbook=18_08.xlsx&amp;sheet=U0&amp;row=7875&amp;col=6&amp;number=4.1&amp;sourceID=14","4.1")</f>
        <v>4.1</v>
      </c>
      <c r="G7875" s="4" t="str">
        <f>HYPERLINK("http://141.218.60.56/~jnz1568/getInfo.php?workbook=18_08.xlsx&amp;sheet=U0&amp;row=7875&amp;col=7&amp;number=0.0794&amp;sourceID=14","0.0794")</f>
        <v>0.0794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HYPERLINK("http://141.218.60.56/~jnz1568/getInfo.php?workbook=18_08.xlsx&amp;sheet=U0&amp;row=7876&amp;col=6&amp;number=4.2&amp;sourceID=14","4.2")</f>
        <v>4.2</v>
      </c>
      <c r="G7876" s="4" t="str">
        <f>HYPERLINK("http://141.218.60.56/~jnz1568/getInfo.php?workbook=18_08.xlsx&amp;sheet=U0&amp;row=7876&amp;col=7&amp;number=0.0794&amp;sourceID=14","0.0794")</f>
        <v>0.0794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HYPERLINK("http://141.218.60.56/~jnz1568/getInfo.php?workbook=18_08.xlsx&amp;sheet=U0&amp;row=7877&amp;col=6&amp;number=4.3&amp;sourceID=14","4.3")</f>
        <v>4.3</v>
      </c>
      <c r="G7877" s="4" t="str">
        <f>HYPERLINK("http://141.218.60.56/~jnz1568/getInfo.php?workbook=18_08.xlsx&amp;sheet=U0&amp;row=7877&amp;col=7&amp;number=0.0794&amp;sourceID=14","0.0794")</f>
        <v>0.0794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HYPERLINK("http://141.218.60.56/~jnz1568/getInfo.php?workbook=18_08.xlsx&amp;sheet=U0&amp;row=7878&amp;col=6&amp;number=4.4&amp;sourceID=14","4.4")</f>
        <v>4.4</v>
      </c>
      <c r="G7878" s="4" t="str">
        <f>HYPERLINK("http://141.218.60.56/~jnz1568/getInfo.php?workbook=18_08.xlsx&amp;sheet=U0&amp;row=7878&amp;col=7&amp;number=0.0794&amp;sourceID=14","0.0794")</f>
        <v>0.0794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HYPERLINK("http://141.218.60.56/~jnz1568/getInfo.php?workbook=18_08.xlsx&amp;sheet=U0&amp;row=7879&amp;col=6&amp;number=4.5&amp;sourceID=14","4.5")</f>
        <v>4.5</v>
      </c>
      <c r="G7879" s="4" t="str">
        <f>HYPERLINK("http://141.218.60.56/~jnz1568/getInfo.php?workbook=18_08.xlsx&amp;sheet=U0&amp;row=7879&amp;col=7&amp;number=0.0795&amp;sourceID=14","0.0795")</f>
        <v>0.0795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HYPERLINK("http://141.218.60.56/~jnz1568/getInfo.php?workbook=18_08.xlsx&amp;sheet=U0&amp;row=7880&amp;col=6&amp;number=4.6&amp;sourceID=14","4.6")</f>
        <v>4.6</v>
      </c>
      <c r="G7880" s="4" t="str">
        <f>HYPERLINK("http://141.218.60.56/~jnz1568/getInfo.php?workbook=18_08.xlsx&amp;sheet=U0&amp;row=7880&amp;col=7&amp;number=0.0795&amp;sourceID=14","0.0795")</f>
        <v>0.0795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HYPERLINK("http://141.218.60.56/~jnz1568/getInfo.php?workbook=18_08.xlsx&amp;sheet=U0&amp;row=7881&amp;col=6&amp;number=4.7&amp;sourceID=14","4.7")</f>
        <v>4.7</v>
      </c>
      <c r="G7881" s="4" t="str">
        <f>HYPERLINK("http://141.218.60.56/~jnz1568/getInfo.php?workbook=18_08.xlsx&amp;sheet=U0&amp;row=7881&amp;col=7&amp;number=0.0795&amp;sourceID=14","0.0795")</f>
        <v>0.0795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HYPERLINK("http://141.218.60.56/~jnz1568/getInfo.php?workbook=18_08.xlsx&amp;sheet=U0&amp;row=7882&amp;col=6&amp;number=4.8&amp;sourceID=14","4.8")</f>
        <v>4.8</v>
      </c>
      <c r="G7882" s="4" t="str">
        <f>HYPERLINK("http://141.218.60.56/~jnz1568/getInfo.php?workbook=18_08.xlsx&amp;sheet=U0&amp;row=7882&amp;col=7&amp;number=0.0795&amp;sourceID=14","0.0795")</f>
        <v>0.0795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HYPERLINK("http://141.218.60.56/~jnz1568/getInfo.php?workbook=18_08.xlsx&amp;sheet=U0&amp;row=7883&amp;col=6&amp;number=4.9&amp;sourceID=14","4.9")</f>
        <v>4.9</v>
      </c>
      <c r="G7883" s="4" t="str">
        <f>HYPERLINK("http://141.218.60.56/~jnz1568/getInfo.php?workbook=18_08.xlsx&amp;sheet=U0&amp;row=7883&amp;col=7&amp;number=0.0796&amp;sourceID=14","0.0796")</f>
        <v>0.0796</v>
      </c>
    </row>
    <row r="7884" spans="1:7">
      <c r="A7884" s="3">
        <v>18</v>
      </c>
      <c r="B7884" s="3">
        <v>8</v>
      </c>
      <c r="C7884" s="3" t="s">
        <v>83</v>
      </c>
      <c r="D7884" s="3">
        <v>6</v>
      </c>
      <c r="E7884" s="3">
        <v>1</v>
      </c>
      <c r="F7884" s="4" t="str">
        <f>HYPERLINK("http://141.218.60.56/~jnz1568/getInfo.php?workbook=18_08.xlsx&amp;sheet=U0&amp;row=7884&amp;col=6&amp;number=3&amp;sourceID=14","3")</f>
        <v>3</v>
      </c>
      <c r="G7884" s="4" t="str">
        <f>HYPERLINK("http://141.218.60.56/~jnz1568/getInfo.php?workbook=18_08.xlsx&amp;sheet=U0&amp;row=7884&amp;col=7&amp;number=0.00019&amp;sourceID=14","0.00019")</f>
        <v>0.00019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HYPERLINK("http://141.218.60.56/~jnz1568/getInfo.php?workbook=18_08.xlsx&amp;sheet=U0&amp;row=7885&amp;col=6&amp;number=3.1&amp;sourceID=14","3.1")</f>
        <v>3.1</v>
      </c>
      <c r="G7885" s="4" t="str">
        <f>HYPERLINK("http://141.218.60.56/~jnz1568/getInfo.php?workbook=18_08.xlsx&amp;sheet=U0&amp;row=7885&amp;col=7&amp;number=0.00019&amp;sourceID=14","0.00019")</f>
        <v>0.00019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HYPERLINK("http://141.218.60.56/~jnz1568/getInfo.php?workbook=18_08.xlsx&amp;sheet=U0&amp;row=7886&amp;col=6&amp;number=3.2&amp;sourceID=14","3.2")</f>
        <v>3.2</v>
      </c>
      <c r="G7886" s="4" t="str">
        <f>HYPERLINK("http://141.218.60.56/~jnz1568/getInfo.php?workbook=18_08.xlsx&amp;sheet=U0&amp;row=7886&amp;col=7&amp;number=0.00019&amp;sourceID=14","0.00019")</f>
        <v>0.00019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HYPERLINK("http://141.218.60.56/~jnz1568/getInfo.php?workbook=18_08.xlsx&amp;sheet=U0&amp;row=7887&amp;col=6&amp;number=3.3&amp;sourceID=14","3.3")</f>
        <v>3.3</v>
      </c>
      <c r="G7887" s="4" t="str">
        <f>HYPERLINK("http://141.218.60.56/~jnz1568/getInfo.php?workbook=18_08.xlsx&amp;sheet=U0&amp;row=7887&amp;col=7&amp;number=0.00019&amp;sourceID=14","0.00019")</f>
        <v>0.00019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HYPERLINK("http://141.218.60.56/~jnz1568/getInfo.php?workbook=18_08.xlsx&amp;sheet=U0&amp;row=7888&amp;col=6&amp;number=3.4&amp;sourceID=14","3.4")</f>
        <v>3.4</v>
      </c>
      <c r="G7888" s="4" t="str">
        <f>HYPERLINK("http://141.218.60.56/~jnz1568/getInfo.php?workbook=18_08.xlsx&amp;sheet=U0&amp;row=7888&amp;col=7&amp;number=0.00019&amp;sourceID=14","0.00019")</f>
        <v>0.00019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HYPERLINK("http://141.218.60.56/~jnz1568/getInfo.php?workbook=18_08.xlsx&amp;sheet=U0&amp;row=7889&amp;col=6&amp;number=3.5&amp;sourceID=14","3.5")</f>
        <v>3.5</v>
      </c>
      <c r="G7889" s="4" t="str">
        <f>HYPERLINK("http://141.218.60.56/~jnz1568/getInfo.php?workbook=18_08.xlsx&amp;sheet=U0&amp;row=7889&amp;col=7&amp;number=0.00019&amp;sourceID=14","0.00019")</f>
        <v>0.00019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HYPERLINK("http://141.218.60.56/~jnz1568/getInfo.php?workbook=18_08.xlsx&amp;sheet=U0&amp;row=7890&amp;col=6&amp;number=3.6&amp;sourceID=14","3.6")</f>
        <v>3.6</v>
      </c>
      <c r="G7890" s="4" t="str">
        <f>HYPERLINK("http://141.218.60.56/~jnz1568/getInfo.php?workbook=18_08.xlsx&amp;sheet=U0&amp;row=7890&amp;col=7&amp;number=0.00019&amp;sourceID=14","0.00019")</f>
        <v>0.00019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HYPERLINK("http://141.218.60.56/~jnz1568/getInfo.php?workbook=18_08.xlsx&amp;sheet=U0&amp;row=7891&amp;col=6&amp;number=3.7&amp;sourceID=14","3.7")</f>
        <v>3.7</v>
      </c>
      <c r="G7891" s="4" t="str">
        <f>HYPERLINK("http://141.218.60.56/~jnz1568/getInfo.php?workbook=18_08.xlsx&amp;sheet=U0&amp;row=7891&amp;col=7&amp;number=0.00019&amp;sourceID=14","0.00019")</f>
        <v>0.00019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HYPERLINK("http://141.218.60.56/~jnz1568/getInfo.php?workbook=18_08.xlsx&amp;sheet=U0&amp;row=7892&amp;col=6&amp;number=3.8&amp;sourceID=14","3.8")</f>
        <v>3.8</v>
      </c>
      <c r="G7892" s="4" t="str">
        <f>HYPERLINK("http://141.218.60.56/~jnz1568/getInfo.php?workbook=18_08.xlsx&amp;sheet=U0&amp;row=7892&amp;col=7&amp;number=0.00019&amp;sourceID=14","0.00019")</f>
        <v>0.00019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HYPERLINK("http://141.218.60.56/~jnz1568/getInfo.php?workbook=18_08.xlsx&amp;sheet=U0&amp;row=7893&amp;col=6&amp;number=3.9&amp;sourceID=14","3.9")</f>
        <v>3.9</v>
      </c>
      <c r="G7893" s="4" t="str">
        <f>HYPERLINK("http://141.218.60.56/~jnz1568/getInfo.php?workbook=18_08.xlsx&amp;sheet=U0&amp;row=7893&amp;col=7&amp;number=0.00019&amp;sourceID=14","0.00019")</f>
        <v>0.00019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HYPERLINK("http://141.218.60.56/~jnz1568/getInfo.php?workbook=18_08.xlsx&amp;sheet=U0&amp;row=7894&amp;col=6&amp;number=4&amp;sourceID=14","4")</f>
        <v>4</v>
      </c>
      <c r="G7894" s="4" t="str">
        <f>HYPERLINK("http://141.218.60.56/~jnz1568/getInfo.php?workbook=18_08.xlsx&amp;sheet=U0&amp;row=7894&amp;col=7&amp;number=0.00019&amp;sourceID=14","0.00019")</f>
        <v>0.00019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HYPERLINK("http://141.218.60.56/~jnz1568/getInfo.php?workbook=18_08.xlsx&amp;sheet=U0&amp;row=7895&amp;col=6&amp;number=4.1&amp;sourceID=14","4.1")</f>
        <v>4.1</v>
      </c>
      <c r="G7895" s="4" t="str">
        <f>HYPERLINK("http://141.218.60.56/~jnz1568/getInfo.php?workbook=18_08.xlsx&amp;sheet=U0&amp;row=7895&amp;col=7&amp;number=0.00019&amp;sourceID=14","0.00019")</f>
        <v>0.00019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HYPERLINK("http://141.218.60.56/~jnz1568/getInfo.php?workbook=18_08.xlsx&amp;sheet=U0&amp;row=7896&amp;col=6&amp;number=4.2&amp;sourceID=14","4.2")</f>
        <v>4.2</v>
      </c>
      <c r="G7896" s="4" t="str">
        <f>HYPERLINK("http://141.218.60.56/~jnz1568/getInfo.php?workbook=18_08.xlsx&amp;sheet=U0&amp;row=7896&amp;col=7&amp;number=0.000189&amp;sourceID=14","0.000189")</f>
        <v>0.000189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HYPERLINK("http://141.218.60.56/~jnz1568/getInfo.php?workbook=18_08.xlsx&amp;sheet=U0&amp;row=7897&amp;col=6&amp;number=4.3&amp;sourceID=14","4.3")</f>
        <v>4.3</v>
      </c>
      <c r="G7897" s="4" t="str">
        <f>HYPERLINK("http://141.218.60.56/~jnz1568/getInfo.php?workbook=18_08.xlsx&amp;sheet=U0&amp;row=7897&amp;col=7&amp;number=0.000189&amp;sourceID=14","0.000189")</f>
        <v>0.000189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HYPERLINK("http://141.218.60.56/~jnz1568/getInfo.php?workbook=18_08.xlsx&amp;sheet=U0&amp;row=7898&amp;col=6&amp;number=4.4&amp;sourceID=14","4.4")</f>
        <v>4.4</v>
      </c>
      <c r="G7898" s="4" t="str">
        <f>HYPERLINK("http://141.218.60.56/~jnz1568/getInfo.php?workbook=18_08.xlsx&amp;sheet=U0&amp;row=7898&amp;col=7&amp;number=0.000189&amp;sourceID=14","0.000189")</f>
        <v>0.000189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HYPERLINK("http://141.218.60.56/~jnz1568/getInfo.php?workbook=18_08.xlsx&amp;sheet=U0&amp;row=7899&amp;col=6&amp;number=4.5&amp;sourceID=14","4.5")</f>
        <v>4.5</v>
      </c>
      <c r="G7899" s="4" t="str">
        <f>HYPERLINK("http://141.218.60.56/~jnz1568/getInfo.php?workbook=18_08.xlsx&amp;sheet=U0&amp;row=7899&amp;col=7&amp;number=0.000188&amp;sourceID=14","0.000188")</f>
        <v>0.000188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HYPERLINK("http://141.218.60.56/~jnz1568/getInfo.php?workbook=18_08.xlsx&amp;sheet=U0&amp;row=7900&amp;col=6&amp;number=4.6&amp;sourceID=14","4.6")</f>
        <v>4.6</v>
      </c>
      <c r="G7900" s="4" t="str">
        <f>HYPERLINK("http://141.218.60.56/~jnz1568/getInfo.php?workbook=18_08.xlsx&amp;sheet=U0&amp;row=7900&amp;col=7&amp;number=0.000188&amp;sourceID=14","0.000188")</f>
        <v>0.000188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HYPERLINK("http://141.218.60.56/~jnz1568/getInfo.php?workbook=18_08.xlsx&amp;sheet=U0&amp;row=7901&amp;col=6&amp;number=4.7&amp;sourceID=14","4.7")</f>
        <v>4.7</v>
      </c>
      <c r="G7901" s="4" t="str">
        <f>HYPERLINK("http://141.218.60.56/~jnz1568/getInfo.php?workbook=18_08.xlsx&amp;sheet=U0&amp;row=7901&amp;col=7&amp;number=0.000187&amp;sourceID=14","0.000187")</f>
        <v>0.000187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HYPERLINK("http://141.218.60.56/~jnz1568/getInfo.php?workbook=18_08.xlsx&amp;sheet=U0&amp;row=7902&amp;col=6&amp;number=4.8&amp;sourceID=14","4.8")</f>
        <v>4.8</v>
      </c>
      <c r="G7902" s="4" t="str">
        <f>HYPERLINK("http://141.218.60.56/~jnz1568/getInfo.php?workbook=18_08.xlsx&amp;sheet=U0&amp;row=7902&amp;col=7&amp;number=0.000186&amp;sourceID=14","0.000186")</f>
        <v>0.000186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HYPERLINK("http://141.218.60.56/~jnz1568/getInfo.php?workbook=18_08.xlsx&amp;sheet=U0&amp;row=7903&amp;col=6&amp;number=4.9&amp;sourceID=14","4.9")</f>
        <v>4.9</v>
      </c>
      <c r="G7903" s="4" t="str">
        <f>HYPERLINK("http://141.218.60.56/~jnz1568/getInfo.php?workbook=18_08.xlsx&amp;sheet=U0&amp;row=7903&amp;col=7&amp;number=0.000185&amp;sourceID=14","0.000185")</f>
        <v>0.000185</v>
      </c>
    </row>
    <row r="7904" spans="1:7">
      <c r="A7904" s="3">
        <v>18</v>
      </c>
      <c r="B7904" s="3">
        <v>8</v>
      </c>
      <c r="C7904" s="3" t="s">
        <v>83</v>
      </c>
      <c r="D7904" s="3">
        <v>7</v>
      </c>
      <c r="E7904" s="3">
        <v>1</v>
      </c>
      <c r="F7904" s="4" t="str">
        <f>HYPERLINK("http://141.218.60.56/~jnz1568/getInfo.php?workbook=18_08.xlsx&amp;sheet=U0&amp;row=7904&amp;col=6&amp;number=3&amp;sourceID=14","3")</f>
        <v>3</v>
      </c>
      <c r="G7904" s="4" t="str">
        <f>HYPERLINK("http://141.218.60.56/~jnz1568/getInfo.php?workbook=18_08.xlsx&amp;sheet=U0&amp;row=7904&amp;col=7&amp;number=0.00302&amp;sourceID=14","0.00302")</f>
        <v>0.00302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HYPERLINK("http://141.218.60.56/~jnz1568/getInfo.php?workbook=18_08.xlsx&amp;sheet=U0&amp;row=7905&amp;col=6&amp;number=3.1&amp;sourceID=14","3.1")</f>
        <v>3.1</v>
      </c>
      <c r="G7905" s="4" t="str">
        <f>HYPERLINK("http://141.218.60.56/~jnz1568/getInfo.php?workbook=18_08.xlsx&amp;sheet=U0&amp;row=7905&amp;col=7&amp;number=0.00302&amp;sourceID=14","0.00302")</f>
        <v>0.00302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HYPERLINK("http://141.218.60.56/~jnz1568/getInfo.php?workbook=18_08.xlsx&amp;sheet=U0&amp;row=7906&amp;col=6&amp;number=3.2&amp;sourceID=14","3.2")</f>
        <v>3.2</v>
      </c>
      <c r="G7906" s="4" t="str">
        <f>HYPERLINK("http://141.218.60.56/~jnz1568/getInfo.php?workbook=18_08.xlsx&amp;sheet=U0&amp;row=7906&amp;col=7&amp;number=0.00302&amp;sourceID=14","0.00302")</f>
        <v>0.00302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HYPERLINK("http://141.218.60.56/~jnz1568/getInfo.php?workbook=18_08.xlsx&amp;sheet=U0&amp;row=7907&amp;col=6&amp;number=3.3&amp;sourceID=14","3.3")</f>
        <v>3.3</v>
      </c>
      <c r="G7907" s="4" t="str">
        <f>HYPERLINK("http://141.218.60.56/~jnz1568/getInfo.php?workbook=18_08.xlsx&amp;sheet=U0&amp;row=7907&amp;col=7&amp;number=0.00302&amp;sourceID=14","0.00302")</f>
        <v>0.00302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HYPERLINK("http://141.218.60.56/~jnz1568/getInfo.php?workbook=18_08.xlsx&amp;sheet=U0&amp;row=7908&amp;col=6&amp;number=3.4&amp;sourceID=14","3.4")</f>
        <v>3.4</v>
      </c>
      <c r="G7908" s="4" t="str">
        <f>HYPERLINK("http://141.218.60.56/~jnz1568/getInfo.php?workbook=18_08.xlsx&amp;sheet=U0&amp;row=7908&amp;col=7&amp;number=0.00303&amp;sourceID=14","0.00303")</f>
        <v>0.00303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HYPERLINK("http://141.218.60.56/~jnz1568/getInfo.php?workbook=18_08.xlsx&amp;sheet=U0&amp;row=7909&amp;col=6&amp;number=3.5&amp;sourceID=14","3.5")</f>
        <v>3.5</v>
      </c>
      <c r="G7909" s="4" t="str">
        <f>HYPERLINK("http://141.218.60.56/~jnz1568/getInfo.php?workbook=18_08.xlsx&amp;sheet=U0&amp;row=7909&amp;col=7&amp;number=0.00303&amp;sourceID=14","0.00303")</f>
        <v>0.00303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HYPERLINK("http://141.218.60.56/~jnz1568/getInfo.php?workbook=18_08.xlsx&amp;sheet=U0&amp;row=7910&amp;col=6&amp;number=3.6&amp;sourceID=14","3.6")</f>
        <v>3.6</v>
      </c>
      <c r="G7910" s="4" t="str">
        <f>HYPERLINK("http://141.218.60.56/~jnz1568/getInfo.php?workbook=18_08.xlsx&amp;sheet=U0&amp;row=7910&amp;col=7&amp;number=0.00303&amp;sourceID=14","0.00303")</f>
        <v>0.00303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HYPERLINK("http://141.218.60.56/~jnz1568/getInfo.php?workbook=18_08.xlsx&amp;sheet=U0&amp;row=7911&amp;col=6&amp;number=3.7&amp;sourceID=14","3.7")</f>
        <v>3.7</v>
      </c>
      <c r="G7911" s="4" t="str">
        <f>HYPERLINK("http://141.218.60.56/~jnz1568/getInfo.php?workbook=18_08.xlsx&amp;sheet=U0&amp;row=7911&amp;col=7&amp;number=0.00303&amp;sourceID=14","0.00303")</f>
        <v>0.00303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HYPERLINK("http://141.218.60.56/~jnz1568/getInfo.php?workbook=18_08.xlsx&amp;sheet=U0&amp;row=7912&amp;col=6&amp;number=3.8&amp;sourceID=14","3.8")</f>
        <v>3.8</v>
      </c>
      <c r="G7912" s="4" t="str">
        <f>HYPERLINK("http://141.218.60.56/~jnz1568/getInfo.php?workbook=18_08.xlsx&amp;sheet=U0&amp;row=7912&amp;col=7&amp;number=0.00303&amp;sourceID=14","0.00303")</f>
        <v>0.00303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HYPERLINK("http://141.218.60.56/~jnz1568/getInfo.php?workbook=18_08.xlsx&amp;sheet=U0&amp;row=7913&amp;col=6&amp;number=3.9&amp;sourceID=14","3.9")</f>
        <v>3.9</v>
      </c>
      <c r="G7913" s="4" t="str">
        <f>HYPERLINK("http://141.218.60.56/~jnz1568/getInfo.php?workbook=18_08.xlsx&amp;sheet=U0&amp;row=7913&amp;col=7&amp;number=0.00303&amp;sourceID=14","0.00303")</f>
        <v>0.00303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HYPERLINK("http://141.218.60.56/~jnz1568/getInfo.php?workbook=18_08.xlsx&amp;sheet=U0&amp;row=7914&amp;col=6&amp;number=4&amp;sourceID=14","4")</f>
        <v>4</v>
      </c>
      <c r="G7914" s="4" t="str">
        <f>HYPERLINK("http://141.218.60.56/~jnz1568/getInfo.php?workbook=18_08.xlsx&amp;sheet=U0&amp;row=7914&amp;col=7&amp;number=0.00303&amp;sourceID=14","0.00303")</f>
        <v>0.00303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HYPERLINK("http://141.218.60.56/~jnz1568/getInfo.php?workbook=18_08.xlsx&amp;sheet=U0&amp;row=7915&amp;col=6&amp;number=4.1&amp;sourceID=14","4.1")</f>
        <v>4.1</v>
      </c>
      <c r="G7915" s="4" t="str">
        <f>HYPERLINK("http://141.218.60.56/~jnz1568/getInfo.php?workbook=18_08.xlsx&amp;sheet=U0&amp;row=7915&amp;col=7&amp;number=0.00304&amp;sourceID=14","0.00304")</f>
        <v>0.00304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HYPERLINK("http://141.218.60.56/~jnz1568/getInfo.php?workbook=18_08.xlsx&amp;sheet=U0&amp;row=7916&amp;col=6&amp;number=4.2&amp;sourceID=14","4.2")</f>
        <v>4.2</v>
      </c>
      <c r="G7916" s="4" t="str">
        <f>HYPERLINK("http://141.218.60.56/~jnz1568/getInfo.php?workbook=18_08.xlsx&amp;sheet=U0&amp;row=7916&amp;col=7&amp;number=0.00304&amp;sourceID=14","0.00304")</f>
        <v>0.00304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HYPERLINK("http://141.218.60.56/~jnz1568/getInfo.php?workbook=18_08.xlsx&amp;sheet=U0&amp;row=7917&amp;col=6&amp;number=4.3&amp;sourceID=14","4.3")</f>
        <v>4.3</v>
      </c>
      <c r="G7917" s="4" t="str">
        <f>HYPERLINK("http://141.218.60.56/~jnz1568/getInfo.php?workbook=18_08.xlsx&amp;sheet=U0&amp;row=7917&amp;col=7&amp;number=0.00304&amp;sourceID=14","0.00304")</f>
        <v>0.00304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HYPERLINK("http://141.218.60.56/~jnz1568/getInfo.php?workbook=18_08.xlsx&amp;sheet=U0&amp;row=7918&amp;col=6&amp;number=4.4&amp;sourceID=14","4.4")</f>
        <v>4.4</v>
      </c>
      <c r="G7918" s="4" t="str">
        <f>HYPERLINK("http://141.218.60.56/~jnz1568/getInfo.php?workbook=18_08.xlsx&amp;sheet=U0&amp;row=7918&amp;col=7&amp;number=0.00305&amp;sourceID=14","0.00305")</f>
        <v>0.00305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HYPERLINK("http://141.218.60.56/~jnz1568/getInfo.php?workbook=18_08.xlsx&amp;sheet=U0&amp;row=7919&amp;col=6&amp;number=4.5&amp;sourceID=14","4.5")</f>
        <v>4.5</v>
      </c>
      <c r="G7919" s="4" t="str">
        <f>HYPERLINK("http://141.218.60.56/~jnz1568/getInfo.php?workbook=18_08.xlsx&amp;sheet=U0&amp;row=7919&amp;col=7&amp;number=0.00305&amp;sourceID=14","0.00305")</f>
        <v>0.00305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HYPERLINK("http://141.218.60.56/~jnz1568/getInfo.php?workbook=18_08.xlsx&amp;sheet=U0&amp;row=7920&amp;col=6&amp;number=4.6&amp;sourceID=14","4.6")</f>
        <v>4.6</v>
      </c>
      <c r="G7920" s="4" t="str">
        <f>HYPERLINK("http://141.218.60.56/~jnz1568/getInfo.php?workbook=18_08.xlsx&amp;sheet=U0&amp;row=7920&amp;col=7&amp;number=0.00306&amp;sourceID=14","0.00306")</f>
        <v>0.00306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HYPERLINK("http://141.218.60.56/~jnz1568/getInfo.php?workbook=18_08.xlsx&amp;sheet=U0&amp;row=7921&amp;col=6&amp;number=4.7&amp;sourceID=14","4.7")</f>
        <v>4.7</v>
      </c>
      <c r="G7921" s="4" t="str">
        <f>HYPERLINK("http://141.218.60.56/~jnz1568/getInfo.php?workbook=18_08.xlsx&amp;sheet=U0&amp;row=7921&amp;col=7&amp;number=0.00307&amp;sourceID=14","0.00307")</f>
        <v>0.00307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HYPERLINK("http://141.218.60.56/~jnz1568/getInfo.php?workbook=18_08.xlsx&amp;sheet=U0&amp;row=7922&amp;col=6&amp;number=4.8&amp;sourceID=14","4.8")</f>
        <v>4.8</v>
      </c>
      <c r="G7922" s="4" t="str">
        <f>HYPERLINK("http://141.218.60.56/~jnz1568/getInfo.php?workbook=18_08.xlsx&amp;sheet=U0&amp;row=7922&amp;col=7&amp;number=0.00309&amp;sourceID=14","0.00309")</f>
        <v>0.00309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HYPERLINK("http://141.218.60.56/~jnz1568/getInfo.php?workbook=18_08.xlsx&amp;sheet=U0&amp;row=7923&amp;col=6&amp;number=4.9&amp;sourceID=14","4.9")</f>
        <v>4.9</v>
      </c>
      <c r="G7923" s="4" t="str">
        <f>HYPERLINK("http://141.218.60.56/~jnz1568/getInfo.php?workbook=18_08.xlsx&amp;sheet=U0&amp;row=7923&amp;col=7&amp;number=0.0031&amp;sourceID=14","0.0031")</f>
        <v>0.0031</v>
      </c>
    </row>
    <row r="7924" spans="1:7">
      <c r="A7924" s="3">
        <v>18</v>
      </c>
      <c r="B7924" s="3">
        <v>8</v>
      </c>
      <c r="C7924" s="3" t="s">
        <v>83</v>
      </c>
      <c r="D7924" s="3">
        <v>8</v>
      </c>
      <c r="E7924" s="3">
        <v>1</v>
      </c>
      <c r="F7924" s="4" t="str">
        <f>HYPERLINK("http://141.218.60.56/~jnz1568/getInfo.php?workbook=18_08.xlsx&amp;sheet=U0&amp;row=7924&amp;col=6&amp;number=3&amp;sourceID=14","3")</f>
        <v>3</v>
      </c>
      <c r="G7924" s="4" t="str">
        <f>HYPERLINK("http://141.218.60.56/~jnz1568/getInfo.php?workbook=18_08.xlsx&amp;sheet=U0&amp;row=7924&amp;col=7&amp;number=2.11e-05&amp;sourceID=14","2.11e-05")</f>
        <v>2.11e-05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HYPERLINK("http://141.218.60.56/~jnz1568/getInfo.php?workbook=18_08.xlsx&amp;sheet=U0&amp;row=7925&amp;col=6&amp;number=3.1&amp;sourceID=14","3.1")</f>
        <v>3.1</v>
      </c>
      <c r="G7925" s="4" t="str">
        <f>HYPERLINK("http://141.218.60.56/~jnz1568/getInfo.php?workbook=18_08.xlsx&amp;sheet=U0&amp;row=7925&amp;col=7&amp;number=2.11e-05&amp;sourceID=14","2.11e-05")</f>
        <v>2.11e-05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HYPERLINK("http://141.218.60.56/~jnz1568/getInfo.php?workbook=18_08.xlsx&amp;sheet=U0&amp;row=7926&amp;col=6&amp;number=3.2&amp;sourceID=14","3.2")</f>
        <v>3.2</v>
      </c>
      <c r="G7926" s="4" t="str">
        <f>HYPERLINK("http://141.218.60.56/~jnz1568/getInfo.php?workbook=18_08.xlsx&amp;sheet=U0&amp;row=7926&amp;col=7&amp;number=2.11e-05&amp;sourceID=14","2.11e-05")</f>
        <v>2.11e-05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HYPERLINK("http://141.218.60.56/~jnz1568/getInfo.php?workbook=18_08.xlsx&amp;sheet=U0&amp;row=7927&amp;col=6&amp;number=3.3&amp;sourceID=14","3.3")</f>
        <v>3.3</v>
      </c>
      <c r="G7927" s="4" t="str">
        <f>HYPERLINK("http://141.218.60.56/~jnz1568/getInfo.php?workbook=18_08.xlsx&amp;sheet=U0&amp;row=7927&amp;col=7&amp;number=2.11e-05&amp;sourceID=14","2.11e-05")</f>
        <v>2.11e-05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HYPERLINK("http://141.218.60.56/~jnz1568/getInfo.php?workbook=18_08.xlsx&amp;sheet=U0&amp;row=7928&amp;col=6&amp;number=3.4&amp;sourceID=14","3.4")</f>
        <v>3.4</v>
      </c>
      <c r="G7928" s="4" t="str">
        <f>HYPERLINK("http://141.218.60.56/~jnz1568/getInfo.php?workbook=18_08.xlsx&amp;sheet=U0&amp;row=7928&amp;col=7&amp;number=2.11e-05&amp;sourceID=14","2.11e-05")</f>
        <v>2.11e-05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HYPERLINK("http://141.218.60.56/~jnz1568/getInfo.php?workbook=18_08.xlsx&amp;sheet=U0&amp;row=7929&amp;col=6&amp;number=3.5&amp;sourceID=14","3.5")</f>
        <v>3.5</v>
      </c>
      <c r="G7929" s="4" t="str">
        <f>HYPERLINK("http://141.218.60.56/~jnz1568/getInfo.php?workbook=18_08.xlsx&amp;sheet=U0&amp;row=7929&amp;col=7&amp;number=2.11e-05&amp;sourceID=14","2.11e-05")</f>
        <v>2.11e-05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HYPERLINK("http://141.218.60.56/~jnz1568/getInfo.php?workbook=18_08.xlsx&amp;sheet=U0&amp;row=7930&amp;col=6&amp;number=3.6&amp;sourceID=14","3.6")</f>
        <v>3.6</v>
      </c>
      <c r="G7930" s="4" t="str">
        <f>HYPERLINK("http://141.218.60.56/~jnz1568/getInfo.php?workbook=18_08.xlsx&amp;sheet=U0&amp;row=7930&amp;col=7&amp;number=2.11e-05&amp;sourceID=14","2.11e-05")</f>
        <v>2.11e-05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HYPERLINK("http://141.218.60.56/~jnz1568/getInfo.php?workbook=18_08.xlsx&amp;sheet=U0&amp;row=7931&amp;col=6&amp;number=3.7&amp;sourceID=14","3.7")</f>
        <v>3.7</v>
      </c>
      <c r="G7931" s="4" t="str">
        <f>HYPERLINK("http://141.218.60.56/~jnz1568/getInfo.php?workbook=18_08.xlsx&amp;sheet=U0&amp;row=7931&amp;col=7&amp;number=2.11e-05&amp;sourceID=14","2.11e-05")</f>
        <v>2.11e-05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HYPERLINK("http://141.218.60.56/~jnz1568/getInfo.php?workbook=18_08.xlsx&amp;sheet=U0&amp;row=7932&amp;col=6&amp;number=3.8&amp;sourceID=14","3.8")</f>
        <v>3.8</v>
      </c>
      <c r="G7932" s="4" t="str">
        <f>HYPERLINK("http://141.218.60.56/~jnz1568/getInfo.php?workbook=18_08.xlsx&amp;sheet=U0&amp;row=7932&amp;col=7&amp;number=2.11e-05&amp;sourceID=14","2.11e-05")</f>
        <v>2.11e-05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HYPERLINK("http://141.218.60.56/~jnz1568/getInfo.php?workbook=18_08.xlsx&amp;sheet=U0&amp;row=7933&amp;col=6&amp;number=3.9&amp;sourceID=14","3.9")</f>
        <v>3.9</v>
      </c>
      <c r="G7933" s="4" t="str">
        <f>HYPERLINK("http://141.218.60.56/~jnz1568/getInfo.php?workbook=18_08.xlsx&amp;sheet=U0&amp;row=7933&amp;col=7&amp;number=2.11e-05&amp;sourceID=14","2.11e-05")</f>
        <v>2.11e-05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HYPERLINK("http://141.218.60.56/~jnz1568/getInfo.php?workbook=18_08.xlsx&amp;sheet=U0&amp;row=7934&amp;col=6&amp;number=4&amp;sourceID=14","4")</f>
        <v>4</v>
      </c>
      <c r="G7934" s="4" t="str">
        <f>HYPERLINK("http://141.218.60.56/~jnz1568/getInfo.php?workbook=18_08.xlsx&amp;sheet=U0&amp;row=7934&amp;col=7&amp;number=2.1e-05&amp;sourceID=14","2.1e-05")</f>
        <v>2.1e-05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HYPERLINK("http://141.218.60.56/~jnz1568/getInfo.php?workbook=18_08.xlsx&amp;sheet=U0&amp;row=7935&amp;col=6&amp;number=4.1&amp;sourceID=14","4.1")</f>
        <v>4.1</v>
      </c>
      <c r="G7935" s="4" t="str">
        <f>HYPERLINK("http://141.218.60.56/~jnz1568/getInfo.php?workbook=18_08.xlsx&amp;sheet=U0&amp;row=7935&amp;col=7&amp;number=2.1e-05&amp;sourceID=14","2.1e-05")</f>
        <v>2.1e-05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HYPERLINK("http://141.218.60.56/~jnz1568/getInfo.php?workbook=18_08.xlsx&amp;sheet=U0&amp;row=7936&amp;col=6&amp;number=4.2&amp;sourceID=14","4.2")</f>
        <v>4.2</v>
      </c>
      <c r="G7936" s="4" t="str">
        <f>HYPERLINK("http://141.218.60.56/~jnz1568/getInfo.php?workbook=18_08.xlsx&amp;sheet=U0&amp;row=7936&amp;col=7&amp;number=2.1e-05&amp;sourceID=14","2.1e-05")</f>
        <v>2.1e-05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HYPERLINK("http://141.218.60.56/~jnz1568/getInfo.php?workbook=18_08.xlsx&amp;sheet=U0&amp;row=7937&amp;col=6&amp;number=4.3&amp;sourceID=14","4.3")</f>
        <v>4.3</v>
      </c>
      <c r="G7937" s="4" t="str">
        <f>HYPERLINK("http://141.218.60.56/~jnz1568/getInfo.php?workbook=18_08.xlsx&amp;sheet=U0&amp;row=7937&amp;col=7&amp;number=2.1e-05&amp;sourceID=14","2.1e-05")</f>
        <v>2.1e-05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HYPERLINK("http://141.218.60.56/~jnz1568/getInfo.php?workbook=18_08.xlsx&amp;sheet=U0&amp;row=7938&amp;col=6&amp;number=4.4&amp;sourceID=14","4.4")</f>
        <v>4.4</v>
      </c>
      <c r="G7938" s="4" t="str">
        <f>HYPERLINK("http://141.218.60.56/~jnz1568/getInfo.php?workbook=18_08.xlsx&amp;sheet=U0&amp;row=7938&amp;col=7&amp;number=2.1e-05&amp;sourceID=14","2.1e-05")</f>
        <v>2.1e-05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HYPERLINK("http://141.218.60.56/~jnz1568/getInfo.php?workbook=18_08.xlsx&amp;sheet=U0&amp;row=7939&amp;col=6&amp;number=4.5&amp;sourceID=14","4.5")</f>
        <v>4.5</v>
      </c>
      <c r="G7939" s="4" t="str">
        <f>HYPERLINK("http://141.218.60.56/~jnz1568/getInfo.php?workbook=18_08.xlsx&amp;sheet=U0&amp;row=7939&amp;col=7&amp;number=2.1e-05&amp;sourceID=14","2.1e-05")</f>
        <v>2.1e-05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HYPERLINK("http://141.218.60.56/~jnz1568/getInfo.php?workbook=18_08.xlsx&amp;sheet=U0&amp;row=7940&amp;col=6&amp;number=4.6&amp;sourceID=14","4.6")</f>
        <v>4.6</v>
      </c>
      <c r="G7940" s="4" t="str">
        <f>HYPERLINK("http://141.218.60.56/~jnz1568/getInfo.php?workbook=18_08.xlsx&amp;sheet=U0&amp;row=7940&amp;col=7&amp;number=2.1e-05&amp;sourceID=14","2.1e-05")</f>
        <v>2.1e-05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HYPERLINK("http://141.218.60.56/~jnz1568/getInfo.php?workbook=18_08.xlsx&amp;sheet=U0&amp;row=7941&amp;col=6&amp;number=4.7&amp;sourceID=14","4.7")</f>
        <v>4.7</v>
      </c>
      <c r="G7941" s="4" t="str">
        <f>HYPERLINK("http://141.218.60.56/~jnz1568/getInfo.php?workbook=18_08.xlsx&amp;sheet=U0&amp;row=7941&amp;col=7&amp;number=2.09e-05&amp;sourceID=14","2.09e-05")</f>
        <v>2.09e-05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HYPERLINK("http://141.218.60.56/~jnz1568/getInfo.php?workbook=18_08.xlsx&amp;sheet=U0&amp;row=7942&amp;col=6&amp;number=4.8&amp;sourceID=14","4.8")</f>
        <v>4.8</v>
      </c>
      <c r="G7942" s="4" t="str">
        <f>HYPERLINK("http://141.218.60.56/~jnz1568/getInfo.php?workbook=18_08.xlsx&amp;sheet=U0&amp;row=7942&amp;col=7&amp;number=2.09e-05&amp;sourceID=14","2.09e-05")</f>
        <v>2.09e-05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HYPERLINK("http://141.218.60.56/~jnz1568/getInfo.php?workbook=18_08.xlsx&amp;sheet=U0&amp;row=7943&amp;col=6&amp;number=4.9&amp;sourceID=14","4.9")</f>
        <v>4.9</v>
      </c>
      <c r="G7943" s="4" t="str">
        <f>HYPERLINK("http://141.218.60.56/~jnz1568/getInfo.php?workbook=18_08.xlsx&amp;sheet=U0&amp;row=7943&amp;col=7&amp;number=2.08e-05&amp;sourceID=14","2.08e-05")</f>
        <v>2.08e-05</v>
      </c>
    </row>
    <row r="7944" spans="1:7">
      <c r="A7944" s="3">
        <v>18</v>
      </c>
      <c r="B7944" s="3">
        <v>8</v>
      </c>
      <c r="C7944" s="3" t="s">
        <v>83</v>
      </c>
      <c r="D7944" s="3">
        <v>9</v>
      </c>
      <c r="E7944" s="3">
        <v>1</v>
      </c>
      <c r="F7944" s="4" t="str">
        <f>HYPERLINK("http://141.218.60.56/~jnz1568/getInfo.php?workbook=18_08.xlsx&amp;sheet=U0&amp;row=7944&amp;col=6&amp;number=3&amp;sourceID=14","3")</f>
        <v>3</v>
      </c>
      <c r="G7944" s="4" t="str">
        <f>HYPERLINK("http://141.218.60.56/~jnz1568/getInfo.php?workbook=18_08.xlsx&amp;sheet=U0&amp;row=7944&amp;col=7&amp;number=0.000722&amp;sourceID=14","0.000722")</f>
        <v>0.000722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HYPERLINK("http://141.218.60.56/~jnz1568/getInfo.php?workbook=18_08.xlsx&amp;sheet=U0&amp;row=7945&amp;col=6&amp;number=3.1&amp;sourceID=14","3.1")</f>
        <v>3.1</v>
      </c>
      <c r="G7945" s="4" t="str">
        <f>HYPERLINK("http://141.218.60.56/~jnz1568/getInfo.php?workbook=18_08.xlsx&amp;sheet=U0&amp;row=7945&amp;col=7&amp;number=0.000722&amp;sourceID=14","0.000722")</f>
        <v>0.000722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HYPERLINK("http://141.218.60.56/~jnz1568/getInfo.php?workbook=18_08.xlsx&amp;sheet=U0&amp;row=7946&amp;col=6&amp;number=3.2&amp;sourceID=14","3.2")</f>
        <v>3.2</v>
      </c>
      <c r="G7946" s="4" t="str">
        <f>HYPERLINK("http://141.218.60.56/~jnz1568/getInfo.php?workbook=18_08.xlsx&amp;sheet=U0&amp;row=7946&amp;col=7&amp;number=0.000722&amp;sourceID=14","0.000722")</f>
        <v>0.000722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HYPERLINK("http://141.218.60.56/~jnz1568/getInfo.php?workbook=18_08.xlsx&amp;sheet=U0&amp;row=7947&amp;col=6&amp;number=3.3&amp;sourceID=14","3.3")</f>
        <v>3.3</v>
      </c>
      <c r="G7947" s="4" t="str">
        <f>HYPERLINK("http://141.218.60.56/~jnz1568/getInfo.php?workbook=18_08.xlsx&amp;sheet=U0&amp;row=7947&amp;col=7&amp;number=0.000722&amp;sourceID=14","0.000722")</f>
        <v>0.000722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HYPERLINK("http://141.218.60.56/~jnz1568/getInfo.php?workbook=18_08.xlsx&amp;sheet=U0&amp;row=7948&amp;col=6&amp;number=3.4&amp;sourceID=14","3.4")</f>
        <v>3.4</v>
      </c>
      <c r="G7948" s="4" t="str">
        <f>HYPERLINK("http://141.218.60.56/~jnz1568/getInfo.php?workbook=18_08.xlsx&amp;sheet=U0&amp;row=7948&amp;col=7&amp;number=0.000722&amp;sourceID=14","0.000722")</f>
        <v>0.000722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HYPERLINK("http://141.218.60.56/~jnz1568/getInfo.php?workbook=18_08.xlsx&amp;sheet=U0&amp;row=7949&amp;col=6&amp;number=3.5&amp;sourceID=14","3.5")</f>
        <v>3.5</v>
      </c>
      <c r="G7949" s="4" t="str">
        <f>HYPERLINK("http://141.218.60.56/~jnz1568/getInfo.php?workbook=18_08.xlsx&amp;sheet=U0&amp;row=7949&amp;col=7&amp;number=0.000721&amp;sourceID=14","0.000721")</f>
        <v>0.000721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HYPERLINK("http://141.218.60.56/~jnz1568/getInfo.php?workbook=18_08.xlsx&amp;sheet=U0&amp;row=7950&amp;col=6&amp;number=3.6&amp;sourceID=14","3.6")</f>
        <v>3.6</v>
      </c>
      <c r="G7950" s="4" t="str">
        <f>HYPERLINK("http://141.218.60.56/~jnz1568/getInfo.php?workbook=18_08.xlsx&amp;sheet=U0&amp;row=7950&amp;col=7&amp;number=0.000721&amp;sourceID=14","0.000721")</f>
        <v>0.000721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HYPERLINK("http://141.218.60.56/~jnz1568/getInfo.php?workbook=18_08.xlsx&amp;sheet=U0&amp;row=7951&amp;col=6&amp;number=3.7&amp;sourceID=14","3.7")</f>
        <v>3.7</v>
      </c>
      <c r="G7951" s="4" t="str">
        <f>HYPERLINK("http://141.218.60.56/~jnz1568/getInfo.php?workbook=18_08.xlsx&amp;sheet=U0&amp;row=7951&amp;col=7&amp;number=0.000721&amp;sourceID=14","0.000721")</f>
        <v>0.000721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HYPERLINK("http://141.218.60.56/~jnz1568/getInfo.php?workbook=18_08.xlsx&amp;sheet=U0&amp;row=7952&amp;col=6&amp;number=3.8&amp;sourceID=14","3.8")</f>
        <v>3.8</v>
      </c>
      <c r="G7952" s="4" t="str">
        <f>HYPERLINK("http://141.218.60.56/~jnz1568/getInfo.php?workbook=18_08.xlsx&amp;sheet=U0&amp;row=7952&amp;col=7&amp;number=0.000721&amp;sourceID=14","0.000721")</f>
        <v>0.000721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HYPERLINK("http://141.218.60.56/~jnz1568/getInfo.php?workbook=18_08.xlsx&amp;sheet=U0&amp;row=7953&amp;col=6&amp;number=3.9&amp;sourceID=14","3.9")</f>
        <v>3.9</v>
      </c>
      <c r="G7953" s="4" t="str">
        <f>HYPERLINK("http://141.218.60.56/~jnz1568/getInfo.php?workbook=18_08.xlsx&amp;sheet=U0&amp;row=7953&amp;col=7&amp;number=0.00072&amp;sourceID=14","0.00072")</f>
        <v>0.00072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HYPERLINK("http://141.218.60.56/~jnz1568/getInfo.php?workbook=18_08.xlsx&amp;sheet=U0&amp;row=7954&amp;col=6&amp;number=4&amp;sourceID=14","4")</f>
        <v>4</v>
      </c>
      <c r="G7954" s="4" t="str">
        <f>HYPERLINK("http://141.218.60.56/~jnz1568/getInfo.php?workbook=18_08.xlsx&amp;sheet=U0&amp;row=7954&amp;col=7&amp;number=0.00072&amp;sourceID=14","0.00072")</f>
        <v>0.00072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HYPERLINK("http://141.218.60.56/~jnz1568/getInfo.php?workbook=18_08.xlsx&amp;sheet=U0&amp;row=7955&amp;col=6&amp;number=4.1&amp;sourceID=14","4.1")</f>
        <v>4.1</v>
      </c>
      <c r="G7955" s="4" t="str">
        <f>HYPERLINK("http://141.218.60.56/~jnz1568/getInfo.php?workbook=18_08.xlsx&amp;sheet=U0&amp;row=7955&amp;col=7&amp;number=0.000719&amp;sourceID=14","0.000719")</f>
        <v>0.000719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HYPERLINK("http://141.218.60.56/~jnz1568/getInfo.php?workbook=18_08.xlsx&amp;sheet=U0&amp;row=7956&amp;col=6&amp;number=4.2&amp;sourceID=14","4.2")</f>
        <v>4.2</v>
      </c>
      <c r="G7956" s="4" t="str">
        <f>HYPERLINK("http://141.218.60.56/~jnz1568/getInfo.php?workbook=18_08.xlsx&amp;sheet=U0&amp;row=7956&amp;col=7&amp;number=0.000718&amp;sourceID=14","0.000718")</f>
        <v>0.000718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HYPERLINK("http://141.218.60.56/~jnz1568/getInfo.php?workbook=18_08.xlsx&amp;sheet=U0&amp;row=7957&amp;col=6&amp;number=4.3&amp;sourceID=14","4.3")</f>
        <v>4.3</v>
      </c>
      <c r="G7957" s="4" t="str">
        <f>HYPERLINK("http://141.218.60.56/~jnz1568/getInfo.php?workbook=18_08.xlsx&amp;sheet=U0&amp;row=7957&amp;col=7&amp;number=0.000717&amp;sourceID=14","0.000717")</f>
        <v>0.000717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HYPERLINK("http://141.218.60.56/~jnz1568/getInfo.php?workbook=18_08.xlsx&amp;sheet=U0&amp;row=7958&amp;col=6&amp;number=4.4&amp;sourceID=14","4.4")</f>
        <v>4.4</v>
      </c>
      <c r="G7958" s="4" t="str">
        <f>HYPERLINK("http://141.218.60.56/~jnz1568/getInfo.php?workbook=18_08.xlsx&amp;sheet=U0&amp;row=7958&amp;col=7&amp;number=0.000716&amp;sourceID=14","0.000716")</f>
        <v>0.000716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HYPERLINK("http://141.218.60.56/~jnz1568/getInfo.php?workbook=18_08.xlsx&amp;sheet=U0&amp;row=7959&amp;col=6&amp;number=4.5&amp;sourceID=14","4.5")</f>
        <v>4.5</v>
      </c>
      <c r="G7959" s="4" t="str">
        <f>HYPERLINK("http://141.218.60.56/~jnz1568/getInfo.php?workbook=18_08.xlsx&amp;sheet=U0&amp;row=7959&amp;col=7&amp;number=0.000714&amp;sourceID=14","0.000714")</f>
        <v>0.000714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HYPERLINK("http://141.218.60.56/~jnz1568/getInfo.php?workbook=18_08.xlsx&amp;sheet=U0&amp;row=7960&amp;col=6&amp;number=4.6&amp;sourceID=14","4.6")</f>
        <v>4.6</v>
      </c>
      <c r="G7960" s="4" t="str">
        <f>HYPERLINK("http://141.218.60.56/~jnz1568/getInfo.php?workbook=18_08.xlsx&amp;sheet=U0&amp;row=7960&amp;col=7&amp;number=0.000712&amp;sourceID=14","0.000712")</f>
        <v>0.000712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HYPERLINK("http://141.218.60.56/~jnz1568/getInfo.php?workbook=18_08.xlsx&amp;sheet=U0&amp;row=7961&amp;col=6&amp;number=4.7&amp;sourceID=14","4.7")</f>
        <v>4.7</v>
      </c>
      <c r="G7961" s="4" t="str">
        <f>HYPERLINK("http://141.218.60.56/~jnz1568/getInfo.php?workbook=18_08.xlsx&amp;sheet=U0&amp;row=7961&amp;col=7&amp;number=0.000709&amp;sourceID=14","0.000709")</f>
        <v>0.000709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HYPERLINK("http://141.218.60.56/~jnz1568/getInfo.php?workbook=18_08.xlsx&amp;sheet=U0&amp;row=7962&amp;col=6&amp;number=4.8&amp;sourceID=14","4.8")</f>
        <v>4.8</v>
      </c>
      <c r="G7962" s="4" t="str">
        <f>HYPERLINK("http://141.218.60.56/~jnz1568/getInfo.php?workbook=18_08.xlsx&amp;sheet=U0&amp;row=7962&amp;col=7&amp;number=0.000706&amp;sourceID=14","0.000706")</f>
        <v>0.000706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HYPERLINK("http://141.218.60.56/~jnz1568/getInfo.php?workbook=18_08.xlsx&amp;sheet=U0&amp;row=7963&amp;col=6&amp;number=4.9&amp;sourceID=14","4.9")</f>
        <v>4.9</v>
      </c>
      <c r="G7963" s="4" t="str">
        <f>HYPERLINK("http://141.218.60.56/~jnz1568/getInfo.php?workbook=18_08.xlsx&amp;sheet=U0&amp;row=7963&amp;col=7&amp;number=0.000702&amp;sourceID=14","0.000702")</f>
        <v>0.000702</v>
      </c>
    </row>
    <row r="7964" spans="1:7">
      <c r="A7964" s="3">
        <v>18</v>
      </c>
      <c r="B7964" s="3">
        <v>8</v>
      </c>
      <c r="C7964" s="3" t="s">
        <v>84</v>
      </c>
      <c r="D7964" s="3">
        <v>0</v>
      </c>
      <c r="E7964" s="3">
        <v>1</v>
      </c>
      <c r="F7964" s="4" t="str">
        <f>HYPERLINK("http://141.218.60.56/~jnz1568/getInfo.php?workbook=18_08.xlsx&amp;sheet=U0&amp;row=7964&amp;col=6&amp;number=3&amp;sourceID=14","3")</f>
        <v>3</v>
      </c>
      <c r="G7964" s="4" t="str">
        <f>HYPERLINK("http://141.218.60.56/~jnz1568/getInfo.php?workbook=18_08.xlsx&amp;sheet=U0&amp;row=7964&amp;col=7&amp;number=2.44e-05&amp;sourceID=14","2.44e-05")</f>
        <v>2.44e-05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HYPERLINK("http://141.218.60.56/~jnz1568/getInfo.php?workbook=18_08.xlsx&amp;sheet=U0&amp;row=7965&amp;col=6&amp;number=3.1&amp;sourceID=14","3.1")</f>
        <v>3.1</v>
      </c>
      <c r="G7965" s="4" t="str">
        <f>HYPERLINK("http://141.218.60.56/~jnz1568/getInfo.php?workbook=18_08.xlsx&amp;sheet=U0&amp;row=7965&amp;col=7&amp;number=2.44e-05&amp;sourceID=14","2.44e-05")</f>
        <v>2.44e-05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HYPERLINK("http://141.218.60.56/~jnz1568/getInfo.php?workbook=18_08.xlsx&amp;sheet=U0&amp;row=7966&amp;col=6&amp;number=3.2&amp;sourceID=14","3.2")</f>
        <v>3.2</v>
      </c>
      <c r="G7966" s="4" t="str">
        <f>HYPERLINK("http://141.218.60.56/~jnz1568/getInfo.php?workbook=18_08.xlsx&amp;sheet=U0&amp;row=7966&amp;col=7&amp;number=2.44e-05&amp;sourceID=14","2.44e-05")</f>
        <v>2.44e-05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HYPERLINK("http://141.218.60.56/~jnz1568/getInfo.php?workbook=18_08.xlsx&amp;sheet=U0&amp;row=7967&amp;col=6&amp;number=3.3&amp;sourceID=14","3.3")</f>
        <v>3.3</v>
      </c>
      <c r="G7967" s="4" t="str">
        <f>HYPERLINK("http://141.218.60.56/~jnz1568/getInfo.php?workbook=18_08.xlsx&amp;sheet=U0&amp;row=7967&amp;col=7&amp;number=2.44e-05&amp;sourceID=14","2.44e-05")</f>
        <v>2.44e-05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HYPERLINK("http://141.218.60.56/~jnz1568/getInfo.php?workbook=18_08.xlsx&amp;sheet=U0&amp;row=7968&amp;col=6&amp;number=3.4&amp;sourceID=14","3.4")</f>
        <v>3.4</v>
      </c>
      <c r="G7968" s="4" t="str">
        <f>HYPERLINK("http://141.218.60.56/~jnz1568/getInfo.php?workbook=18_08.xlsx&amp;sheet=U0&amp;row=7968&amp;col=7&amp;number=2.43e-05&amp;sourceID=14","2.43e-05")</f>
        <v>2.43e-05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HYPERLINK("http://141.218.60.56/~jnz1568/getInfo.php?workbook=18_08.xlsx&amp;sheet=U0&amp;row=7969&amp;col=6&amp;number=3.5&amp;sourceID=14","3.5")</f>
        <v>3.5</v>
      </c>
      <c r="G7969" s="4" t="str">
        <f>HYPERLINK("http://141.218.60.56/~jnz1568/getInfo.php?workbook=18_08.xlsx&amp;sheet=U0&amp;row=7969&amp;col=7&amp;number=2.43e-05&amp;sourceID=14","2.43e-05")</f>
        <v>2.43e-05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HYPERLINK("http://141.218.60.56/~jnz1568/getInfo.php?workbook=18_08.xlsx&amp;sheet=U0&amp;row=7970&amp;col=6&amp;number=3.6&amp;sourceID=14","3.6")</f>
        <v>3.6</v>
      </c>
      <c r="G7970" s="4" t="str">
        <f>HYPERLINK("http://141.218.60.56/~jnz1568/getInfo.php?workbook=18_08.xlsx&amp;sheet=U0&amp;row=7970&amp;col=7&amp;number=2.43e-05&amp;sourceID=14","2.43e-05")</f>
        <v>2.43e-05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HYPERLINK("http://141.218.60.56/~jnz1568/getInfo.php?workbook=18_08.xlsx&amp;sheet=U0&amp;row=7971&amp;col=6&amp;number=3.7&amp;sourceID=14","3.7")</f>
        <v>3.7</v>
      </c>
      <c r="G7971" s="4" t="str">
        <f>HYPERLINK("http://141.218.60.56/~jnz1568/getInfo.php?workbook=18_08.xlsx&amp;sheet=U0&amp;row=7971&amp;col=7&amp;number=2.43e-05&amp;sourceID=14","2.43e-05")</f>
        <v>2.43e-05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HYPERLINK("http://141.218.60.56/~jnz1568/getInfo.php?workbook=18_08.xlsx&amp;sheet=U0&amp;row=7972&amp;col=6&amp;number=3.8&amp;sourceID=14","3.8")</f>
        <v>3.8</v>
      </c>
      <c r="G7972" s="4" t="str">
        <f>HYPERLINK("http://141.218.60.56/~jnz1568/getInfo.php?workbook=18_08.xlsx&amp;sheet=U0&amp;row=7972&amp;col=7&amp;number=2.43e-05&amp;sourceID=14","2.43e-05")</f>
        <v>2.43e-05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HYPERLINK("http://141.218.60.56/~jnz1568/getInfo.php?workbook=18_08.xlsx&amp;sheet=U0&amp;row=7973&amp;col=6&amp;number=3.9&amp;sourceID=14","3.9")</f>
        <v>3.9</v>
      </c>
      <c r="G7973" s="4" t="str">
        <f>HYPERLINK("http://141.218.60.56/~jnz1568/getInfo.php?workbook=18_08.xlsx&amp;sheet=U0&amp;row=7973&amp;col=7&amp;number=2.43e-05&amp;sourceID=14","2.43e-05")</f>
        <v>2.43e-05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HYPERLINK("http://141.218.60.56/~jnz1568/getInfo.php?workbook=18_08.xlsx&amp;sheet=U0&amp;row=7974&amp;col=6&amp;number=4&amp;sourceID=14","4")</f>
        <v>4</v>
      </c>
      <c r="G7974" s="4" t="str">
        <f>HYPERLINK("http://141.218.60.56/~jnz1568/getInfo.php?workbook=18_08.xlsx&amp;sheet=U0&amp;row=7974&amp;col=7&amp;number=2.43e-05&amp;sourceID=14","2.43e-05")</f>
        <v>2.43e-05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HYPERLINK("http://141.218.60.56/~jnz1568/getInfo.php?workbook=18_08.xlsx&amp;sheet=U0&amp;row=7975&amp;col=6&amp;number=4.1&amp;sourceID=14","4.1")</f>
        <v>4.1</v>
      </c>
      <c r="G7975" s="4" t="str">
        <f>HYPERLINK("http://141.218.60.56/~jnz1568/getInfo.php?workbook=18_08.xlsx&amp;sheet=U0&amp;row=7975&amp;col=7&amp;number=2.43e-05&amp;sourceID=14","2.43e-05")</f>
        <v>2.43e-05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HYPERLINK("http://141.218.60.56/~jnz1568/getInfo.php?workbook=18_08.xlsx&amp;sheet=U0&amp;row=7976&amp;col=6&amp;number=4.2&amp;sourceID=14","4.2")</f>
        <v>4.2</v>
      </c>
      <c r="G7976" s="4" t="str">
        <f>HYPERLINK("http://141.218.60.56/~jnz1568/getInfo.php?workbook=18_08.xlsx&amp;sheet=U0&amp;row=7976&amp;col=7&amp;number=2.43e-05&amp;sourceID=14","2.43e-05")</f>
        <v>2.43e-05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HYPERLINK("http://141.218.60.56/~jnz1568/getInfo.php?workbook=18_08.xlsx&amp;sheet=U0&amp;row=7977&amp;col=6&amp;number=4.3&amp;sourceID=14","4.3")</f>
        <v>4.3</v>
      </c>
      <c r="G7977" s="4" t="str">
        <f>HYPERLINK("http://141.218.60.56/~jnz1568/getInfo.php?workbook=18_08.xlsx&amp;sheet=U0&amp;row=7977&amp;col=7&amp;number=2.43e-05&amp;sourceID=14","2.43e-05")</f>
        <v>2.43e-05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HYPERLINK("http://141.218.60.56/~jnz1568/getInfo.php?workbook=18_08.xlsx&amp;sheet=U0&amp;row=7978&amp;col=6&amp;number=4.4&amp;sourceID=14","4.4")</f>
        <v>4.4</v>
      </c>
      <c r="G7978" s="4" t="str">
        <f>HYPERLINK("http://141.218.60.56/~jnz1568/getInfo.php?workbook=18_08.xlsx&amp;sheet=U0&amp;row=7978&amp;col=7&amp;number=2.42e-05&amp;sourceID=14","2.42e-05")</f>
        <v>2.42e-05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HYPERLINK("http://141.218.60.56/~jnz1568/getInfo.php?workbook=18_08.xlsx&amp;sheet=U0&amp;row=7979&amp;col=6&amp;number=4.5&amp;sourceID=14","4.5")</f>
        <v>4.5</v>
      </c>
      <c r="G7979" s="4" t="str">
        <f>HYPERLINK("http://141.218.60.56/~jnz1568/getInfo.php?workbook=18_08.xlsx&amp;sheet=U0&amp;row=7979&amp;col=7&amp;number=2.42e-05&amp;sourceID=14","2.42e-05")</f>
        <v>2.42e-05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HYPERLINK("http://141.218.60.56/~jnz1568/getInfo.php?workbook=18_08.xlsx&amp;sheet=U0&amp;row=7980&amp;col=6&amp;number=4.6&amp;sourceID=14","4.6")</f>
        <v>4.6</v>
      </c>
      <c r="G7980" s="4" t="str">
        <f>HYPERLINK("http://141.218.60.56/~jnz1568/getInfo.php?workbook=18_08.xlsx&amp;sheet=U0&amp;row=7980&amp;col=7&amp;number=2.42e-05&amp;sourceID=14","2.42e-05")</f>
        <v>2.42e-05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HYPERLINK("http://141.218.60.56/~jnz1568/getInfo.php?workbook=18_08.xlsx&amp;sheet=U0&amp;row=7981&amp;col=6&amp;number=4.7&amp;sourceID=14","4.7")</f>
        <v>4.7</v>
      </c>
      <c r="G7981" s="4" t="str">
        <f>HYPERLINK("http://141.218.60.56/~jnz1568/getInfo.php?workbook=18_08.xlsx&amp;sheet=U0&amp;row=7981&amp;col=7&amp;number=2.41e-05&amp;sourceID=14","2.41e-05")</f>
        <v>2.41e-05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HYPERLINK("http://141.218.60.56/~jnz1568/getInfo.php?workbook=18_08.xlsx&amp;sheet=U0&amp;row=7982&amp;col=6&amp;number=4.8&amp;sourceID=14","4.8")</f>
        <v>4.8</v>
      </c>
      <c r="G7982" s="4" t="str">
        <f>HYPERLINK("http://141.218.60.56/~jnz1568/getInfo.php?workbook=18_08.xlsx&amp;sheet=U0&amp;row=7982&amp;col=7&amp;number=2.41e-05&amp;sourceID=14","2.41e-05")</f>
        <v>2.41e-05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HYPERLINK("http://141.218.60.56/~jnz1568/getInfo.php?workbook=18_08.xlsx&amp;sheet=U0&amp;row=7983&amp;col=6&amp;number=4.9&amp;sourceID=14","4.9")</f>
        <v>4.9</v>
      </c>
      <c r="G7983" s="4" t="str">
        <f>HYPERLINK("http://141.218.60.56/~jnz1568/getInfo.php?workbook=18_08.xlsx&amp;sheet=U0&amp;row=7983&amp;col=7&amp;number=2.4e-05&amp;sourceID=14","2.4e-05")</f>
        <v>2.4e-05</v>
      </c>
    </row>
    <row r="7984" spans="1:7">
      <c r="A7984" s="3">
        <v>18</v>
      </c>
      <c r="B7984" s="3">
        <v>8</v>
      </c>
      <c r="C7984" s="3" t="s">
        <v>84</v>
      </c>
      <c r="D7984" s="3">
        <v>1</v>
      </c>
      <c r="E7984" s="3">
        <v>1</v>
      </c>
      <c r="F7984" s="4" t="str">
        <f>HYPERLINK("http://141.218.60.56/~jnz1568/getInfo.php?workbook=18_08.xlsx&amp;sheet=U0&amp;row=7984&amp;col=6&amp;number=3&amp;sourceID=14","3")</f>
        <v>3</v>
      </c>
      <c r="G7984" s="4" t="str">
        <f>HYPERLINK("http://141.218.60.56/~jnz1568/getInfo.php?workbook=18_08.xlsx&amp;sheet=U0&amp;row=7984&amp;col=7&amp;number=7.16e-05&amp;sourceID=14","7.16e-05")</f>
        <v>7.16e-05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HYPERLINK("http://141.218.60.56/~jnz1568/getInfo.php?workbook=18_08.xlsx&amp;sheet=U0&amp;row=7985&amp;col=6&amp;number=3.1&amp;sourceID=14","3.1")</f>
        <v>3.1</v>
      </c>
      <c r="G7985" s="4" t="str">
        <f>HYPERLINK("http://141.218.60.56/~jnz1568/getInfo.php?workbook=18_08.xlsx&amp;sheet=U0&amp;row=7985&amp;col=7&amp;number=7.16e-05&amp;sourceID=14","7.16e-05")</f>
        <v>7.16e-05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HYPERLINK("http://141.218.60.56/~jnz1568/getInfo.php?workbook=18_08.xlsx&amp;sheet=U0&amp;row=7986&amp;col=6&amp;number=3.2&amp;sourceID=14","3.2")</f>
        <v>3.2</v>
      </c>
      <c r="G7986" s="4" t="str">
        <f>HYPERLINK("http://141.218.60.56/~jnz1568/getInfo.php?workbook=18_08.xlsx&amp;sheet=U0&amp;row=7986&amp;col=7&amp;number=7.16e-05&amp;sourceID=14","7.16e-05")</f>
        <v>7.16e-05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HYPERLINK("http://141.218.60.56/~jnz1568/getInfo.php?workbook=18_08.xlsx&amp;sheet=U0&amp;row=7987&amp;col=6&amp;number=3.3&amp;sourceID=14","3.3")</f>
        <v>3.3</v>
      </c>
      <c r="G7987" s="4" t="str">
        <f>HYPERLINK("http://141.218.60.56/~jnz1568/getInfo.php?workbook=18_08.xlsx&amp;sheet=U0&amp;row=7987&amp;col=7&amp;number=7.16e-05&amp;sourceID=14","7.16e-05")</f>
        <v>7.16e-05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HYPERLINK("http://141.218.60.56/~jnz1568/getInfo.php?workbook=18_08.xlsx&amp;sheet=U0&amp;row=7988&amp;col=6&amp;number=3.4&amp;sourceID=14","3.4")</f>
        <v>3.4</v>
      </c>
      <c r="G7988" s="4" t="str">
        <f>HYPERLINK("http://141.218.60.56/~jnz1568/getInfo.php?workbook=18_08.xlsx&amp;sheet=U0&amp;row=7988&amp;col=7&amp;number=7.16e-05&amp;sourceID=14","7.16e-05")</f>
        <v>7.16e-05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HYPERLINK("http://141.218.60.56/~jnz1568/getInfo.php?workbook=18_08.xlsx&amp;sheet=U0&amp;row=7989&amp;col=6&amp;number=3.5&amp;sourceID=14","3.5")</f>
        <v>3.5</v>
      </c>
      <c r="G7989" s="4" t="str">
        <f>HYPERLINK("http://141.218.60.56/~jnz1568/getInfo.php?workbook=18_08.xlsx&amp;sheet=U0&amp;row=7989&amp;col=7&amp;number=7.16e-05&amp;sourceID=14","7.16e-05")</f>
        <v>7.16e-05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HYPERLINK("http://141.218.60.56/~jnz1568/getInfo.php?workbook=18_08.xlsx&amp;sheet=U0&amp;row=7990&amp;col=6&amp;number=3.6&amp;sourceID=14","3.6")</f>
        <v>3.6</v>
      </c>
      <c r="G7990" s="4" t="str">
        <f>HYPERLINK("http://141.218.60.56/~jnz1568/getInfo.php?workbook=18_08.xlsx&amp;sheet=U0&amp;row=7990&amp;col=7&amp;number=7.16e-05&amp;sourceID=14","7.16e-05")</f>
        <v>7.16e-05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HYPERLINK("http://141.218.60.56/~jnz1568/getInfo.php?workbook=18_08.xlsx&amp;sheet=U0&amp;row=7991&amp;col=6&amp;number=3.7&amp;sourceID=14","3.7")</f>
        <v>3.7</v>
      </c>
      <c r="G7991" s="4" t="str">
        <f>HYPERLINK("http://141.218.60.56/~jnz1568/getInfo.php?workbook=18_08.xlsx&amp;sheet=U0&amp;row=7991&amp;col=7&amp;number=7.16e-05&amp;sourceID=14","7.16e-05")</f>
        <v>7.16e-05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HYPERLINK("http://141.218.60.56/~jnz1568/getInfo.php?workbook=18_08.xlsx&amp;sheet=U0&amp;row=7992&amp;col=6&amp;number=3.8&amp;sourceID=14","3.8")</f>
        <v>3.8</v>
      </c>
      <c r="G7992" s="4" t="str">
        <f>HYPERLINK("http://141.218.60.56/~jnz1568/getInfo.php?workbook=18_08.xlsx&amp;sheet=U0&amp;row=7992&amp;col=7&amp;number=7.16e-05&amp;sourceID=14","7.16e-05")</f>
        <v>7.16e-05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HYPERLINK("http://141.218.60.56/~jnz1568/getInfo.php?workbook=18_08.xlsx&amp;sheet=U0&amp;row=7993&amp;col=6&amp;number=3.9&amp;sourceID=14","3.9")</f>
        <v>3.9</v>
      </c>
      <c r="G7993" s="4" t="str">
        <f>HYPERLINK("http://141.218.60.56/~jnz1568/getInfo.php?workbook=18_08.xlsx&amp;sheet=U0&amp;row=7993&amp;col=7&amp;number=7.16e-05&amp;sourceID=14","7.16e-05")</f>
        <v>7.16e-05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HYPERLINK("http://141.218.60.56/~jnz1568/getInfo.php?workbook=18_08.xlsx&amp;sheet=U0&amp;row=7994&amp;col=6&amp;number=4&amp;sourceID=14","4")</f>
        <v>4</v>
      </c>
      <c r="G7994" s="4" t="str">
        <f>HYPERLINK("http://141.218.60.56/~jnz1568/getInfo.php?workbook=18_08.xlsx&amp;sheet=U0&amp;row=7994&amp;col=7&amp;number=7.16e-05&amp;sourceID=14","7.16e-05")</f>
        <v>7.16e-05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HYPERLINK("http://141.218.60.56/~jnz1568/getInfo.php?workbook=18_08.xlsx&amp;sheet=U0&amp;row=7995&amp;col=6&amp;number=4.1&amp;sourceID=14","4.1")</f>
        <v>4.1</v>
      </c>
      <c r="G7995" s="4" t="str">
        <f>HYPERLINK("http://141.218.60.56/~jnz1568/getInfo.php?workbook=18_08.xlsx&amp;sheet=U0&amp;row=7995&amp;col=7&amp;number=7.16e-05&amp;sourceID=14","7.16e-05")</f>
        <v>7.16e-05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HYPERLINK("http://141.218.60.56/~jnz1568/getInfo.php?workbook=18_08.xlsx&amp;sheet=U0&amp;row=7996&amp;col=6&amp;number=4.2&amp;sourceID=14","4.2")</f>
        <v>4.2</v>
      </c>
      <c r="G7996" s="4" t="str">
        <f>HYPERLINK("http://141.218.60.56/~jnz1568/getInfo.php?workbook=18_08.xlsx&amp;sheet=U0&amp;row=7996&amp;col=7&amp;number=7.16e-05&amp;sourceID=14","7.16e-05")</f>
        <v>7.16e-05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HYPERLINK("http://141.218.60.56/~jnz1568/getInfo.php?workbook=18_08.xlsx&amp;sheet=U0&amp;row=7997&amp;col=6&amp;number=4.3&amp;sourceID=14","4.3")</f>
        <v>4.3</v>
      </c>
      <c r="G7997" s="4" t="str">
        <f>HYPERLINK("http://141.218.60.56/~jnz1568/getInfo.php?workbook=18_08.xlsx&amp;sheet=U0&amp;row=7997&amp;col=7&amp;number=7.16e-05&amp;sourceID=14","7.16e-05")</f>
        <v>7.16e-05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HYPERLINK("http://141.218.60.56/~jnz1568/getInfo.php?workbook=18_08.xlsx&amp;sheet=U0&amp;row=7998&amp;col=6&amp;number=4.4&amp;sourceID=14","4.4")</f>
        <v>4.4</v>
      </c>
      <c r="G7998" s="4" t="str">
        <f>HYPERLINK("http://141.218.60.56/~jnz1568/getInfo.php?workbook=18_08.xlsx&amp;sheet=U0&amp;row=7998&amp;col=7&amp;number=7.17e-05&amp;sourceID=14","7.17e-05")</f>
        <v>7.17e-05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HYPERLINK("http://141.218.60.56/~jnz1568/getInfo.php?workbook=18_08.xlsx&amp;sheet=U0&amp;row=7999&amp;col=6&amp;number=4.5&amp;sourceID=14","4.5")</f>
        <v>4.5</v>
      </c>
      <c r="G7999" s="4" t="str">
        <f>HYPERLINK("http://141.218.60.56/~jnz1568/getInfo.php?workbook=18_08.xlsx&amp;sheet=U0&amp;row=7999&amp;col=7&amp;number=7.17e-05&amp;sourceID=14","7.17e-05")</f>
        <v>7.17e-05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HYPERLINK("http://141.218.60.56/~jnz1568/getInfo.php?workbook=18_08.xlsx&amp;sheet=U0&amp;row=8000&amp;col=6&amp;number=4.6&amp;sourceID=14","4.6")</f>
        <v>4.6</v>
      </c>
      <c r="G8000" s="4" t="str">
        <f>HYPERLINK("http://141.218.60.56/~jnz1568/getInfo.php?workbook=18_08.xlsx&amp;sheet=U0&amp;row=8000&amp;col=7&amp;number=7.17e-05&amp;sourceID=14","7.17e-05")</f>
        <v>7.17e-05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HYPERLINK("http://141.218.60.56/~jnz1568/getInfo.php?workbook=18_08.xlsx&amp;sheet=U0&amp;row=8001&amp;col=6&amp;number=4.7&amp;sourceID=14","4.7")</f>
        <v>4.7</v>
      </c>
      <c r="G8001" s="4" t="str">
        <f>HYPERLINK("http://141.218.60.56/~jnz1568/getInfo.php?workbook=18_08.xlsx&amp;sheet=U0&amp;row=8001&amp;col=7&amp;number=7.18e-05&amp;sourceID=14","7.18e-05")</f>
        <v>7.18e-05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HYPERLINK("http://141.218.60.56/~jnz1568/getInfo.php?workbook=18_08.xlsx&amp;sheet=U0&amp;row=8002&amp;col=6&amp;number=4.8&amp;sourceID=14","4.8")</f>
        <v>4.8</v>
      </c>
      <c r="G8002" s="4" t="str">
        <f>HYPERLINK("http://141.218.60.56/~jnz1568/getInfo.php?workbook=18_08.xlsx&amp;sheet=U0&amp;row=8002&amp;col=7&amp;number=7.18e-05&amp;sourceID=14","7.18e-05")</f>
        <v>7.18e-05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HYPERLINK("http://141.218.60.56/~jnz1568/getInfo.php?workbook=18_08.xlsx&amp;sheet=U0&amp;row=8003&amp;col=6&amp;number=4.9&amp;sourceID=14","4.9")</f>
        <v>4.9</v>
      </c>
      <c r="G8003" s="4" t="str">
        <f>HYPERLINK("http://141.218.60.56/~jnz1568/getInfo.php?workbook=18_08.xlsx&amp;sheet=U0&amp;row=8003&amp;col=7&amp;number=7.19e-05&amp;sourceID=14","7.19e-05")</f>
        <v>7.19e-05</v>
      </c>
    </row>
    <row r="8004" spans="1:7">
      <c r="A8004" s="3">
        <v>18</v>
      </c>
      <c r="B8004" s="3">
        <v>8</v>
      </c>
      <c r="C8004" s="3" t="s">
        <v>84</v>
      </c>
      <c r="D8004" s="3">
        <v>2</v>
      </c>
      <c r="E8004" s="3">
        <v>1</v>
      </c>
      <c r="F8004" s="4" t="str">
        <f>HYPERLINK("http://141.218.60.56/~jnz1568/getInfo.php?workbook=18_08.xlsx&amp;sheet=U0&amp;row=8004&amp;col=6&amp;number=3&amp;sourceID=14","3")</f>
        <v>3</v>
      </c>
      <c r="G8004" s="4" t="str">
        <f>HYPERLINK("http://141.218.60.56/~jnz1568/getInfo.php?workbook=18_08.xlsx&amp;sheet=U0&amp;row=8004&amp;col=7&amp;number=0.00127&amp;sourceID=14","0.00127")</f>
        <v>0.00127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HYPERLINK("http://141.218.60.56/~jnz1568/getInfo.php?workbook=18_08.xlsx&amp;sheet=U0&amp;row=8005&amp;col=6&amp;number=3.1&amp;sourceID=14","3.1")</f>
        <v>3.1</v>
      </c>
      <c r="G8005" s="4" t="str">
        <f>HYPERLINK("http://141.218.60.56/~jnz1568/getInfo.php?workbook=18_08.xlsx&amp;sheet=U0&amp;row=8005&amp;col=7&amp;number=0.00127&amp;sourceID=14","0.00127")</f>
        <v>0.00127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HYPERLINK("http://141.218.60.56/~jnz1568/getInfo.php?workbook=18_08.xlsx&amp;sheet=U0&amp;row=8006&amp;col=6&amp;number=3.2&amp;sourceID=14","3.2")</f>
        <v>3.2</v>
      </c>
      <c r="G8006" s="4" t="str">
        <f>HYPERLINK("http://141.218.60.56/~jnz1568/getInfo.php?workbook=18_08.xlsx&amp;sheet=U0&amp;row=8006&amp;col=7&amp;number=0.00127&amp;sourceID=14","0.00127")</f>
        <v>0.00127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HYPERLINK("http://141.218.60.56/~jnz1568/getInfo.php?workbook=18_08.xlsx&amp;sheet=U0&amp;row=8007&amp;col=6&amp;number=3.3&amp;sourceID=14","3.3")</f>
        <v>3.3</v>
      </c>
      <c r="G8007" s="4" t="str">
        <f>HYPERLINK("http://141.218.60.56/~jnz1568/getInfo.php?workbook=18_08.xlsx&amp;sheet=U0&amp;row=8007&amp;col=7&amp;number=0.00127&amp;sourceID=14","0.00127")</f>
        <v>0.00127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HYPERLINK("http://141.218.60.56/~jnz1568/getInfo.php?workbook=18_08.xlsx&amp;sheet=U0&amp;row=8008&amp;col=6&amp;number=3.4&amp;sourceID=14","3.4")</f>
        <v>3.4</v>
      </c>
      <c r="G8008" s="4" t="str">
        <f>HYPERLINK("http://141.218.60.56/~jnz1568/getInfo.php?workbook=18_08.xlsx&amp;sheet=U0&amp;row=8008&amp;col=7&amp;number=0.00127&amp;sourceID=14","0.00127")</f>
        <v>0.00127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HYPERLINK("http://141.218.60.56/~jnz1568/getInfo.php?workbook=18_08.xlsx&amp;sheet=U0&amp;row=8009&amp;col=6&amp;number=3.5&amp;sourceID=14","3.5")</f>
        <v>3.5</v>
      </c>
      <c r="G8009" s="4" t="str">
        <f>HYPERLINK("http://141.218.60.56/~jnz1568/getInfo.php?workbook=18_08.xlsx&amp;sheet=U0&amp;row=8009&amp;col=7&amp;number=0.00127&amp;sourceID=14","0.00127")</f>
        <v>0.00127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HYPERLINK("http://141.218.60.56/~jnz1568/getInfo.php?workbook=18_08.xlsx&amp;sheet=U0&amp;row=8010&amp;col=6&amp;number=3.6&amp;sourceID=14","3.6")</f>
        <v>3.6</v>
      </c>
      <c r="G8010" s="4" t="str">
        <f>HYPERLINK("http://141.218.60.56/~jnz1568/getInfo.php?workbook=18_08.xlsx&amp;sheet=U0&amp;row=8010&amp;col=7&amp;number=0.00127&amp;sourceID=14","0.00127")</f>
        <v>0.00127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HYPERLINK("http://141.218.60.56/~jnz1568/getInfo.php?workbook=18_08.xlsx&amp;sheet=U0&amp;row=8011&amp;col=6&amp;number=3.7&amp;sourceID=14","3.7")</f>
        <v>3.7</v>
      </c>
      <c r="G8011" s="4" t="str">
        <f>HYPERLINK("http://141.218.60.56/~jnz1568/getInfo.php?workbook=18_08.xlsx&amp;sheet=U0&amp;row=8011&amp;col=7&amp;number=0.00127&amp;sourceID=14","0.00127")</f>
        <v>0.00127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HYPERLINK("http://141.218.60.56/~jnz1568/getInfo.php?workbook=18_08.xlsx&amp;sheet=U0&amp;row=8012&amp;col=6&amp;number=3.8&amp;sourceID=14","3.8")</f>
        <v>3.8</v>
      </c>
      <c r="G8012" s="4" t="str">
        <f>HYPERLINK("http://141.218.60.56/~jnz1568/getInfo.php?workbook=18_08.xlsx&amp;sheet=U0&amp;row=8012&amp;col=7&amp;number=0.00127&amp;sourceID=14","0.00127")</f>
        <v>0.00127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HYPERLINK("http://141.218.60.56/~jnz1568/getInfo.php?workbook=18_08.xlsx&amp;sheet=U0&amp;row=8013&amp;col=6&amp;number=3.9&amp;sourceID=14","3.9")</f>
        <v>3.9</v>
      </c>
      <c r="G8013" s="4" t="str">
        <f>HYPERLINK("http://141.218.60.56/~jnz1568/getInfo.php?workbook=18_08.xlsx&amp;sheet=U0&amp;row=8013&amp;col=7&amp;number=0.00127&amp;sourceID=14","0.00127")</f>
        <v>0.00127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HYPERLINK("http://141.218.60.56/~jnz1568/getInfo.php?workbook=18_08.xlsx&amp;sheet=U0&amp;row=8014&amp;col=6&amp;number=4&amp;sourceID=14","4")</f>
        <v>4</v>
      </c>
      <c r="G8014" s="4" t="str">
        <f>HYPERLINK("http://141.218.60.56/~jnz1568/getInfo.php?workbook=18_08.xlsx&amp;sheet=U0&amp;row=8014&amp;col=7&amp;number=0.00127&amp;sourceID=14","0.00127")</f>
        <v>0.00127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HYPERLINK("http://141.218.60.56/~jnz1568/getInfo.php?workbook=18_08.xlsx&amp;sheet=U0&amp;row=8015&amp;col=6&amp;number=4.1&amp;sourceID=14","4.1")</f>
        <v>4.1</v>
      </c>
      <c r="G8015" s="4" t="str">
        <f>HYPERLINK("http://141.218.60.56/~jnz1568/getInfo.php?workbook=18_08.xlsx&amp;sheet=U0&amp;row=8015&amp;col=7&amp;number=0.00127&amp;sourceID=14","0.00127")</f>
        <v>0.00127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HYPERLINK("http://141.218.60.56/~jnz1568/getInfo.php?workbook=18_08.xlsx&amp;sheet=U0&amp;row=8016&amp;col=6&amp;number=4.2&amp;sourceID=14","4.2")</f>
        <v>4.2</v>
      </c>
      <c r="G8016" s="4" t="str">
        <f>HYPERLINK("http://141.218.60.56/~jnz1568/getInfo.php?workbook=18_08.xlsx&amp;sheet=U0&amp;row=8016&amp;col=7&amp;number=0.00127&amp;sourceID=14","0.00127")</f>
        <v>0.00127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HYPERLINK("http://141.218.60.56/~jnz1568/getInfo.php?workbook=18_08.xlsx&amp;sheet=U0&amp;row=8017&amp;col=6&amp;number=4.3&amp;sourceID=14","4.3")</f>
        <v>4.3</v>
      </c>
      <c r="G8017" s="4" t="str">
        <f>HYPERLINK("http://141.218.60.56/~jnz1568/getInfo.php?workbook=18_08.xlsx&amp;sheet=U0&amp;row=8017&amp;col=7&amp;number=0.00127&amp;sourceID=14","0.00127")</f>
        <v>0.00127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HYPERLINK("http://141.218.60.56/~jnz1568/getInfo.php?workbook=18_08.xlsx&amp;sheet=U0&amp;row=8018&amp;col=6&amp;number=4.4&amp;sourceID=14","4.4")</f>
        <v>4.4</v>
      </c>
      <c r="G8018" s="4" t="str">
        <f>HYPERLINK("http://141.218.60.56/~jnz1568/getInfo.php?workbook=18_08.xlsx&amp;sheet=U0&amp;row=8018&amp;col=7&amp;number=0.00127&amp;sourceID=14","0.00127")</f>
        <v>0.00127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HYPERLINK("http://141.218.60.56/~jnz1568/getInfo.php?workbook=18_08.xlsx&amp;sheet=U0&amp;row=8019&amp;col=6&amp;number=4.5&amp;sourceID=14","4.5")</f>
        <v>4.5</v>
      </c>
      <c r="G8019" s="4" t="str">
        <f>HYPERLINK("http://141.218.60.56/~jnz1568/getInfo.php?workbook=18_08.xlsx&amp;sheet=U0&amp;row=8019&amp;col=7&amp;number=0.00127&amp;sourceID=14","0.00127")</f>
        <v>0.00127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HYPERLINK("http://141.218.60.56/~jnz1568/getInfo.php?workbook=18_08.xlsx&amp;sheet=U0&amp;row=8020&amp;col=6&amp;number=4.6&amp;sourceID=14","4.6")</f>
        <v>4.6</v>
      </c>
      <c r="G8020" s="4" t="str">
        <f>HYPERLINK("http://141.218.60.56/~jnz1568/getInfo.php?workbook=18_08.xlsx&amp;sheet=U0&amp;row=8020&amp;col=7&amp;number=0.00126&amp;sourceID=14","0.00126")</f>
        <v>0.00126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HYPERLINK("http://141.218.60.56/~jnz1568/getInfo.php?workbook=18_08.xlsx&amp;sheet=U0&amp;row=8021&amp;col=6&amp;number=4.7&amp;sourceID=14","4.7")</f>
        <v>4.7</v>
      </c>
      <c r="G8021" s="4" t="str">
        <f>HYPERLINK("http://141.218.60.56/~jnz1568/getInfo.php?workbook=18_08.xlsx&amp;sheet=U0&amp;row=8021&amp;col=7&amp;number=0.00126&amp;sourceID=14","0.00126")</f>
        <v>0.00126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HYPERLINK("http://141.218.60.56/~jnz1568/getInfo.php?workbook=18_08.xlsx&amp;sheet=U0&amp;row=8022&amp;col=6&amp;number=4.8&amp;sourceID=14","4.8")</f>
        <v>4.8</v>
      </c>
      <c r="G8022" s="4" t="str">
        <f>HYPERLINK("http://141.218.60.56/~jnz1568/getInfo.php?workbook=18_08.xlsx&amp;sheet=U0&amp;row=8022&amp;col=7&amp;number=0.00126&amp;sourceID=14","0.00126")</f>
        <v>0.00126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HYPERLINK("http://141.218.60.56/~jnz1568/getInfo.php?workbook=18_08.xlsx&amp;sheet=U0&amp;row=8023&amp;col=6&amp;number=4.9&amp;sourceID=14","4.9")</f>
        <v>4.9</v>
      </c>
      <c r="G8023" s="4" t="str">
        <f>HYPERLINK("http://141.218.60.56/~jnz1568/getInfo.php?workbook=18_08.xlsx&amp;sheet=U0&amp;row=8023&amp;col=7&amp;number=0.00125&amp;sourceID=14","0.00125")</f>
        <v>0.00125</v>
      </c>
    </row>
    <row r="8024" spans="1:7">
      <c r="A8024" s="3">
        <v>18</v>
      </c>
      <c r="B8024" s="3">
        <v>8</v>
      </c>
      <c r="C8024" s="3" t="s">
        <v>84</v>
      </c>
      <c r="D8024" s="3">
        <v>3</v>
      </c>
      <c r="E8024" s="3">
        <v>1</v>
      </c>
      <c r="F8024" s="4" t="str">
        <f>HYPERLINK("http://141.218.60.56/~jnz1568/getInfo.php?workbook=18_08.xlsx&amp;sheet=U0&amp;row=8024&amp;col=6&amp;number=3&amp;sourceID=14","3")</f>
        <v>3</v>
      </c>
      <c r="G8024" s="4" t="str">
        <f>HYPERLINK("http://141.218.60.56/~jnz1568/getInfo.php?workbook=18_08.xlsx&amp;sheet=U0&amp;row=8024&amp;col=7&amp;number=0.000345&amp;sourceID=14","0.000345")</f>
        <v>0.000345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HYPERLINK("http://141.218.60.56/~jnz1568/getInfo.php?workbook=18_08.xlsx&amp;sheet=U0&amp;row=8025&amp;col=6&amp;number=3.1&amp;sourceID=14","3.1")</f>
        <v>3.1</v>
      </c>
      <c r="G8025" s="4" t="str">
        <f>HYPERLINK("http://141.218.60.56/~jnz1568/getInfo.php?workbook=18_08.xlsx&amp;sheet=U0&amp;row=8025&amp;col=7&amp;number=0.000345&amp;sourceID=14","0.000345")</f>
        <v>0.000345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HYPERLINK("http://141.218.60.56/~jnz1568/getInfo.php?workbook=18_08.xlsx&amp;sheet=U0&amp;row=8026&amp;col=6&amp;number=3.2&amp;sourceID=14","3.2")</f>
        <v>3.2</v>
      </c>
      <c r="G8026" s="4" t="str">
        <f>HYPERLINK("http://141.218.60.56/~jnz1568/getInfo.php?workbook=18_08.xlsx&amp;sheet=U0&amp;row=8026&amp;col=7&amp;number=0.000345&amp;sourceID=14","0.000345")</f>
        <v>0.000345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HYPERLINK("http://141.218.60.56/~jnz1568/getInfo.php?workbook=18_08.xlsx&amp;sheet=U0&amp;row=8027&amp;col=6&amp;number=3.3&amp;sourceID=14","3.3")</f>
        <v>3.3</v>
      </c>
      <c r="G8027" s="4" t="str">
        <f>HYPERLINK("http://141.218.60.56/~jnz1568/getInfo.php?workbook=18_08.xlsx&amp;sheet=U0&amp;row=8027&amp;col=7&amp;number=0.000345&amp;sourceID=14","0.000345")</f>
        <v>0.000345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HYPERLINK("http://141.218.60.56/~jnz1568/getInfo.php?workbook=18_08.xlsx&amp;sheet=U0&amp;row=8028&amp;col=6&amp;number=3.4&amp;sourceID=14","3.4")</f>
        <v>3.4</v>
      </c>
      <c r="G8028" s="4" t="str">
        <f>HYPERLINK("http://141.218.60.56/~jnz1568/getInfo.php?workbook=18_08.xlsx&amp;sheet=U0&amp;row=8028&amp;col=7&amp;number=0.000345&amp;sourceID=14","0.000345")</f>
        <v>0.000345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HYPERLINK("http://141.218.60.56/~jnz1568/getInfo.php?workbook=18_08.xlsx&amp;sheet=U0&amp;row=8029&amp;col=6&amp;number=3.5&amp;sourceID=14","3.5")</f>
        <v>3.5</v>
      </c>
      <c r="G8029" s="4" t="str">
        <f>HYPERLINK("http://141.218.60.56/~jnz1568/getInfo.php?workbook=18_08.xlsx&amp;sheet=U0&amp;row=8029&amp;col=7&amp;number=0.000345&amp;sourceID=14","0.000345")</f>
        <v>0.000345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HYPERLINK("http://141.218.60.56/~jnz1568/getInfo.php?workbook=18_08.xlsx&amp;sheet=U0&amp;row=8030&amp;col=6&amp;number=3.6&amp;sourceID=14","3.6")</f>
        <v>3.6</v>
      </c>
      <c r="G8030" s="4" t="str">
        <f>HYPERLINK("http://141.218.60.56/~jnz1568/getInfo.php?workbook=18_08.xlsx&amp;sheet=U0&amp;row=8030&amp;col=7&amp;number=0.000345&amp;sourceID=14","0.000345")</f>
        <v>0.000345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HYPERLINK("http://141.218.60.56/~jnz1568/getInfo.php?workbook=18_08.xlsx&amp;sheet=U0&amp;row=8031&amp;col=6&amp;number=3.7&amp;sourceID=14","3.7")</f>
        <v>3.7</v>
      </c>
      <c r="G8031" s="4" t="str">
        <f>HYPERLINK("http://141.218.60.56/~jnz1568/getInfo.php?workbook=18_08.xlsx&amp;sheet=U0&amp;row=8031&amp;col=7&amp;number=0.000345&amp;sourceID=14","0.000345")</f>
        <v>0.000345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HYPERLINK("http://141.218.60.56/~jnz1568/getInfo.php?workbook=18_08.xlsx&amp;sheet=U0&amp;row=8032&amp;col=6&amp;number=3.8&amp;sourceID=14","3.8")</f>
        <v>3.8</v>
      </c>
      <c r="G8032" s="4" t="str">
        <f>HYPERLINK("http://141.218.60.56/~jnz1568/getInfo.php?workbook=18_08.xlsx&amp;sheet=U0&amp;row=8032&amp;col=7&amp;number=0.000345&amp;sourceID=14","0.000345")</f>
        <v>0.000345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HYPERLINK("http://141.218.60.56/~jnz1568/getInfo.php?workbook=18_08.xlsx&amp;sheet=U0&amp;row=8033&amp;col=6&amp;number=3.9&amp;sourceID=14","3.9")</f>
        <v>3.9</v>
      </c>
      <c r="G8033" s="4" t="str">
        <f>HYPERLINK("http://141.218.60.56/~jnz1568/getInfo.php?workbook=18_08.xlsx&amp;sheet=U0&amp;row=8033&amp;col=7&amp;number=0.000345&amp;sourceID=14","0.000345")</f>
        <v>0.000345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HYPERLINK("http://141.218.60.56/~jnz1568/getInfo.php?workbook=18_08.xlsx&amp;sheet=U0&amp;row=8034&amp;col=6&amp;number=4&amp;sourceID=14","4")</f>
        <v>4</v>
      </c>
      <c r="G8034" s="4" t="str">
        <f>HYPERLINK("http://141.218.60.56/~jnz1568/getInfo.php?workbook=18_08.xlsx&amp;sheet=U0&amp;row=8034&amp;col=7&amp;number=0.000345&amp;sourceID=14","0.000345")</f>
        <v>0.000345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HYPERLINK("http://141.218.60.56/~jnz1568/getInfo.php?workbook=18_08.xlsx&amp;sheet=U0&amp;row=8035&amp;col=6&amp;number=4.1&amp;sourceID=14","4.1")</f>
        <v>4.1</v>
      </c>
      <c r="G8035" s="4" t="str">
        <f>HYPERLINK("http://141.218.60.56/~jnz1568/getInfo.php?workbook=18_08.xlsx&amp;sheet=U0&amp;row=8035&amp;col=7&amp;number=0.000345&amp;sourceID=14","0.000345")</f>
        <v>0.000345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HYPERLINK("http://141.218.60.56/~jnz1568/getInfo.php?workbook=18_08.xlsx&amp;sheet=U0&amp;row=8036&amp;col=6&amp;number=4.2&amp;sourceID=14","4.2")</f>
        <v>4.2</v>
      </c>
      <c r="G8036" s="4" t="str">
        <f>HYPERLINK("http://141.218.60.56/~jnz1568/getInfo.php?workbook=18_08.xlsx&amp;sheet=U0&amp;row=8036&amp;col=7&amp;number=0.000345&amp;sourceID=14","0.000345")</f>
        <v>0.000345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HYPERLINK("http://141.218.60.56/~jnz1568/getInfo.php?workbook=18_08.xlsx&amp;sheet=U0&amp;row=8037&amp;col=6&amp;number=4.3&amp;sourceID=14","4.3")</f>
        <v>4.3</v>
      </c>
      <c r="G8037" s="4" t="str">
        <f>HYPERLINK("http://141.218.60.56/~jnz1568/getInfo.php?workbook=18_08.xlsx&amp;sheet=U0&amp;row=8037&amp;col=7&amp;number=0.000345&amp;sourceID=14","0.000345")</f>
        <v>0.000345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HYPERLINK("http://141.218.60.56/~jnz1568/getInfo.php?workbook=18_08.xlsx&amp;sheet=U0&amp;row=8038&amp;col=6&amp;number=4.4&amp;sourceID=14","4.4")</f>
        <v>4.4</v>
      </c>
      <c r="G8038" s="4" t="str">
        <f>HYPERLINK("http://141.218.60.56/~jnz1568/getInfo.php?workbook=18_08.xlsx&amp;sheet=U0&amp;row=8038&amp;col=7&amp;number=0.000345&amp;sourceID=14","0.000345")</f>
        <v>0.000345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HYPERLINK("http://141.218.60.56/~jnz1568/getInfo.php?workbook=18_08.xlsx&amp;sheet=U0&amp;row=8039&amp;col=6&amp;number=4.5&amp;sourceID=14","4.5")</f>
        <v>4.5</v>
      </c>
      <c r="G8039" s="4" t="str">
        <f>HYPERLINK("http://141.218.60.56/~jnz1568/getInfo.php?workbook=18_08.xlsx&amp;sheet=U0&amp;row=8039&amp;col=7&amp;number=0.000345&amp;sourceID=14","0.000345")</f>
        <v>0.000345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HYPERLINK("http://141.218.60.56/~jnz1568/getInfo.php?workbook=18_08.xlsx&amp;sheet=U0&amp;row=8040&amp;col=6&amp;number=4.6&amp;sourceID=14","4.6")</f>
        <v>4.6</v>
      </c>
      <c r="G8040" s="4" t="str">
        <f>HYPERLINK("http://141.218.60.56/~jnz1568/getInfo.php?workbook=18_08.xlsx&amp;sheet=U0&amp;row=8040&amp;col=7&amp;number=0.000345&amp;sourceID=14","0.000345")</f>
        <v>0.000345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HYPERLINK("http://141.218.60.56/~jnz1568/getInfo.php?workbook=18_08.xlsx&amp;sheet=U0&amp;row=8041&amp;col=6&amp;number=4.7&amp;sourceID=14","4.7")</f>
        <v>4.7</v>
      </c>
      <c r="G8041" s="4" t="str">
        <f>HYPERLINK("http://141.218.60.56/~jnz1568/getInfo.php?workbook=18_08.xlsx&amp;sheet=U0&amp;row=8041&amp;col=7&amp;number=0.000345&amp;sourceID=14","0.000345")</f>
        <v>0.000345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HYPERLINK("http://141.218.60.56/~jnz1568/getInfo.php?workbook=18_08.xlsx&amp;sheet=U0&amp;row=8042&amp;col=6&amp;number=4.8&amp;sourceID=14","4.8")</f>
        <v>4.8</v>
      </c>
      <c r="G8042" s="4" t="str">
        <f>HYPERLINK("http://141.218.60.56/~jnz1568/getInfo.php?workbook=18_08.xlsx&amp;sheet=U0&amp;row=8042&amp;col=7&amp;number=0.000344&amp;sourceID=14","0.000344")</f>
        <v>0.000344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HYPERLINK("http://141.218.60.56/~jnz1568/getInfo.php?workbook=18_08.xlsx&amp;sheet=U0&amp;row=8043&amp;col=6&amp;number=4.9&amp;sourceID=14","4.9")</f>
        <v>4.9</v>
      </c>
      <c r="G8043" s="4" t="str">
        <f>HYPERLINK("http://141.218.60.56/~jnz1568/getInfo.php?workbook=18_08.xlsx&amp;sheet=U0&amp;row=8043&amp;col=7&amp;number=0.000344&amp;sourceID=14","0.000344")</f>
        <v>0.000344</v>
      </c>
    </row>
    <row r="8044" spans="1:7">
      <c r="A8044" s="3">
        <v>18</v>
      </c>
      <c r="B8044" s="3">
        <v>8</v>
      </c>
      <c r="C8044" s="3" t="s">
        <v>84</v>
      </c>
      <c r="D8044" s="3">
        <v>4</v>
      </c>
      <c r="E8044" s="3">
        <v>1</v>
      </c>
      <c r="F8044" s="4" t="str">
        <f>HYPERLINK("http://141.218.60.56/~jnz1568/getInfo.php?workbook=18_08.xlsx&amp;sheet=U0&amp;row=8044&amp;col=6&amp;number=3&amp;sourceID=14","3")</f>
        <v>3</v>
      </c>
      <c r="G8044" s="4" t="str">
        <f>HYPERLINK("http://141.218.60.56/~jnz1568/getInfo.php?workbook=18_08.xlsx&amp;sheet=U0&amp;row=8044&amp;col=7&amp;number=0.00105&amp;sourceID=14","0.00105")</f>
        <v>0.00105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HYPERLINK("http://141.218.60.56/~jnz1568/getInfo.php?workbook=18_08.xlsx&amp;sheet=U0&amp;row=8045&amp;col=6&amp;number=3.1&amp;sourceID=14","3.1")</f>
        <v>3.1</v>
      </c>
      <c r="G8045" s="4" t="str">
        <f>HYPERLINK("http://141.218.60.56/~jnz1568/getInfo.php?workbook=18_08.xlsx&amp;sheet=U0&amp;row=8045&amp;col=7&amp;number=0.00105&amp;sourceID=14","0.00105")</f>
        <v>0.00105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HYPERLINK("http://141.218.60.56/~jnz1568/getInfo.php?workbook=18_08.xlsx&amp;sheet=U0&amp;row=8046&amp;col=6&amp;number=3.2&amp;sourceID=14","3.2")</f>
        <v>3.2</v>
      </c>
      <c r="G8046" s="4" t="str">
        <f>HYPERLINK("http://141.218.60.56/~jnz1568/getInfo.php?workbook=18_08.xlsx&amp;sheet=U0&amp;row=8046&amp;col=7&amp;number=0.00105&amp;sourceID=14","0.00105")</f>
        <v>0.00105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HYPERLINK("http://141.218.60.56/~jnz1568/getInfo.php?workbook=18_08.xlsx&amp;sheet=U0&amp;row=8047&amp;col=6&amp;number=3.3&amp;sourceID=14","3.3")</f>
        <v>3.3</v>
      </c>
      <c r="G8047" s="4" t="str">
        <f>HYPERLINK("http://141.218.60.56/~jnz1568/getInfo.php?workbook=18_08.xlsx&amp;sheet=U0&amp;row=8047&amp;col=7&amp;number=0.00105&amp;sourceID=14","0.00105")</f>
        <v>0.00105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HYPERLINK("http://141.218.60.56/~jnz1568/getInfo.php?workbook=18_08.xlsx&amp;sheet=U0&amp;row=8048&amp;col=6&amp;number=3.4&amp;sourceID=14","3.4")</f>
        <v>3.4</v>
      </c>
      <c r="G8048" s="4" t="str">
        <f>HYPERLINK("http://141.218.60.56/~jnz1568/getInfo.php?workbook=18_08.xlsx&amp;sheet=U0&amp;row=8048&amp;col=7&amp;number=0.00105&amp;sourceID=14","0.00105")</f>
        <v>0.00105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HYPERLINK("http://141.218.60.56/~jnz1568/getInfo.php?workbook=18_08.xlsx&amp;sheet=U0&amp;row=8049&amp;col=6&amp;number=3.5&amp;sourceID=14","3.5")</f>
        <v>3.5</v>
      </c>
      <c r="G8049" s="4" t="str">
        <f>HYPERLINK("http://141.218.60.56/~jnz1568/getInfo.php?workbook=18_08.xlsx&amp;sheet=U0&amp;row=8049&amp;col=7&amp;number=0.00105&amp;sourceID=14","0.00105")</f>
        <v>0.00105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HYPERLINK("http://141.218.60.56/~jnz1568/getInfo.php?workbook=18_08.xlsx&amp;sheet=U0&amp;row=8050&amp;col=6&amp;number=3.6&amp;sourceID=14","3.6")</f>
        <v>3.6</v>
      </c>
      <c r="G8050" s="4" t="str">
        <f>HYPERLINK("http://141.218.60.56/~jnz1568/getInfo.php?workbook=18_08.xlsx&amp;sheet=U0&amp;row=8050&amp;col=7&amp;number=0.00105&amp;sourceID=14","0.00105")</f>
        <v>0.00105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HYPERLINK("http://141.218.60.56/~jnz1568/getInfo.php?workbook=18_08.xlsx&amp;sheet=U0&amp;row=8051&amp;col=6&amp;number=3.7&amp;sourceID=14","3.7")</f>
        <v>3.7</v>
      </c>
      <c r="G8051" s="4" t="str">
        <f>HYPERLINK("http://141.218.60.56/~jnz1568/getInfo.php?workbook=18_08.xlsx&amp;sheet=U0&amp;row=8051&amp;col=7&amp;number=0.00105&amp;sourceID=14","0.00105")</f>
        <v>0.00105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HYPERLINK("http://141.218.60.56/~jnz1568/getInfo.php?workbook=18_08.xlsx&amp;sheet=U0&amp;row=8052&amp;col=6&amp;number=3.8&amp;sourceID=14","3.8")</f>
        <v>3.8</v>
      </c>
      <c r="G8052" s="4" t="str">
        <f>HYPERLINK("http://141.218.60.56/~jnz1568/getInfo.php?workbook=18_08.xlsx&amp;sheet=U0&amp;row=8052&amp;col=7&amp;number=0.00105&amp;sourceID=14","0.00105")</f>
        <v>0.00105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HYPERLINK("http://141.218.60.56/~jnz1568/getInfo.php?workbook=18_08.xlsx&amp;sheet=U0&amp;row=8053&amp;col=6&amp;number=3.9&amp;sourceID=14","3.9")</f>
        <v>3.9</v>
      </c>
      <c r="G8053" s="4" t="str">
        <f>HYPERLINK("http://141.218.60.56/~jnz1568/getInfo.php?workbook=18_08.xlsx&amp;sheet=U0&amp;row=8053&amp;col=7&amp;number=0.00105&amp;sourceID=14","0.00105")</f>
        <v>0.00105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HYPERLINK("http://141.218.60.56/~jnz1568/getInfo.php?workbook=18_08.xlsx&amp;sheet=U0&amp;row=8054&amp;col=6&amp;number=4&amp;sourceID=14","4")</f>
        <v>4</v>
      </c>
      <c r="G8054" s="4" t="str">
        <f>HYPERLINK("http://141.218.60.56/~jnz1568/getInfo.php?workbook=18_08.xlsx&amp;sheet=U0&amp;row=8054&amp;col=7&amp;number=0.00105&amp;sourceID=14","0.00105")</f>
        <v>0.00105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HYPERLINK("http://141.218.60.56/~jnz1568/getInfo.php?workbook=18_08.xlsx&amp;sheet=U0&amp;row=8055&amp;col=6&amp;number=4.1&amp;sourceID=14","4.1")</f>
        <v>4.1</v>
      </c>
      <c r="G8055" s="4" t="str">
        <f>HYPERLINK("http://141.218.60.56/~jnz1568/getInfo.php?workbook=18_08.xlsx&amp;sheet=U0&amp;row=8055&amp;col=7&amp;number=0.00105&amp;sourceID=14","0.00105")</f>
        <v>0.00105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HYPERLINK("http://141.218.60.56/~jnz1568/getInfo.php?workbook=18_08.xlsx&amp;sheet=U0&amp;row=8056&amp;col=6&amp;number=4.2&amp;sourceID=14","4.2")</f>
        <v>4.2</v>
      </c>
      <c r="G8056" s="4" t="str">
        <f>HYPERLINK("http://141.218.60.56/~jnz1568/getInfo.php?workbook=18_08.xlsx&amp;sheet=U0&amp;row=8056&amp;col=7&amp;number=0.00105&amp;sourceID=14","0.00105")</f>
        <v>0.00105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HYPERLINK("http://141.218.60.56/~jnz1568/getInfo.php?workbook=18_08.xlsx&amp;sheet=U0&amp;row=8057&amp;col=6&amp;number=4.3&amp;sourceID=14","4.3")</f>
        <v>4.3</v>
      </c>
      <c r="G8057" s="4" t="str">
        <f>HYPERLINK("http://141.218.60.56/~jnz1568/getInfo.php?workbook=18_08.xlsx&amp;sheet=U0&amp;row=8057&amp;col=7&amp;number=0.00105&amp;sourceID=14","0.00105")</f>
        <v>0.00105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HYPERLINK("http://141.218.60.56/~jnz1568/getInfo.php?workbook=18_08.xlsx&amp;sheet=U0&amp;row=8058&amp;col=6&amp;number=4.4&amp;sourceID=14","4.4")</f>
        <v>4.4</v>
      </c>
      <c r="G8058" s="4" t="str">
        <f>HYPERLINK("http://141.218.60.56/~jnz1568/getInfo.php?workbook=18_08.xlsx&amp;sheet=U0&amp;row=8058&amp;col=7&amp;number=0.00105&amp;sourceID=14","0.00105")</f>
        <v>0.00105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HYPERLINK("http://141.218.60.56/~jnz1568/getInfo.php?workbook=18_08.xlsx&amp;sheet=U0&amp;row=8059&amp;col=6&amp;number=4.5&amp;sourceID=14","4.5")</f>
        <v>4.5</v>
      </c>
      <c r="G8059" s="4" t="str">
        <f>HYPERLINK("http://141.218.60.56/~jnz1568/getInfo.php?workbook=18_08.xlsx&amp;sheet=U0&amp;row=8059&amp;col=7&amp;number=0.00105&amp;sourceID=14","0.00105")</f>
        <v>0.00105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HYPERLINK("http://141.218.60.56/~jnz1568/getInfo.php?workbook=18_08.xlsx&amp;sheet=U0&amp;row=8060&amp;col=6&amp;number=4.6&amp;sourceID=14","4.6")</f>
        <v>4.6</v>
      </c>
      <c r="G8060" s="4" t="str">
        <f>HYPERLINK("http://141.218.60.56/~jnz1568/getInfo.php?workbook=18_08.xlsx&amp;sheet=U0&amp;row=8060&amp;col=7&amp;number=0.00105&amp;sourceID=14","0.00105")</f>
        <v>0.00105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HYPERLINK("http://141.218.60.56/~jnz1568/getInfo.php?workbook=18_08.xlsx&amp;sheet=U0&amp;row=8061&amp;col=6&amp;number=4.7&amp;sourceID=14","4.7")</f>
        <v>4.7</v>
      </c>
      <c r="G8061" s="4" t="str">
        <f>HYPERLINK("http://141.218.60.56/~jnz1568/getInfo.php?workbook=18_08.xlsx&amp;sheet=U0&amp;row=8061&amp;col=7&amp;number=0.00105&amp;sourceID=14","0.00105")</f>
        <v>0.00105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HYPERLINK("http://141.218.60.56/~jnz1568/getInfo.php?workbook=18_08.xlsx&amp;sheet=U0&amp;row=8062&amp;col=6&amp;number=4.8&amp;sourceID=14","4.8")</f>
        <v>4.8</v>
      </c>
      <c r="G8062" s="4" t="str">
        <f>HYPERLINK("http://141.218.60.56/~jnz1568/getInfo.php?workbook=18_08.xlsx&amp;sheet=U0&amp;row=8062&amp;col=7&amp;number=0.00105&amp;sourceID=14","0.00105")</f>
        <v>0.00105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HYPERLINK("http://141.218.60.56/~jnz1568/getInfo.php?workbook=18_08.xlsx&amp;sheet=U0&amp;row=8063&amp;col=6&amp;number=4.9&amp;sourceID=14","4.9")</f>
        <v>4.9</v>
      </c>
      <c r="G8063" s="4" t="str">
        <f>HYPERLINK("http://141.218.60.56/~jnz1568/getInfo.php?workbook=18_08.xlsx&amp;sheet=U0&amp;row=8063&amp;col=7&amp;number=0.00105&amp;sourceID=14","0.00105")</f>
        <v>0.00105</v>
      </c>
    </row>
    <row r="8064" spans="1:7">
      <c r="A8064" s="3">
        <v>18</v>
      </c>
      <c r="B8064" s="3">
        <v>8</v>
      </c>
      <c r="C8064" s="3" t="s">
        <v>84</v>
      </c>
      <c r="D8064" s="3">
        <v>5</v>
      </c>
      <c r="E8064" s="3">
        <v>1</v>
      </c>
      <c r="F8064" s="4" t="str">
        <f>HYPERLINK("http://141.218.60.56/~jnz1568/getInfo.php?workbook=18_08.xlsx&amp;sheet=U0&amp;row=8064&amp;col=6&amp;number=3&amp;sourceID=14","3")</f>
        <v>3</v>
      </c>
      <c r="G8064" s="4" t="str">
        <f>HYPERLINK("http://141.218.60.56/~jnz1568/getInfo.php?workbook=18_08.xlsx&amp;sheet=U0&amp;row=8064&amp;col=7&amp;number=0.00616&amp;sourceID=14","0.00616")</f>
        <v>0.00616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HYPERLINK("http://141.218.60.56/~jnz1568/getInfo.php?workbook=18_08.xlsx&amp;sheet=U0&amp;row=8065&amp;col=6&amp;number=3.1&amp;sourceID=14","3.1")</f>
        <v>3.1</v>
      </c>
      <c r="G8065" s="4" t="str">
        <f>HYPERLINK("http://141.218.60.56/~jnz1568/getInfo.php?workbook=18_08.xlsx&amp;sheet=U0&amp;row=8065&amp;col=7&amp;number=0.00616&amp;sourceID=14","0.00616")</f>
        <v>0.00616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HYPERLINK("http://141.218.60.56/~jnz1568/getInfo.php?workbook=18_08.xlsx&amp;sheet=U0&amp;row=8066&amp;col=6&amp;number=3.2&amp;sourceID=14","3.2")</f>
        <v>3.2</v>
      </c>
      <c r="G8066" s="4" t="str">
        <f>HYPERLINK("http://141.218.60.56/~jnz1568/getInfo.php?workbook=18_08.xlsx&amp;sheet=U0&amp;row=8066&amp;col=7&amp;number=0.00616&amp;sourceID=14","0.00616")</f>
        <v>0.00616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HYPERLINK("http://141.218.60.56/~jnz1568/getInfo.php?workbook=18_08.xlsx&amp;sheet=U0&amp;row=8067&amp;col=6&amp;number=3.3&amp;sourceID=14","3.3")</f>
        <v>3.3</v>
      </c>
      <c r="G8067" s="4" t="str">
        <f>HYPERLINK("http://141.218.60.56/~jnz1568/getInfo.php?workbook=18_08.xlsx&amp;sheet=U0&amp;row=8067&amp;col=7&amp;number=0.00616&amp;sourceID=14","0.00616")</f>
        <v>0.00616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HYPERLINK("http://141.218.60.56/~jnz1568/getInfo.php?workbook=18_08.xlsx&amp;sheet=U0&amp;row=8068&amp;col=6&amp;number=3.4&amp;sourceID=14","3.4")</f>
        <v>3.4</v>
      </c>
      <c r="G8068" s="4" t="str">
        <f>HYPERLINK("http://141.218.60.56/~jnz1568/getInfo.php?workbook=18_08.xlsx&amp;sheet=U0&amp;row=8068&amp;col=7&amp;number=0.00616&amp;sourceID=14","0.00616")</f>
        <v>0.00616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HYPERLINK("http://141.218.60.56/~jnz1568/getInfo.php?workbook=18_08.xlsx&amp;sheet=U0&amp;row=8069&amp;col=6&amp;number=3.5&amp;sourceID=14","3.5")</f>
        <v>3.5</v>
      </c>
      <c r="G8069" s="4" t="str">
        <f>HYPERLINK("http://141.218.60.56/~jnz1568/getInfo.php?workbook=18_08.xlsx&amp;sheet=U0&amp;row=8069&amp;col=7&amp;number=0.00616&amp;sourceID=14","0.00616")</f>
        <v>0.00616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HYPERLINK("http://141.218.60.56/~jnz1568/getInfo.php?workbook=18_08.xlsx&amp;sheet=U0&amp;row=8070&amp;col=6&amp;number=3.6&amp;sourceID=14","3.6")</f>
        <v>3.6</v>
      </c>
      <c r="G8070" s="4" t="str">
        <f>HYPERLINK("http://141.218.60.56/~jnz1568/getInfo.php?workbook=18_08.xlsx&amp;sheet=U0&amp;row=8070&amp;col=7&amp;number=0.00615&amp;sourceID=14","0.00615")</f>
        <v>0.00615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HYPERLINK("http://141.218.60.56/~jnz1568/getInfo.php?workbook=18_08.xlsx&amp;sheet=U0&amp;row=8071&amp;col=6&amp;number=3.7&amp;sourceID=14","3.7")</f>
        <v>3.7</v>
      </c>
      <c r="G8071" s="4" t="str">
        <f>HYPERLINK("http://141.218.60.56/~jnz1568/getInfo.php?workbook=18_08.xlsx&amp;sheet=U0&amp;row=8071&amp;col=7&amp;number=0.00615&amp;sourceID=14","0.00615")</f>
        <v>0.00615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HYPERLINK("http://141.218.60.56/~jnz1568/getInfo.php?workbook=18_08.xlsx&amp;sheet=U0&amp;row=8072&amp;col=6&amp;number=3.8&amp;sourceID=14","3.8")</f>
        <v>3.8</v>
      </c>
      <c r="G8072" s="4" t="str">
        <f>HYPERLINK("http://141.218.60.56/~jnz1568/getInfo.php?workbook=18_08.xlsx&amp;sheet=U0&amp;row=8072&amp;col=7&amp;number=0.00615&amp;sourceID=14","0.00615")</f>
        <v>0.00615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HYPERLINK("http://141.218.60.56/~jnz1568/getInfo.php?workbook=18_08.xlsx&amp;sheet=U0&amp;row=8073&amp;col=6&amp;number=3.9&amp;sourceID=14","3.9")</f>
        <v>3.9</v>
      </c>
      <c r="G8073" s="4" t="str">
        <f>HYPERLINK("http://141.218.60.56/~jnz1568/getInfo.php?workbook=18_08.xlsx&amp;sheet=U0&amp;row=8073&amp;col=7&amp;number=0.00615&amp;sourceID=14","0.00615")</f>
        <v>0.00615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HYPERLINK("http://141.218.60.56/~jnz1568/getInfo.php?workbook=18_08.xlsx&amp;sheet=U0&amp;row=8074&amp;col=6&amp;number=4&amp;sourceID=14","4")</f>
        <v>4</v>
      </c>
      <c r="G8074" s="4" t="str">
        <f>HYPERLINK("http://141.218.60.56/~jnz1568/getInfo.php?workbook=18_08.xlsx&amp;sheet=U0&amp;row=8074&amp;col=7&amp;number=0.00614&amp;sourceID=14","0.00614")</f>
        <v>0.00614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HYPERLINK("http://141.218.60.56/~jnz1568/getInfo.php?workbook=18_08.xlsx&amp;sheet=U0&amp;row=8075&amp;col=6&amp;number=4.1&amp;sourceID=14","4.1")</f>
        <v>4.1</v>
      </c>
      <c r="G8075" s="4" t="str">
        <f>HYPERLINK("http://141.218.60.56/~jnz1568/getInfo.php?workbook=18_08.xlsx&amp;sheet=U0&amp;row=8075&amp;col=7&amp;number=0.00614&amp;sourceID=14","0.00614")</f>
        <v>0.00614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HYPERLINK("http://141.218.60.56/~jnz1568/getInfo.php?workbook=18_08.xlsx&amp;sheet=U0&amp;row=8076&amp;col=6&amp;number=4.2&amp;sourceID=14","4.2")</f>
        <v>4.2</v>
      </c>
      <c r="G8076" s="4" t="str">
        <f>HYPERLINK("http://141.218.60.56/~jnz1568/getInfo.php?workbook=18_08.xlsx&amp;sheet=U0&amp;row=8076&amp;col=7&amp;number=0.00613&amp;sourceID=14","0.00613")</f>
        <v>0.00613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HYPERLINK("http://141.218.60.56/~jnz1568/getInfo.php?workbook=18_08.xlsx&amp;sheet=U0&amp;row=8077&amp;col=6&amp;number=4.3&amp;sourceID=14","4.3")</f>
        <v>4.3</v>
      </c>
      <c r="G8077" s="4" t="str">
        <f>HYPERLINK("http://141.218.60.56/~jnz1568/getInfo.php?workbook=18_08.xlsx&amp;sheet=U0&amp;row=8077&amp;col=7&amp;number=0.00612&amp;sourceID=14","0.00612")</f>
        <v>0.00612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HYPERLINK("http://141.218.60.56/~jnz1568/getInfo.php?workbook=18_08.xlsx&amp;sheet=U0&amp;row=8078&amp;col=6&amp;number=4.4&amp;sourceID=14","4.4")</f>
        <v>4.4</v>
      </c>
      <c r="G8078" s="4" t="str">
        <f>HYPERLINK("http://141.218.60.56/~jnz1568/getInfo.php?workbook=18_08.xlsx&amp;sheet=U0&amp;row=8078&amp;col=7&amp;number=0.00611&amp;sourceID=14","0.00611")</f>
        <v>0.00611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HYPERLINK("http://141.218.60.56/~jnz1568/getInfo.php?workbook=18_08.xlsx&amp;sheet=U0&amp;row=8079&amp;col=6&amp;number=4.5&amp;sourceID=14","4.5")</f>
        <v>4.5</v>
      </c>
      <c r="G8079" s="4" t="str">
        <f>HYPERLINK("http://141.218.60.56/~jnz1568/getInfo.php?workbook=18_08.xlsx&amp;sheet=U0&amp;row=8079&amp;col=7&amp;number=0.00609&amp;sourceID=14","0.00609")</f>
        <v>0.00609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HYPERLINK("http://141.218.60.56/~jnz1568/getInfo.php?workbook=18_08.xlsx&amp;sheet=U0&amp;row=8080&amp;col=6&amp;number=4.6&amp;sourceID=14","4.6")</f>
        <v>4.6</v>
      </c>
      <c r="G8080" s="4" t="str">
        <f>HYPERLINK("http://141.218.60.56/~jnz1568/getInfo.php?workbook=18_08.xlsx&amp;sheet=U0&amp;row=8080&amp;col=7&amp;number=0.00607&amp;sourceID=14","0.00607")</f>
        <v>0.00607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HYPERLINK("http://141.218.60.56/~jnz1568/getInfo.php?workbook=18_08.xlsx&amp;sheet=U0&amp;row=8081&amp;col=6&amp;number=4.7&amp;sourceID=14","4.7")</f>
        <v>4.7</v>
      </c>
      <c r="G8081" s="4" t="str">
        <f>HYPERLINK("http://141.218.60.56/~jnz1568/getInfo.php?workbook=18_08.xlsx&amp;sheet=U0&amp;row=8081&amp;col=7&amp;number=0.00605&amp;sourceID=14","0.00605")</f>
        <v>0.00605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HYPERLINK("http://141.218.60.56/~jnz1568/getInfo.php?workbook=18_08.xlsx&amp;sheet=U0&amp;row=8082&amp;col=6&amp;number=4.8&amp;sourceID=14","4.8")</f>
        <v>4.8</v>
      </c>
      <c r="G8082" s="4" t="str">
        <f>HYPERLINK("http://141.218.60.56/~jnz1568/getInfo.php?workbook=18_08.xlsx&amp;sheet=U0&amp;row=8082&amp;col=7&amp;number=0.00602&amp;sourceID=14","0.00602")</f>
        <v>0.00602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HYPERLINK("http://141.218.60.56/~jnz1568/getInfo.php?workbook=18_08.xlsx&amp;sheet=U0&amp;row=8083&amp;col=6&amp;number=4.9&amp;sourceID=14","4.9")</f>
        <v>4.9</v>
      </c>
      <c r="G8083" s="4" t="str">
        <f>HYPERLINK("http://141.218.60.56/~jnz1568/getInfo.php?workbook=18_08.xlsx&amp;sheet=U0&amp;row=8083&amp;col=7&amp;number=0.00599&amp;sourceID=14","0.00599")</f>
        <v>0.00599</v>
      </c>
    </row>
    <row r="8084" spans="1:7">
      <c r="A8084" s="3">
        <v>18</v>
      </c>
      <c r="B8084" s="3">
        <v>8</v>
      </c>
      <c r="C8084" s="3" t="s">
        <v>84</v>
      </c>
      <c r="D8084" s="3">
        <v>6</v>
      </c>
      <c r="E8084" s="3">
        <v>1</v>
      </c>
      <c r="F8084" s="4" t="str">
        <f>HYPERLINK("http://141.218.60.56/~jnz1568/getInfo.php?workbook=18_08.xlsx&amp;sheet=U0&amp;row=8084&amp;col=6&amp;number=3&amp;sourceID=14","3")</f>
        <v>3</v>
      </c>
      <c r="G8084" s="4" t="str">
        <f>HYPERLINK("http://141.218.60.56/~jnz1568/getInfo.php?workbook=18_08.xlsx&amp;sheet=U0&amp;row=8084&amp;col=7&amp;number=0.015&amp;sourceID=14","0.015")</f>
        <v>0.015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HYPERLINK("http://141.218.60.56/~jnz1568/getInfo.php?workbook=18_08.xlsx&amp;sheet=U0&amp;row=8085&amp;col=6&amp;number=3.1&amp;sourceID=14","3.1")</f>
        <v>3.1</v>
      </c>
      <c r="G8085" s="4" t="str">
        <f>HYPERLINK("http://141.218.60.56/~jnz1568/getInfo.php?workbook=18_08.xlsx&amp;sheet=U0&amp;row=8085&amp;col=7&amp;number=0.015&amp;sourceID=14","0.015")</f>
        <v>0.015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HYPERLINK("http://141.218.60.56/~jnz1568/getInfo.php?workbook=18_08.xlsx&amp;sheet=U0&amp;row=8086&amp;col=6&amp;number=3.2&amp;sourceID=14","3.2")</f>
        <v>3.2</v>
      </c>
      <c r="G8086" s="4" t="str">
        <f>HYPERLINK("http://141.218.60.56/~jnz1568/getInfo.php?workbook=18_08.xlsx&amp;sheet=U0&amp;row=8086&amp;col=7&amp;number=0.015&amp;sourceID=14","0.015")</f>
        <v>0.015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HYPERLINK("http://141.218.60.56/~jnz1568/getInfo.php?workbook=18_08.xlsx&amp;sheet=U0&amp;row=8087&amp;col=6&amp;number=3.3&amp;sourceID=14","3.3")</f>
        <v>3.3</v>
      </c>
      <c r="G8087" s="4" t="str">
        <f>HYPERLINK("http://141.218.60.56/~jnz1568/getInfo.php?workbook=18_08.xlsx&amp;sheet=U0&amp;row=8087&amp;col=7&amp;number=0.015&amp;sourceID=14","0.015")</f>
        <v>0.015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HYPERLINK("http://141.218.60.56/~jnz1568/getInfo.php?workbook=18_08.xlsx&amp;sheet=U0&amp;row=8088&amp;col=6&amp;number=3.4&amp;sourceID=14","3.4")</f>
        <v>3.4</v>
      </c>
      <c r="G8088" s="4" t="str">
        <f>HYPERLINK("http://141.218.60.56/~jnz1568/getInfo.php?workbook=18_08.xlsx&amp;sheet=U0&amp;row=8088&amp;col=7&amp;number=0.015&amp;sourceID=14","0.015")</f>
        <v>0.015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HYPERLINK("http://141.218.60.56/~jnz1568/getInfo.php?workbook=18_08.xlsx&amp;sheet=U0&amp;row=8089&amp;col=6&amp;number=3.5&amp;sourceID=14","3.5")</f>
        <v>3.5</v>
      </c>
      <c r="G8089" s="4" t="str">
        <f>HYPERLINK("http://141.218.60.56/~jnz1568/getInfo.php?workbook=18_08.xlsx&amp;sheet=U0&amp;row=8089&amp;col=7&amp;number=0.015&amp;sourceID=14","0.015")</f>
        <v>0.015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HYPERLINK("http://141.218.60.56/~jnz1568/getInfo.php?workbook=18_08.xlsx&amp;sheet=U0&amp;row=8090&amp;col=6&amp;number=3.6&amp;sourceID=14","3.6")</f>
        <v>3.6</v>
      </c>
      <c r="G8090" s="4" t="str">
        <f>HYPERLINK("http://141.218.60.56/~jnz1568/getInfo.php?workbook=18_08.xlsx&amp;sheet=U0&amp;row=8090&amp;col=7&amp;number=0.015&amp;sourceID=14","0.015")</f>
        <v>0.015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HYPERLINK("http://141.218.60.56/~jnz1568/getInfo.php?workbook=18_08.xlsx&amp;sheet=U0&amp;row=8091&amp;col=6&amp;number=3.7&amp;sourceID=14","3.7")</f>
        <v>3.7</v>
      </c>
      <c r="G8091" s="4" t="str">
        <f>HYPERLINK("http://141.218.60.56/~jnz1568/getInfo.php?workbook=18_08.xlsx&amp;sheet=U0&amp;row=8091&amp;col=7&amp;number=0.015&amp;sourceID=14","0.015")</f>
        <v>0.015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HYPERLINK("http://141.218.60.56/~jnz1568/getInfo.php?workbook=18_08.xlsx&amp;sheet=U0&amp;row=8092&amp;col=6&amp;number=3.8&amp;sourceID=14","3.8")</f>
        <v>3.8</v>
      </c>
      <c r="G8092" s="4" t="str">
        <f>HYPERLINK("http://141.218.60.56/~jnz1568/getInfo.php?workbook=18_08.xlsx&amp;sheet=U0&amp;row=8092&amp;col=7&amp;number=0.015&amp;sourceID=14","0.015")</f>
        <v>0.015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HYPERLINK("http://141.218.60.56/~jnz1568/getInfo.php?workbook=18_08.xlsx&amp;sheet=U0&amp;row=8093&amp;col=6&amp;number=3.9&amp;sourceID=14","3.9")</f>
        <v>3.9</v>
      </c>
      <c r="G8093" s="4" t="str">
        <f>HYPERLINK("http://141.218.60.56/~jnz1568/getInfo.php?workbook=18_08.xlsx&amp;sheet=U0&amp;row=8093&amp;col=7&amp;number=0.015&amp;sourceID=14","0.015")</f>
        <v>0.015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HYPERLINK("http://141.218.60.56/~jnz1568/getInfo.php?workbook=18_08.xlsx&amp;sheet=U0&amp;row=8094&amp;col=6&amp;number=4&amp;sourceID=14","4")</f>
        <v>4</v>
      </c>
      <c r="G8094" s="4" t="str">
        <f>HYPERLINK("http://141.218.60.56/~jnz1568/getInfo.php?workbook=18_08.xlsx&amp;sheet=U0&amp;row=8094&amp;col=7&amp;number=0.015&amp;sourceID=14","0.015")</f>
        <v>0.015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HYPERLINK("http://141.218.60.56/~jnz1568/getInfo.php?workbook=18_08.xlsx&amp;sheet=U0&amp;row=8095&amp;col=6&amp;number=4.1&amp;sourceID=14","4.1")</f>
        <v>4.1</v>
      </c>
      <c r="G8095" s="4" t="str">
        <f>HYPERLINK("http://141.218.60.56/~jnz1568/getInfo.php?workbook=18_08.xlsx&amp;sheet=U0&amp;row=8095&amp;col=7&amp;number=0.0149&amp;sourceID=14","0.0149")</f>
        <v>0.0149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HYPERLINK("http://141.218.60.56/~jnz1568/getInfo.php?workbook=18_08.xlsx&amp;sheet=U0&amp;row=8096&amp;col=6&amp;number=4.2&amp;sourceID=14","4.2")</f>
        <v>4.2</v>
      </c>
      <c r="G8096" s="4" t="str">
        <f>HYPERLINK("http://141.218.60.56/~jnz1568/getInfo.php?workbook=18_08.xlsx&amp;sheet=U0&amp;row=8096&amp;col=7&amp;number=0.0149&amp;sourceID=14","0.0149")</f>
        <v>0.0149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HYPERLINK("http://141.218.60.56/~jnz1568/getInfo.php?workbook=18_08.xlsx&amp;sheet=U0&amp;row=8097&amp;col=6&amp;number=4.3&amp;sourceID=14","4.3")</f>
        <v>4.3</v>
      </c>
      <c r="G8097" s="4" t="str">
        <f>HYPERLINK("http://141.218.60.56/~jnz1568/getInfo.php?workbook=18_08.xlsx&amp;sheet=U0&amp;row=8097&amp;col=7&amp;number=0.0149&amp;sourceID=14","0.0149")</f>
        <v>0.0149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HYPERLINK("http://141.218.60.56/~jnz1568/getInfo.php?workbook=18_08.xlsx&amp;sheet=U0&amp;row=8098&amp;col=6&amp;number=4.4&amp;sourceID=14","4.4")</f>
        <v>4.4</v>
      </c>
      <c r="G8098" s="4" t="str">
        <f>HYPERLINK("http://141.218.60.56/~jnz1568/getInfo.php?workbook=18_08.xlsx&amp;sheet=U0&amp;row=8098&amp;col=7&amp;number=0.0149&amp;sourceID=14","0.0149")</f>
        <v>0.0149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HYPERLINK("http://141.218.60.56/~jnz1568/getInfo.php?workbook=18_08.xlsx&amp;sheet=U0&amp;row=8099&amp;col=6&amp;number=4.5&amp;sourceID=14","4.5")</f>
        <v>4.5</v>
      </c>
      <c r="G8099" s="4" t="str">
        <f>HYPERLINK("http://141.218.60.56/~jnz1568/getInfo.php?workbook=18_08.xlsx&amp;sheet=U0&amp;row=8099&amp;col=7&amp;number=0.0148&amp;sourceID=14","0.0148")</f>
        <v>0.0148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HYPERLINK("http://141.218.60.56/~jnz1568/getInfo.php?workbook=18_08.xlsx&amp;sheet=U0&amp;row=8100&amp;col=6&amp;number=4.6&amp;sourceID=14","4.6")</f>
        <v>4.6</v>
      </c>
      <c r="G8100" s="4" t="str">
        <f>HYPERLINK("http://141.218.60.56/~jnz1568/getInfo.php?workbook=18_08.xlsx&amp;sheet=U0&amp;row=8100&amp;col=7&amp;number=0.0148&amp;sourceID=14","0.0148")</f>
        <v>0.0148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HYPERLINK("http://141.218.60.56/~jnz1568/getInfo.php?workbook=18_08.xlsx&amp;sheet=U0&amp;row=8101&amp;col=6&amp;number=4.7&amp;sourceID=14","4.7")</f>
        <v>4.7</v>
      </c>
      <c r="G8101" s="4" t="str">
        <f>HYPERLINK("http://141.218.60.56/~jnz1568/getInfo.php?workbook=18_08.xlsx&amp;sheet=U0&amp;row=8101&amp;col=7&amp;number=0.0147&amp;sourceID=14","0.0147")</f>
        <v>0.0147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HYPERLINK("http://141.218.60.56/~jnz1568/getInfo.php?workbook=18_08.xlsx&amp;sheet=U0&amp;row=8102&amp;col=6&amp;number=4.8&amp;sourceID=14","4.8")</f>
        <v>4.8</v>
      </c>
      <c r="G8102" s="4" t="str">
        <f>HYPERLINK("http://141.218.60.56/~jnz1568/getInfo.php?workbook=18_08.xlsx&amp;sheet=U0&amp;row=8102&amp;col=7&amp;number=0.0147&amp;sourceID=14","0.0147")</f>
        <v>0.0147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HYPERLINK("http://141.218.60.56/~jnz1568/getInfo.php?workbook=18_08.xlsx&amp;sheet=U0&amp;row=8103&amp;col=6&amp;number=4.9&amp;sourceID=14","4.9")</f>
        <v>4.9</v>
      </c>
      <c r="G8103" s="4" t="str">
        <f>HYPERLINK("http://141.218.60.56/~jnz1568/getInfo.php?workbook=18_08.xlsx&amp;sheet=U0&amp;row=8103&amp;col=7&amp;number=0.0146&amp;sourceID=14","0.0146")</f>
        <v>0.0146</v>
      </c>
    </row>
    <row r="8104" spans="1:7">
      <c r="A8104" s="3">
        <v>18</v>
      </c>
      <c r="B8104" s="3">
        <v>8</v>
      </c>
      <c r="C8104" s="3" t="s">
        <v>84</v>
      </c>
      <c r="D8104" s="3">
        <v>7</v>
      </c>
      <c r="E8104" s="3">
        <v>1</v>
      </c>
      <c r="F8104" s="4" t="str">
        <f>HYPERLINK("http://141.218.60.56/~jnz1568/getInfo.php?workbook=18_08.xlsx&amp;sheet=U0&amp;row=8104&amp;col=6&amp;number=3&amp;sourceID=14","3")</f>
        <v>3</v>
      </c>
      <c r="G8104" s="4" t="str">
        <f>HYPERLINK("http://141.218.60.56/~jnz1568/getInfo.php?workbook=18_08.xlsx&amp;sheet=U0&amp;row=8104&amp;col=7&amp;number=0.00802&amp;sourceID=14","0.00802")</f>
        <v>0.00802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HYPERLINK("http://141.218.60.56/~jnz1568/getInfo.php?workbook=18_08.xlsx&amp;sheet=U0&amp;row=8105&amp;col=6&amp;number=3.1&amp;sourceID=14","3.1")</f>
        <v>3.1</v>
      </c>
      <c r="G8105" s="4" t="str">
        <f>HYPERLINK("http://141.218.60.56/~jnz1568/getInfo.php?workbook=18_08.xlsx&amp;sheet=U0&amp;row=8105&amp;col=7&amp;number=0.00802&amp;sourceID=14","0.00802")</f>
        <v>0.00802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HYPERLINK("http://141.218.60.56/~jnz1568/getInfo.php?workbook=18_08.xlsx&amp;sheet=U0&amp;row=8106&amp;col=6&amp;number=3.2&amp;sourceID=14","3.2")</f>
        <v>3.2</v>
      </c>
      <c r="G8106" s="4" t="str">
        <f>HYPERLINK("http://141.218.60.56/~jnz1568/getInfo.php?workbook=18_08.xlsx&amp;sheet=U0&amp;row=8106&amp;col=7&amp;number=0.00802&amp;sourceID=14","0.00802")</f>
        <v>0.00802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HYPERLINK("http://141.218.60.56/~jnz1568/getInfo.php?workbook=18_08.xlsx&amp;sheet=U0&amp;row=8107&amp;col=6&amp;number=3.3&amp;sourceID=14","3.3")</f>
        <v>3.3</v>
      </c>
      <c r="G8107" s="4" t="str">
        <f>HYPERLINK("http://141.218.60.56/~jnz1568/getInfo.php?workbook=18_08.xlsx&amp;sheet=U0&amp;row=8107&amp;col=7&amp;number=0.00801&amp;sourceID=14","0.00801")</f>
        <v>0.00801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HYPERLINK("http://141.218.60.56/~jnz1568/getInfo.php?workbook=18_08.xlsx&amp;sheet=U0&amp;row=8108&amp;col=6&amp;number=3.4&amp;sourceID=14","3.4")</f>
        <v>3.4</v>
      </c>
      <c r="G8108" s="4" t="str">
        <f>HYPERLINK("http://141.218.60.56/~jnz1568/getInfo.php?workbook=18_08.xlsx&amp;sheet=U0&amp;row=8108&amp;col=7&amp;number=0.00801&amp;sourceID=14","0.00801")</f>
        <v>0.00801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HYPERLINK("http://141.218.60.56/~jnz1568/getInfo.php?workbook=18_08.xlsx&amp;sheet=U0&amp;row=8109&amp;col=6&amp;number=3.5&amp;sourceID=14","3.5")</f>
        <v>3.5</v>
      </c>
      <c r="G8109" s="4" t="str">
        <f>HYPERLINK("http://141.218.60.56/~jnz1568/getInfo.php?workbook=18_08.xlsx&amp;sheet=U0&amp;row=8109&amp;col=7&amp;number=0.00801&amp;sourceID=14","0.00801")</f>
        <v>0.00801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HYPERLINK("http://141.218.60.56/~jnz1568/getInfo.php?workbook=18_08.xlsx&amp;sheet=U0&amp;row=8110&amp;col=6&amp;number=3.6&amp;sourceID=14","3.6")</f>
        <v>3.6</v>
      </c>
      <c r="G8110" s="4" t="str">
        <f>HYPERLINK("http://141.218.60.56/~jnz1568/getInfo.php?workbook=18_08.xlsx&amp;sheet=U0&amp;row=8110&amp;col=7&amp;number=0.00801&amp;sourceID=14","0.00801")</f>
        <v>0.00801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HYPERLINK("http://141.218.60.56/~jnz1568/getInfo.php?workbook=18_08.xlsx&amp;sheet=U0&amp;row=8111&amp;col=6&amp;number=3.7&amp;sourceID=14","3.7")</f>
        <v>3.7</v>
      </c>
      <c r="G8111" s="4" t="str">
        <f>HYPERLINK("http://141.218.60.56/~jnz1568/getInfo.php?workbook=18_08.xlsx&amp;sheet=U0&amp;row=8111&amp;col=7&amp;number=0.00801&amp;sourceID=14","0.00801")</f>
        <v>0.00801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HYPERLINK("http://141.218.60.56/~jnz1568/getInfo.php?workbook=18_08.xlsx&amp;sheet=U0&amp;row=8112&amp;col=6&amp;number=3.8&amp;sourceID=14","3.8")</f>
        <v>3.8</v>
      </c>
      <c r="G8112" s="4" t="str">
        <f>HYPERLINK("http://141.218.60.56/~jnz1568/getInfo.php?workbook=18_08.xlsx&amp;sheet=U0&amp;row=8112&amp;col=7&amp;number=0.00801&amp;sourceID=14","0.00801")</f>
        <v>0.00801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HYPERLINK("http://141.218.60.56/~jnz1568/getInfo.php?workbook=18_08.xlsx&amp;sheet=U0&amp;row=8113&amp;col=6&amp;number=3.9&amp;sourceID=14","3.9")</f>
        <v>3.9</v>
      </c>
      <c r="G8113" s="4" t="str">
        <f>HYPERLINK("http://141.218.60.56/~jnz1568/getInfo.php?workbook=18_08.xlsx&amp;sheet=U0&amp;row=8113&amp;col=7&amp;number=0.008&amp;sourceID=14","0.008")</f>
        <v>0.008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HYPERLINK("http://141.218.60.56/~jnz1568/getInfo.php?workbook=18_08.xlsx&amp;sheet=U0&amp;row=8114&amp;col=6&amp;number=4&amp;sourceID=14","4")</f>
        <v>4</v>
      </c>
      <c r="G8114" s="4" t="str">
        <f>HYPERLINK("http://141.218.60.56/~jnz1568/getInfo.php?workbook=18_08.xlsx&amp;sheet=U0&amp;row=8114&amp;col=7&amp;number=0.008&amp;sourceID=14","0.008")</f>
        <v>0.008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HYPERLINK("http://141.218.60.56/~jnz1568/getInfo.php?workbook=18_08.xlsx&amp;sheet=U0&amp;row=8115&amp;col=6&amp;number=4.1&amp;sourceID=14","4.1")</f>
        <v>4.1</v>
      </c>
      <c r="G8115" s="4" t="str">
        <f>HYPERLINK("http://141.218.60.56/~jnz1568/getInfo.php?workbook=18_08.xlsx&amp;sheet=U0&amp;row=8115&amp;col=7&amp;number=0.008&amp;sourceID=14","0.008")</f>
        <v>0.008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HYPERLINK("http://141.218.60.56/~jnz1568/getInfo.php?workbook=18_08.xlsx&amp;sheet=U0&amp;row=8116&amp;col=6&amp;number=4.2&amp;sourceID=14","4.2")</f>
        <v>4.2</v>
      </c>
      <c r="G8116" s="4" t="str">
        <f>HYPERLINK("http://141.218.60.56/~jnz1568/getInfo.php?workbook=18_08.xlsx&amp;sheet=U0&amp;row=8116&amp;col=7&amp;number=0.00799&amp;sourceID=14","0.00799")</f>
        <v>0.00799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HYPERLINK("http://141.218.60.56/~jnz1568/getInfo.php?workbook=18_08.xlsx&amp;sheet=U0&amp;row=8117&amp;col=6&amp;number=4.3&amp;sourceID=14","4.3")</f>
        <v>4.3</v>
      </c>
      <c r="G8117" s="4" t="str">
        <f>HYPERLINK("http://141.218.60.56/~jnz1568/getInfo.php?workbook=18_08.xlsx&amp;sheet=U0&amp;row=8117&amp;col=7&amp;number=0.00798&amp;sourceID=14","0.00798")</f>
        <v>0.00798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HYPERLINK("http://141.218.60.56/~jnz1568/getInfo.php?workbook=18_08.xlsx&amp;sheet=U0&amp;row=8118&amp;col=6&amp;number=4.4&amp;sourceID=14","4.4")</f>
        <v>4.4</v>
      </c>
      <c r="G8118" s="4" t="str">
        <f>HYPERLINK("http://141.218.60.56/~jnz1568/getInfo.php?workbook=18_08.xlsx&amp;sheet=U0&amp;row=8118&amp;col=7&amp;number=0.00797&amp;sourceID=14","0.00797")</f>
        <v>0.00797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HYPERLINK("http://141.218.60.56/~jnz1568/getInfo.php?workbook=18_08.xlsx&amp;sheet=U0&amp;row=8119&amp;col=6&amp;number=4.5&amp;sourceID=14","4.5")</f>
        <v>4.5</v>
      </c>
      <c r="G8119" s="4" t="str">
        <f>HYPERLINK("http://141.218.60.56/~jnz1568/getInfo.php?workbook=18_08.xlsx&amp;sheet=U0&amp;row=8119&amp;col=7&amp;number=0.00796&amp;sourceID=14","0.00796")</f>
        <v>0.00796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HYPERLINK("http://141.218.60.56/~jnz1568/getInfo.php?workbook=18_08.xlsx&amp;sheet=U0&amp;row=8120&amp;col=6&amp;number=4.6&amp;sourceID=14","4.6")</f>
        <v>4.6</v>
      </c>
      <c r="G8120" s="4" t="str">
        <f>HYPERLINK("http://141.218.60.56/~jnz1568/getInfo.php?workbook=18_08.xlsx&amp;sheet=U0&amp;row=8120&amp;col=7&amp;number=0.00795&amp;sourceID=14","0.00795")</f>
        <v>0.00795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HYPERLINK("http://141.218.60.56/~jnz1568/getInfo.php?workbook=18_08.xlsx&amp;sheet=U0&amp;row=8121&amp;col=6&amp;number=4.7&amp;sourceID=14","4.7")</f>
        <v>4.7</v>
      </c>
      <c r="G8121" s="4" t="str">
        <f>HYPERLINK("http://141.218.60.56/~jnz1568/getInfo.php?workbook=18_08.xlsx&amp;sheet=U0&amp;row=8121&amp;col=7&amp;number=0.00793&amp;sourceID=14","0.00793")</f>
        <v>0.00793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HYPERLINK("http://141.218.60.56/~jnz1568/getInfo.php?workbook=18_08.xlsx&amp;sheet=U0&amp;row=8122&amp;col=6&amp;number=4.8&amp;sourceID=14","4.8")</f>
        <v>4.8</v>
      </c>
      <c r="G8122" s="4" t="str">
        <f>HYPERLINK("http://141.218.60.56/~jnz1568/getInfo.php?workbook=18_08.xlsx&amp;sheet=U0&amp;row=8122&amp;col=7&amp;number=0.00791&amp;sourceID=14","0.00791")</f>
        <v>0.00791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HYPERLINK("http://141.218.60.56/~jnz1568/getInfo.php?workbook=18_08.xlsx&amp;sheet=U0&amp;row=8123&amp;col=6&amp;number=4.9&amp;sourceID=14","4.9")</f>
        <v>4.9</v>
      </c>
      <c r="G8123" s="4" t="str">
        <f>HYPERLINK("http://141.218.60.56/~jnz1568/getInfo.php?workbook=18_08.xlsx&amp;sheet=U0&amp;row=8123&amp;col=7&amp;number=0.00788&amp;sourceID=14","0.00788")</f>
        <v>0.00788</v>
      </c>
    </row>
    <row r="8124" spans="1:7">
      <c r="A8124" s="3">
        <v>18</v>
      </c>
      <c r="B8124" s="3">
        <v>8</v>
      </c>
      <c r="C8124" s="3" t="s">
        <v>84</v>
      </c>
      <c r="D8124" s="3">
        <v>8</v>
      </c>
      <c r="E8124" s="3">
        <v>1</v>
      </c>
      <c r="F8124" s="4" t="str">
        <f>HYPERLINK("http://141.218.60.56/~jnz1568/getInfo.php?workbook=18_08.xlsx&amp;sheet=U0&amp;row=8124&amp;col=6&amp;number=3&amp;sourceID=14","3")</f>
        <v>3</v>
      </c>
      <c r="G8124" s="4" t="str">
        <f>HYPERLINK("http://141.218.60.56/~jnz1568/getInfo.php?workbook=18_08.xlsx&amp;sheet=U0&amp;row=8124&amp;col=7&amp;number=0.00413&amp;sourceID=14","0.00413")</f>
        <v>0.00413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HYPERLINK("http://141.218.60.56/~jnz1568/getInfo.php?workbook=18_08.xlsx&amp;sheet=U0&amp;row=8125&amp;col=6&amp;number=3.1&amp;sourceID=14","3.1")</f>
        <v>3.1</v>
      </c>
      <c r="G8125" s="4" t="str">
        <f>HYPERLINK("http://141.218.60.56/~jnz1568/getInfo.php?workbook=18_08.xlsx&amp;sheet=U0&amp;row=8125&amp;col=7&amp;number=0.00413&amp;sourceID=14","0.00413")</f>
        <v>0.00413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HYPERLINK("http://141.218.60.56/~jnz1568/getInfo.php?workbook=18_08.xlsx&amp;sheet=U0&amp;row=8126&amp;col=6&amp;number=3.2&amp;sourceID=14","3.2")</f>
        <v>3.2</v>
      </c>
      <c r="G8126" s="4" t="str">
        <f>HYPERLINK("http://141.218.60.56/~jnz1568/getInfo.php?workbook=18_08.xlsx&amp;sheet=U0&amp;row=8126&amp;col=7&amp;number=0.00413&amp;sourceID=14","0.00413")</f>
        <v>0.00413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HYPERLINK("http://141.218.60.56/~jnz1568/getInfo.php?workbook=18_08.xlsx&amp;sheet=U0&amp;row=8127&amp;col=6&amp;number=3.3&amp;sourceID=14","3.3")</f>
        <v>3.3</v>
      </c>
      <c r="G8127" s="4" t="str">
        <f>HYPERLINK("http://141.218.60.56/~jnz1568/getInfo.php?workbook=18_08.xlsx&amp;sheet=U0&amp;row=8127&amp;col=7&amp;number=0.00413&amp;sourceID=14","0.00413")</f>
        <v>0.00413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HYPERLINK("http://141.218.60.56/~jnz1568/getInfo.php?workbook=18_08.xlsx&amp;sheet=U0&amp;row=8128&amp;col=6&amp;number=3.4&amp;sourceID=14","3.4")</f>
        <v>3.4</v>
      </c>
      <c r="G8128" s="4" t="str">
        <f>HYPERLINK("http://141.218.60.56/~jnz1568/getInfo.php?workbook=18_08.xlsx&amp;sheet=U0&amp;row=8128&amp;col=7&amp;number=0.00413&amp;sourceID=14","0.00413")</f>
        <v>0.00413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HYPERLINK("http://141.218.60.56/~jnz1568/getInfo.php?workbook=18_08.xlsx&amp;sheet=U0&amp;row=8129&amp;col=6&amp;number=3.5&amp;sourceID=14","3.5")</f>
        <v>3.5</v>
      </c>
      <c r="G8129" s="4" t="str">
        <f>HYPERLINK("http://141.218.60.56/~jnz1568/getInfo.php?workbook=18_08.xlsx&amp;sheet=U0&amp;row=8129&amp;col=7&amp;number=0.00413&amp;sourceID=14","0.00413")</f>
        <v>0.00413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HYPERLINK("http://141.218.60.56/~jnz1568/getInfo.php?workbook=18_08.xlsx&amp;sheet=U0&amp;row=8130&amp;col=6&amp;number=3.6&amp;sourceID=14","3.6")</f>
        <v>3.6</v>
      </c>
      <c r="G8130" s="4" t="str">
        <f>HYPERLINK("http://141.218.60.56/~jnz1568/getInfo.php?workbook=18_08.xlsx&amp;sheet=U0&amp;row=8130&amp;col=7&amp;number=0.00413&amp;sourceID=14","0.00413")</f>
        <v>0.00413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HYPERLINK("http://141.218.60.56/~jnz1568/getInfo.php?workbook=18_08.xlsx&amp;sheet=U0&amp;row=8131&amp;col=6&amp;number=3.7&amp;sourceID=14","3.7")</f>
        <v>3.7</v>
      </c>
      <c r="G8131" s="4" t="str">
        <f>HYPERLINK("http://141.218.60.56/~jnz1568/getInfo.php?workbook=18_08.xlsx&amp;sheet=U0&amp;row=8131&amp;col=7&amp;number=0.00413&amp;sourceID=14","0.00413")</f>
        <v>0.00413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HYPERLINK("http://141.218.60.56/~jnz1568/getInfo.php?workbook=18_08.xlsx&amp;sheet=U0&amp;row=8132&amp;col=6&amp;number=3.8&amp;sourceID=14","3.8")</f>
        <v>3.8</v>
      </c>
      <c r="G8132" s="4" t="str">
        <f>HYPERLINK("http://141.218.60.56/~jnz1568/getInfo.php?workbook=18_08.xlsx&amp;sheet=U0&amp;row=8132&amp;col=7&amp;number=0.00412&amp;sourceID=14","0.00412")</f>
        <v>0.00412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HYPERLINK("http://141.218.60.56/~jnz1568/getInfo.php?workbook=18_08.xlsx&amp;sheet=U0&amp;row=8133&amp;col=6&amp;number=3.9&amp;sourceID=14","3.9")</f>
        <v>3.9</v>
      </c>
      <c r="G8133" s="4" t="str">
        <f>HYPERLINK("http://141.218.60.56/~jnz1568/getInfo.php?workbook=18_08.xlsx&amp;sheet=U0&amp;row=8133&amp;col=7&amp;number=0.00412&amp;sourceID=14","0.00412")</f>
        <v>0.00412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HYPERLINK("http://141.218.60.56/~jnz1568/getInfo.php?workbook=18_08.xlsx&amp;sheet=U0&amp;row=8134&amp;col=6&amp;number=4&amp;sourceID=14","4")</f>
        <v>4</v>
      </c>
      <c r="G8134" s="4" t="str">
        <f>HYPERLINK("http://141.218.60.56/~jnz1568/getInfo.php?workbook=18_08.xlsx&amp;sheet=U0&amp;row=8134&amp;col=7&amp;number=0.00412&amp;sourceID=14","0.00412")</f>
        <v>0.00412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HYPERLINK("http://141.218.60.56/~jnz1568/getInfo.php?workbook=18_08.xlsx&amp;sheet=U0&amp;row=8135&amp;col=6&amp;number=4.1&amp;sourceID=14","4.1")</f>
        <v>4.1</v>
      </c>
      <c r="G8135" s="4" t="str">
        <f>HYPERLINK("http://141.218.60.56/~jnz1568/getInfo.php?workbook=18_08.xlsx&amp;sheet=U0&amp;row=8135&amp;col=7&amp;number=0.00412&amp;sourceID=14","0.00412")</f>
        <v>0.00412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HYPERLINK("http://141.218.60.56/~jnz1568/getInfo.php?workbook=18_08.xlsx&amp;sheet=U0&amp;row=8136&amp;col=6&amp;number=4.2&amp;sourceID=14","4.2")</f>
        <v>4.2</v>
      </c>
      <c r="G8136" s="4" t="str">
        <f>HYPERLINK("http://141.218.60.56/~jnz1568/getInfo.php?workbook=18_08.xlsx&amp;sheet=U0&amp;row=8136&amp;col=7&amp;number=0.00411&amp;sourceID=14","0.00411")</f>
        <v>0.00411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HYPERLINK("http://141.218.60.56/~jnz1568/getInfo.php?workbook=18_08.xlsx&amp;sheet=U0&amp;row=8137&amp;col=6&amp;number=4.3&amp;sourceID=14","4.3")</f>
        <v>4.3</v>
      </c>
      <c r="G8137" s="4" t="str">
        <f>HYPERLINK("http://141.218.60.56/~jnz1568/getInfo.php?workbook=18_08.xlsx&amp;sheet=U0&amp;row=8137&amp;col=7&amp;number=0.00411&amp;sourceID=14","0.00411")</f>
        <v>0.00411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HYPERLINK("http://141.218.60.56/~jnz1568/getInfo.php?workbook=18_08.xlsx&amp;sheet=U0&amp;row=8138&amp;col=6&amp;number=4.4&amp;sourceID=14","4.4")</f>
        <v>4.4</v>
      </c>
      <c r="G8138" s="4" t="str">
        <f>HYPERLINK("http://141.218.60.56/~jnz1568/getInfo.php?workbook=18_08.xlsx&amp;sheet=U0&amp;row=8138&amp;col=7&amp;number=0.0041&amp;sourceID=14","0.0041")</f>
        <v>0.0041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HYPERLINK("http://141.218.60.56/~jnz1568/getInfo.php?workbook=18_08.xlsx&amp;sheet=U0&amp;row=8139&amp;col=6&amp;number=4.5&amp;sourceID=14","4.5")</f>
        <v>4.5</v>
      </c>
      <c r="G8139" s="4" t="str">
        <f>HYPERLINK("http://141.218.60.56/~jnz1568/getInfo.php?workbook=18_08.xlsx&amp;sheet=U0&amp;row=8139&amp;col=7&amp;number=0.00409&amp;sourceID=14","0.00409")</f>
        <v>0.00409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HYPERLINK("http://141.218.60.56/~jnz1568/getInfo.php?workbook=18_08.xlsx&amp;sheet=U0&amp;row=8140&amp;col=6&amp;number=4.6&amp;sourceID=14","4.6")</f>
        <v>4.6</v>
      </c>
      <c r="G8140" s="4" t="str">
        <f>HYPERLINK("http://141.218.60.56/~jnz1568/getInfo.php?workbook=18_08.xlsx&amp;sheet=U0&amp;row=8140&amp;col=7&amp;number=0.00408&amp;sourceID=14","0.00408")</f>
        <v>0.00408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HYPERLINK("http://141.218.60.56/~jnz1568/getInfo.php?workbook=18_08.xlsx&amp;sheet=U0&amp;row=8141&amp;col=6&amp;number=4.7&amp;sourceID=14","4.7")</f>
        <v>4.7</v>
      </c>
      <c r="G8141" s="4" t="str">
        <f>HYPERLINK("http://141.218.60.56/~jnz1568/getInfo.php?workbook=18_08.xlsx&amp;sheet=U0&amp;row=8141&amp;col=7&amp;number=0.00407&amp;sourceID=14","0.00407")</f>
        <v>0.00407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HYPERLINK("http://141.218.60.56/~jnz1568/getInfo.php?workbook=18_08.xlsx&amp;sheet=U0&amp;row=8142&amp;col=6&amp;number=4.8&amp;sourceID=14","4.8")</f>
        <v>4.8</v>
      </c>
      <c r="G8142" s="4" t="str">
        <f>HYPERLINK("http://141.218.60.56/~jnz1568/getInfo.php?workbook=18_08.xlsx&amp;sheet=U0&amp;row=8142&amp;col=7&amp;number=0.00405&amp;sourceID=14","0.00405")</f>
        <v>0.00405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HYPERLINK("http://141.218.60.56/~jnz1568/getInfo.php?workbook=18_08.xlsx&amp;sheet=U0&amp;row=8143&amp;col=6&amp;number=4.9&amp;sourceID=14","4.9")</f>
        <v>4.9</v>
      </c>
      <c r="G8143" s="4" t="str">
        <f>HYPERLINK("http://141.218.60.56/~jnz1568/getInfo.php?workbook=18_08.xlsx&amp;sheet=U0&amp;row=8143&amp;col=7&amp;number=0.00403&amp;sourceID=14","0.00403")</f>
        <v>0.00403</v>
      </c>
    </row>
    <row r="8144" spans="1:7">
      <c r="A8144" s="3">
        <v>18</v>
      </c>
      <c r="B8144" s="3">
        <v>8</v>
      </c>
      <c r="C8144" s="3" t="s">
        <v>84</v>
      </c>
      <c r="D8144" s="3">
        <v>9</v>
      </c>
      <c r="E8144" s="3">
        <v>1</v>
      </c>
      <c r="F8144" s="4" t="str">
        <f>HYPERLINK("http://141.218.60.56/~jnz1568/getInfo.php?workbook=18_08.xlsx&amp;sheet=U0&amp;row=8144&amp;col=6&amp;number=3&amp;sourceID=14","3")</f>
        <v>3</v>
      </c>
      <c r="G8144" s="4" t="str">
        <f>HYPERLINK("http://141.218.60.56/~jnz1568/getInfo.php?workbook=18_08.xlsx&amp;sheet=U0&amp;row=8144&amp;col=7&amp;number=0.0113&amp;sourceID=14","0.0113")</f>
        <v>0.0113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HYPERLINK("http://141.218.60.56/~jnz1568/getInfo.php?workbook=18_08.xlsx&amp;sheet=U0&amp;row=8145&amp;col=6&amp;number=3.1&amp;sourceID=14","3.1")</f>
        <v>3.1</v>
      </c>
      <c r="G8145" s="4" t="str">
        <f>HYPERLINK("http://141.218.60.56/~jnz1568/getInfo.php?workbook=18_08.xlsx&amp;sheet=U0&amp;row=8145&amp;col=7&amp;number=0.0113&amp;sourceID=14","0.0113")</f>
        <v>0.0113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HYPERLINK("http://141.218.60.56/~jnz1568/getInfo.php?workbook=18_08.xlsx&amp;sheet=U0&amp;row=8146&amp;col=6&amp;number=3.2&amp;sourceID=14","3.2")</f>
        <v>3.2</v>
      </c>
      <c r="G8146" s="4" t="str">
        <f>HYPERLINK("http://141.218.60.56/~jnz1568/getInfo.php?workbook=18_08.xlsx&amp;sheet=U0&amp;row=8146&amp;col=7&amp;number=0.0113&amp;sourceID=14","0.0113")</f>
        <v>0.0113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HYPERLINK("http://141.218.60.56/~jnz1568/getInfo.php?workbook=18_08.xlsx&amp;sheet=U0&amp;row=8147&amp;col=6&amp;number=3.3&amp;sourceID=14","3.3")</f>
        <v>3.3</v>
      </c>
      <c r="G8147" s="4" t="str">
        <f>HYPERLINK("http://141.218.60.56/~jnz1568/getInfo.php?workbook=18_08.xlsx&amp;sheet=U0&amp;row=8147&amp;col=7&amp;number=0.0113&amp;sourceID=14","0.0113")</f>
        <v>0.0113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HYPERLINK("http://141.218.60.56/~jnz1568/getInfo.php?workbook=18_08.xlsx&amp;sheet=U0&amp;row=8148&amp;col=6&amp;number=3.4&amp;sourceID=14","3.4")</f>
        <v>3.4</v>
      </c>
      <c r="G8148" s="4" t="str">
        <f>HYPERLINK("http://141.218.60.56/~jnz1568/getInfo.php?workbook=18_08.xlsx&amp;sheet=U0&amp;row=8148&amp;col=7&amp;number=0.0113&amp;sourceID=14","0.0113")</f>
        <v>0.0113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HYPERLINK("http://141.218.60.56/~jnz1568/getInfo.php?workbook=18_08.xlsx&amp;sheet=U0&amp;row=8149&amp;col=6&amp;number=3.5&amp;sourceID=14","3.5")</f>
        <v>3.5</v>
      </c>
      <c r="G8149" s="4" t="str">
        <f>HYPERLINK("http://141.218.60.56/~jnz1568/getInfo.php?workbook=18_08.xlsx&amp;sheet=U0&amp;row=8149&amp;col=7&amp;number=0.0113&amp;sourceID=14","0.0113")</f>
        <v>0.0113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HYPERLINK("http://141.218.60.56/~jnz1568/getInfo.php?workbook=18_08.xlsx&amp;sheet=U0&amp;row=8150&amp;col=6&amp;number=3.6&amp;sourceID=14","3.6")</f>
        <v>3.6</v>
      </c>
      <c r="G8150" s="4" t="str">
        <f>HYPERLINK("http://141.218.60.56/~jnz1568/getInfo.php?workbook=18_08.xlsx&amp;sheet=U0&amp;row=8150&amp;col=7&amp;number=0.0113&amp;sourceID=14","0.0113")</f>
        <v>0.0113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HYPERLINK("http://141.218.60.56/~jnz1568/getInfo.php?workbook=18_08.xlsx&amp;sheet=U0&amp;row=8151&amp;col=6&amp;number=3.7&amp;sourceID=14","3.7")</f>
        <v>3.7</v>
      </c>
      <c r="G8151" s="4" t="str">
        <f>HYPERLINK("http://141.218.60.56/~jnz1568/getInfo.php?workbook=18_08.xlsx&amp;sheet=U0&amp;row=8151&amp;col=7&amp;number=0.0113&amp;sourceID=14","0.0113")</f>
        <v>0.0113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HYPERLINK("http://141.218.60.56/~jnz1568/getInfo.php?workbook=18_08.xlsx&amp;sheet=U0&amp;row=8152&amp;col=6&amp;number=3.8&amp;sourceID=14","3.8")</f>
        <v>3.8</v>
      </c>
      <c r="G8152" s="4" t="str">
        <f>HYPERLINK("http://141.218.60.56/~jnz1568/getInfo.php?workbook=18_08.xlsx&amp;sheet=U0&amp;row=8152&amp;col=7&amp;number=0.0113&amp;sourceID=14","0.0113")</f>
        <v>0.0113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HYPERLINK("http://141.218.60.56/~jnz1568/getInfo.php?workbook=18_08.xlsx&amp;sheet=U0&amp;row=8153&amp;col=6&amp;number=3.9&amp;sourceID=14","3.9")</f>
        <v>3.9</v>
      </c>
      <c r="G8153" s="4" t="str">
        <f>HYPERLINK("http://141.218.60.56/~jnz1568/getInfo.php?workbook=18_08.xlsx&amp;sheet=U0&amp;row=8153&amp;col=7&amp;number=0.0113&amp;sourceID=14","0.0113")</f>
        <v>0.0113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HYPERLINK("http://141.218.60.56/~jnz1568/getInfo.php?workbook=18_08.xlsx&amp;sheet=U0&amp;row=8154&amp;col=6&amp;number=4&amp;sourceID=14","4")</f>
        <v>4</v>
      </c>
      <c r="G8154" s="4" t="str">
        <f>HYPERLINK("http://141.218.60.56/~jnz1568/getInfo.php?workbook=18_08.xlsx&amp;sheet=U0&amp;row=8154&amp;col=7&amp;number=0.0113&amp;sourceID=14","0.0113")</f>
        <v>0.0113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HYPERLINK("http://141.218.60.56/~jnz1568/getInfo.php?workbook=18_08.xlsx&amp;sheet=U0&amp;row=8155&amp;col=6&amp;number=4.1&amp;sourceID=14","4.1")</f>
        <v>4.1</v>
      </c>
      <c r="G8155" s="4" t="str">
        <f>HYPERLINK("http://141.218.60.56/~jnz1568/getInfo.php?workbook=18_08.xlsx&amp;sheet=U0&amp;row=8155&amp;col=7&amp;number=0.0113&amp;sourceID=14","0.0113")</f>
        <v>0.0113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HYPERLINK("http://141.218.60.56/~jnz1568/getInfo.php?workbook=18_08.xlsx&amp;sheet=U0&amp;row=8156&amp;col=6&amp;number=4.2&amp;sourceID=14","4.2")</f>
        <v>4.2</v>
      </c>
      <c r="G8156" s="4" t="str">
        <f>HYPERLINK("http://141.218.60.56/~jnz1568/getInfo.php?workbook=18_08.xlsx&amp;sheet=U0&amp;row=8156&amp;col=7&amp;number=0.0113&amp;sourceID=14","0.0113")</f>
        <v>0.0113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HYPERLINK("http://141.218.60.56/~jnz1568/getInfo.php?workbook=18_08.xlsx&amp;sheet=U0&amp;row=8157&amp;col=6&amp;number=4.3&amp;sourceID=14","4.3")</f>
        <v>4.3</v>
      </c>
      <c r="G8157" s="4" t="str">
        <f>HYPERLINK("http://141.218.60.56/~jnz1568/getInfo.php?workbook=18_08.xlsx&amp;sheet=U0&amp;row=8157&amp;col=7&amp;number=0.0113&amp;sourceID=14","0.0113")</f>
        <v>0.0113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HYPERLINK("http://141.218.60.56/~jnz1568/getInfo.php?workbook=18_08.xlsx&amp;sheet=U0&amp;row=8158&amp;col=6&amp;number=4.4&amp;sourceID=14","4.4")</f>
        <v>4.4</v>
      </c>
      <c r="G8158" s="4" t="str">
        <f>HYPERLINK("http://141.218.60.56/~jnz1568/getInfo.php?workbook=18_08.xlsx&amp;sheet=U0&amp;row=8158&amp;col=7&amp;number=0.0113&amp;sourceID=14","0.0113")</f>
        <v>0.0113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HYPERLINK("http://141.218.60.56/~jnz1568/getInfo.php?workbook=18_08.xlsx&amp;sheet=U0&amp;row=8159&amp;col=6&amp;number=4.5&amp;sourceID=14","4.5")</f>
        <v>4.5</v>
      </c>
      <c r="G8159" s="4" t="str">
        <f>HYPERLINK("http://141.218.60.56/~jnz1568/getInfo.php?workbook=18_08.xlsx&amp;sheet=U0&amp;row=8159&amp;col=7&amp;number=0.0112&amp;sourceID=14","0.0112")</f>
        <v>0.0112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HYPERLINK("http://141.218.60.56/~jnz1568/getInfo.php?workbook=18_08.xlsx&amp;sheet=U0&amp;row=8160&amp;col=6&amp;number=4.6&amp;sourceID=14","4.6")</f>
        <v>4.6</v>
      </c>
      <c r="G8160" s="4" t="str">
        <f>HYPERLINK("http://141.218.60.56/~jnz1568/getInfo.php?workbook=18_08.xlsx&amp;sheet=U0&amp;row=8160&amp;col=7&amp;number=0.0112&amp;sourceID=14","0.0112")</f>
        <v>0.0112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HYPERLINK("http://141.218.60.56/~jnz1568/getInfo.php?workbook=18_08.xlsx&amp;sheet=U0&amp;row=8161&amp;col=6&amp;number=4.7&amp;sourceID=14","4.7")</f>
        <v>4.7</v>
      </c>
      <c r="G8161" s="4" t="str">
        <f>HYPERLINK("http://141.218.60.56/~jnz1568/getInfo.php?workbook=18_08.xlsx&amp;sheet=U0&amp;row=8161&amp;col=7&amp;number=0.0112&amp;sourceID=14","0.0112")</f>
        <v>0.0112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HYPERLINK("http://141.218.60.56/~jnz1568/getInfo.php?workbook=18_08.xlsx&amp;sheet=U0&amp;row=8162&amp;col=6&amp;number=4.8&amp;sourceID=14","4.8")</f>
        <v>4.8</v>
      </c>
      <c r="G8162" s="4" t="str">
        <f>HYPERLINK("http://141.218.60.56/~jnz1568/getInfo.php?workbook=18_08.xlsx&amp;sheet=U0&amp;row=8162&amp;col=7&amp;number=0.0112&amp;sourceID=14","0.0112")</f>
        <v>0.0112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HYPERLINK("http://141.218.60.56/~jnz1568/getInfo.php?workbook=18_08.xlsx&amp;sheet=U0&amp;row=8163&amp;col=6&amp;number=4.9&amp;sourceID=14","4.9")</f>
        <v>4.9</v>
      </c>
      <c r="G8163" s="4" t="str">
        <f>HYPERLINK("http://141.218.60.56/~jnz1568/getInfo.php?workbook=18_08.xlsx&amp;sheet=U0&amp;row=8163&amp;col=7&amp;number=0.0111&amp;sourceID=14","0.0111")</f>
        <v>0.0111</v>
      </c>
    </row>
    <row r="8164" spans="1:7">
      <c r="A8164" s="3">
        <v>18</v>
      </c>
      <c r="B8164" s="3">
        <v>8</v>
      </c>
      <c r="C8164" s="3" t="s">
        <v>85</v>
      </c>
      <c r="D8164" s="3">
        <v>0</v>
      </c>
      <c r="E8164" s="3">
        <v>1</v>
      </c>
      <c r="F8164" s="4" t="str">
        <f>HYPERLINK("http://141.218.60.56/~jnz1568/getInfo.php?workbook=18_08.xlsx&amp;sheet=U0&amp;row=8164&amp;col=6&amp;number=3&amp;sourceID=14","3")</f>
        <v>3</v>
      </c>
      <c r="G8164" s="4" t="str">
        <f>HYPERLINK("http://141.218.60.56/~jnz1568/getInfo.php?workbook=18_08.xlsx&amp;sheet=U0&amp;row=8164&amp;col=7&amp;number=0.0167&amp;sourceID=14","0.0167")</f>
        <v>0.0167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HYPERLINK("http://141.218.60.56/~jnz1568/getInfo.php?workbook=18_08.xlsx&amp;sheet=U0&amp;row=8165&amp;col=6&amp;number=3.1&amp;sourceID=14","3.1")</f>
        <v>3.1</v>
      </c>
      <c r="G8165" s="4" t="str">
        <f>HYPERLINK("http://141.218.60.56/~jnz1568/getInfo.php?workbook=18_08.xlsx&amp;sheet=U0&amp;row=8165&amp;col=7&amp;number=0.0167&amp;sourceID=14","0.0167")</f>
        <v>0.0167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HYPERLINK("http://141.218.60.56/~jnz1568/getInfo.php?workbook=18_08.xlsx&amp;sheet=U0&amp;row=8166&amp;col=6&amp;number=3.2&amp;sourceID=14","3.2")</f>
        <v>3.2</v>
      </c>
      <c r="G8166" s="4" t="str">
        <f>HYPERLINK("http://141.218.60.56/~jnz1568/getInfo.php?workbook=18_08.xlsx&amp;sheet=U0&amp;row=8166&amp;col=7&amp;number=0.0167&amp;sourceID=14","0.0167")</f>
        <v>0.0167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HYPERLINK("http://141.218.60.56/~jnz1568/getInfo.php?workbook=18_08.xlsx&amp;sheet=U0&amp;row=8167&amp;col=6&amp;number=3.3&amp;sourceID=14","3.3")</f>
        <v>3.3</v>
      </c>
      <c r="G8167" s="4" t="str">
        <f>HYPERLINK("http://141.218.60.56/~jnz1568/getInfo.php?workbook=18_08.xlsx&amp;sheet=U0&amp;row=8167&amp;col=7&amp;number=0.0167&amp;sourceID=14","0.0167")</f>
        <v>0.0167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HYPERLINK("http://141.218.60.56/~jnz1568/getInfo.php?workbook=18_08.xlsx&amp;sheet=U0&amp;row=8168&amp;col=6&amp;number=3.4&amp;sourceID=14","3.4")</f>
        <v>3.4</v>
      </c>
      <c r="G8168" s="4" t="str">
        <f>HYPERLINK("http://141.218.60.56/~jnz1568/getInfo.php?workbook=18_08.xlsx&amp;sheet=U0&amp;row=8168&amp;col=7&amp;number=0.0167&amp;sourceID=14","0.0167")</f>
        <v>0.0167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HYPERLINK("http://141.218.60.56/~jnz1568/getInfo.php?workbook=18_08.xlsx&amp;sheet=U0&amp;row=8169&amp;col=6&amp;number=3.5&amp;sourceID=14","3.5")</f>
        <v>3.5</v>
      </c>
      <c r="G8169" s="4" t="str">
        <f>HYPERLINK("http://141.218.60.56/~jnz1568/getInfo.php?workbook=18_08.xlsx&amp;sheet=U0&amp;row=8169&amp;col=7&amp;number=0.0167&amp;sourceID=14","0.0167")</f>
        <v>0.0167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HYPERLINK("http://141.218.60.56/~jnz1568/getInfo.php?workbook=18_08.xlsx&amp;sheet=U0&amp;row=8170&amp;col=6&amp;number=3.6&amp;sourceID=14","3.6")</f>
        <v>3.6</v>
      </c>
      <c r="G8170" s="4" t="str">
        <f>HYPERLINK("http://141.218.60.56/~jnz1568/getInfo.php?workbook=18_08.xlsx&amp;sheet=U0&amp;row=8170&amp;col=7&amp;number=0.0167&amp;sourceID=14","0.0167")</f>
        <v>0.0167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HYPERLINK("http://141.218.60.56/~jnz1568/getInfo.php?workbook=18_08.xlsx&amp;sheet=U0&amp;row=8171&amp;col=6&amp;number=3.7&amp;sourceID=14","3.7")</f>
        <v>3.7</v>
      </c>
      <c r="G8171" s="4" t="str">
        <f>HYPERLINK("http://141.218.60.56/~jnz1568/getInfo.php?workbook=18_08.xlsx&amp;sheet=U0&amp;row=8171&amp;col=7&amp;number=0.0167&amp;sourceID=14","0.0167")</f>
        <v>0.0167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HYPERLINK("http://141.218.60.56/~jnz1568/getInfo.php?workbook=18_08.xlsx&amp;sheet=U0&amp;row=8172&amp;col=6&amp;number=3.8&amp;sourceID=14","3.8")</f>
        <v>3.8</v>
      </c>
      <c r="G8172" s="4" t="str">
        <f>HYPERLINK("http://141.218.60.56/~jnz1568/getInfo.php?workbook=18_08.xlsx&amp;sheet=U0&amp;row=8172&amp;col=7&amp;number=0.0166&amp;sourceID=14","0.0166")</f>
        <v>0.0166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HYPERLINK("http://141.218.60.56/~jnz1568/getInfo.php?workbook=18_08.xlsx&amp;sheet=U0&amp;row=8173&amp;col=6&amp;number=3.9&amp;sourceID=14","3.9")</f>
        <v>3.9</v>
      </c>
      <c r="G8173" s="4" t="str">
        <f>HYPERLINK("http://141.218.60.56/~jnz1568/getInfo.php?workbook=18_08.xlsx&amp;sheet=U0&amp;row=8173&amp;col=7&amp;number=0.0166&amp;sourceID=14","0.0166")</f>
        <v>0.0166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HYPERLINK("http://141.218.60.56/~jnz1568/getInfo.php?workbook=18_08.xlsx&amp;sheet=U0&amp;row=8174&amp;col=6&amp;number=4&amp;sourceID=14","4")</f>
        <v>4</v>
      </c>
      <c r="G8174" s="4" t="str">
        <f>HYPERLINK("http://141.218.60.56/~jnz1568/getInfo.php?workbook=18_08.xlsx&amp;sheet=U0&amp;row=8174&amp;col=7&amp;number=0.0166&amp;sourceID=14","0.0166")</f>
        <v>0.0166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HYPERLINK("http://141.218.60.56/~jnz1568/getInfo.php?workbook=18_08.xlsx&amp;sheet=U0&amp;row=8175&amp;col=6&amp;number=4.1&amp;sourceID=14","4.1")</f>
        <v>4.1</v>
      </c>
      <c r="G8175" s="4" t="str">
        <f>HYPERLINK("http://141.218.60.56/~jnz1568/getInfo.php?workbook=18_08.xlsx&amp;sheet=U0&amp;row=8175&amp;col=7&amp;number=0.0166&amp;sourceID=14","0.0166")</f>
        <v>0.0166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HYPERLINK("http://141.218.60.56/~jnz1568/getInfo.php?workbook=18_08.xlsx&amp;sheet=U0&amp;row=8176&amp;col=6&amp;number=4.2&amp;sourceID=14","4.2")</f>
        <v>4.2</v>
      </c>
      <c r="G8176" s="4" t="str">
        <f>HYPERLINK("http://141.218.60.56/~jnz1568/getInfo.php?workbook=18_08.xlsx&amp;sheet=U0&amp;row=8176&amp;col=7&amp;number=0.0166&amp;sourceID=14","0.0166")</f>
        <v>0.0166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HYPERLINK("http://141.218.60.56/~jnz1568/getInfo.php?workbook=18_08.xlsx&amp;sheet=U0&amp;row=8177&amp;col=6&amp;number=4.3&amp;sourceID=14","4.3")</f>
        <v>4.3</v>
      </c>
      <c r="G8177" s="4" t="str">
        <f>HYPERLINK("http://141.218.60.56/~jnz1568/getInfo.php?workbook=18_08.xlsx&amp;sheet=U0&amp;row=8177&amp;col=7&amp;number=0.0166&amp;sourceID=14","0.0166")</f>
        <v>0.0166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HYPERLINK("http://141.218.60.56/~jnz1568/getInfo.php?workbook=18_08.xlsx&amp;sheet=U0&amp;row=8178&amp;col=6&amp;number=4.4&amp;sourceID=14","4.4")</f>
        <v>4.4</v>
      </c>
      <c r="G8178" s="4" t="str">
        <f>HYPERLINK("http://141.218.60.56/~jnz1568/getInfo.php?workbook=18_08.xlsx&amp;sheet=U0&amp;row=8178&amp;col=7&amp;number=0.0166&amp;sourceID=14","0.0166")</f>
        <v>0.0166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HYPERLINK("http://141.218.60.56/~jnz1568/getInfo.php?workbook=18_08.xlsx&amp;sheet=U0&amp;row=8179&amp;col=6&amp;number=4.5&amp;sourceID=14","4.5")</f>
        <v>4.5</v>
      </c>
      <c r="G8179" s="4" t="str">
        <f>HYPERLINK("http://141.218.60.56/~jnz1568/getInfo.php?workbook=18_08.xlsx&amp;sheet=U0&amp;row=8179&amp;col=7&amp;number=0.0165&amp;sourceID=14","0.0165")</f>
        <v>0.0165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HYPERLINK("http://141.218.60.56/~jnz1568/getInfo.php?workbook=18_08.xlsx&amp;sheet=U0&amp;row=8180&amp;col=6&amp;number=4.6&amp;sourceID=14","4.6")</f>
        <v>4.6</v>
      </c>
      <c r="G8180" s="4" t="str">
        <f>HYPERLINK("http://141.218.60.56/~jnz1568/getInfo.php?workbook=18_08.xlsx&amp;sheet=U0&amp;row=8180&amp;col=7&amp;number=0.0165&amp;sourceID=14","0.0165")</f>
        <v>0.0165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HYPERLINK("http://141.218.60.56/~jnz1568/getInfo.php?workbook=18_08.xlsx&amp;sheet=U0&amp;row=8181&amp;col=6&amp;number=4.7&amp;sourceID=14","4.7")</f>
        <v>4.7</v>
      </c>
      <c r="G8181" s="4" t="str">
        <f>HYPERLINK("http://141.218.60.56/~jnz1568/getInfo.php?workbook=18_08.xlsx&amp;sheet=U0&amp;row=8181&amp;col=7&amp;number=0.0164&amp;sourceID=14","0.0164")</f>
        <v>0.0164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HYPERLINK("http://141.218.60.56/~jnz1568/getInfo.php?workbook=18_08.xlsx&amp;sheet=U0&amp;row=8182&amp;col=6&amp;number=4.8&amp;sourceID=14","4.8")</f>
        <v>4.8</v>
      </c>
      <c r="G8182" s="4" t="str">
        <f>HYPERLINK("http://141.218.60.56/~jnz1568/getInfo.php?workbook=18_08.xlsx&amp;sheet=U0&amp;row=8182&amp;col=7&amp;number=0.0164&amp;sourceID=14","0.0164")</f>
        <v>0.0164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HYPERLINK("http://141.218.60.56/~jnz1568/getInfo.php?workbook=18_08.xlsx&amp;sheet=U0&amp;row=8183&amp;col=6&amp;number=4.9&amp;sourceID=14","4.9")</f>
        <v>4.9</v>
      </c>
      <c r="G8183" s="4" t="str">
        <f>HYPERLINK("http://141.218.60.56/~jnz1568/getInfo.php?workbook=18_08.xlsx&amp;sheet=U0&amp;row=8183&amp;col=7&amp;number=0.0163&amp;sourceID=14","0.0163")</f>
        <v>0.0163</v>
      </c>
    </row>
    <row r="8184" spans="1:7">
      <c r="A8184" s="3">
        <v>18</v>
      </c>
      <c r="B8184" s="3">
        <v>8</v>
      </c>
      <c r="C8184" s="3" t="s">
        <v>85</v>
      </c>
      <c r="D8184" s="3">
        <v>1</v>
      </c>
      <c r="E8184" s="3">
        <v>1</v>
      </c>
      <c r="F8184" s="4" t="str">
        <f>HYPERLINK("http://141.218.60.56/~jnz1568/getInfo.php?workbook=18_08.xlsx&amp;sheet=U0&amp;row=8184&amp;col=6&amp;number=3&amp;sourceID=14","3")</f>
        <v>3</v>
      </c>
      <c r="G8184" s="4" t="str">
        <f>HYPERLINK("http://141.218.60.56/~jnz1568/getInfo.php?workbook=18_08.xlsx&amp;sheet=U0&amp;row=8184&amp;col=7&amp;number=0.0037&amp;sourceID=14","0.0037")</f>
        <v>0.0037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HYPERLINK("http://141.218.60.56/~jnz1568/getInfo.php?workbook=18_08.xlsx&amp;sheet=U0&amp;row=8185&amp;col=6&amp;number=3.1&amp;sourceID=14","3.1")</f>
        <v>3.1</v>
      </c>
      <c r="G8185" s="4" t="str">
        <f>HYPERLINK("http://141.218.60.56/~jnz1568/getInfo.php?workbook=18_08.xlsx&amp;sheet=U0&amp;row=8185&amp;col=7&amp;number=0.0037&amp;sourceID=14","0.0037")</f>
        <v>0.0037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HYPERLINK("http://141.218.60.56/~jnz1568/getInfo.php?workbook=18_08.xlsx&amp;sheet=U0&amp;row=8186&amp;col=6&amp;number=3.2&amp;sourceID=14","3.2")</f>
        <v>3.2</v>
      </c>
      <c r="G8186" s="4" t="str">
        <f>HYPERLINK("http://141.218.60.56/~jnz1568/getInfo.php?workbook=18_08.xlsx&amp;sheet=U0&amp;row=8186&amp;col=7&amp;number=0.0037&amp;sourceID=14","0.0037")</f>
        <v>0.0037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HYPERLINK("http://141.218.60.56/~jnz1568/getInfo.php?workbook=18_08.xlsx&amp;sheet=U0&amp;row=8187&amp;col=6&amp;number=3.3&amp;sourceID=14","3.3")</f>
        <v>3.3</v>
      </c>
      <c r="G8187" s="4" t="str">
        <f>HYPERLINK("http://141.218.60.56/~jnz1568/getInfo.php?workbook=18_08.xlsx&amp;sheet=U0&amp;row=8187&amp;col=7&amp;number=0.0037&amp;sourceID=14","0.0037")</f>
        <v>0.0037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HYPERLINK("http://141.218.60.56/~jnz1568/getInfo.php?workbook=18_08.xlsx&amp;sheet=U0&amp;row=8188&amp;col=6&amp;number=3.4&amp;sourceID=14","3.4")</f>
        <v>3.4</v>
      </c>
      <c r="G8188" s="4" t="str">
        <f>HYPERLINK("http://141.218.60.56/~jnz1568/getInfo.php?workbook=18_08.xlsx&amp;sheet=U0&amp;row=8188&amp;col=7&amp;number=0.0037&amp;sourceID=14","0.0037")</f>
        <v>0.0037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HYPERLINK("http://141.218.60.56/~jnz1568/getInfo.php?workbook=18_08.xlsx&amp;sheet=U0&amp;row=8189&amp;col=6&amp;number=3.5&amp;sourceID=14","3.5")</f>
        <v>3.5</v>
      </c>
      <c r="G8189" s="4" t="str">
        <f>HYPERLINK("http://141.218.60.56/~jnz1568/getInfo.php?workbook=18_08.xlsx&amp;sheet=U0&amp;row=8189&amp;col=7&amp;number=0.0037&amp;sourceID=14","0.0037")</f>
        <v>0.0037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HYPERLINK("http://141.218.60.56/~jnz1568/getInfo.php?workbook=18_08.xlsx&amp;sheet=U0&amp;row=8190&amp;col=6&amp;number=3.6&amp;sourceID=14","3.6")</f>
        <v>3.6</v>
      </c>
      <c r="G8190" s="4" t="str">
        <f>HYPERLINK("http://141.218.60.56/~jnz1568/getInfo.php?workbook=18_08.xlsx&amp;sheet=U0&amp;row=8190&amp;col=7&amp;number=0.0037&amp;sourceID=14","0.0037")</f>
        <v>0.0037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HYPERLINK("http://141.218.60.56/~jnz1568/getInfo.php?workbook=18_08.xlsx&amp;sheet=U0&amp;row=8191&amp;col=6&amp;number=3.7&amp;sourceID=14","3.7")</f>
        <v>3.7</v>
      </c>
      <c r="G8191" s="4" t="str">
        <f>HYPERLINK("http://141.218.60.56/~jnz1568/getInfo.php?workbook=18_08.xlsx&amp;sheet=U0&amp;row=8191&amp;col=7&amp;number=0.0037&amp;sourceID=14","0.0037")</f>
        <v>0.0037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HYPERLINK("http://141.218.60.56/~jnz1568/getInfo.php?workbook=18_08.xlsx&amp;sheet=U0&amp;row=8192&amp;col=6&amp;number=3.8&amp;sourceID=14","3.8")</f>
        <v>3.8</v>
      </c>
      <c r="G8192" s="4" t="str">
        <f>HYPERLINK("http://141.218.60.56/~jnz1568/getInfo.php?workbook=18_08.xlsx&amp;sheet=U0&amp;row=8192&amp;col=7&amp;number=0.0037&amp;sourceID=14","0.0037")</f>
        <v>0.0037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HYPERLINK("http://141.218.60.56/~jnz1568/getInfo.php?workbook=18_08.xlsx&amp;sheet=U0&amp;row=8193&amp;col=6&amp;number=3.9&amp;sourceID=14","3.9")</f>
        <v>3.9</v>
      </c>
      <c r="G8193" s="4" t="str">
        <f>HYPERLINK("http://141.218.60.56/~jnz1568/getInfo.php?workbook=18_08.xlsx&amp;sheet=U0&amp;row=8193&amp;col=7&amp;number=0.0037&amp;sourceID=14","0.0037")</f>
        <v>0.0037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HYPERLINK("http://141.218.60.56/~jnz1568/getInfo.php?workbook=18_08.xlsx&amp;sheet=U0&amp;row=8194&amp;col=6&amp;number=4&amp;sourceID=14","4")</f>
        <v>4</v>
      </c>
      <c r="G8194" s="4" t="str">
        <f>HYPERLINK("http://141.218.60.56/~jnz1568/getInfo.php?workbook=18_08.xlsx&amp;sheet=U0&amp;row=8194&amp;col=7&amp;number=0.00369&amp;sourceID=14","0.00369")</f>
        <v>0.00369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HYPERLINK("http://141.218.60.56/~jnz1568/getInfo.php?workbook=18_08.xlsx&amp;sheet=U0&amp;row=8195&amp;col=6&amp;number=4.1&amp;sourceID=14","4.1")</f>
        <v>4.1</v>
      </c>
      <c r="G8195" s="4" t="str">
        <f>HYPERLINK("http://141.218.60.56/~jnz1568/getInfo.php?workbook=18_08.xlsx&amp;sheet=U0&amp;row=8195&amp;col=7&amp;number=0.00369&amp;sourceID=14","0.00369")</f>
        <v>0.00369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HYPERLINK("http://141.218.60.56/~jnz1568/getInfo.php?workbook=18_08.xlsx&amp;sheet=U0&amp;row=8196&amp;col=6&amp;number=4.2&amp;sourceID=14","4.2")</f>
        <v>4.2</v>
      </c>
      <c r="G8196" s="4" t="str">
        <f>HYPERLINK("http://141.218.60.56/~jnz1568/getInfo.php?workbook=18_08.xlsx&amp;sheet=U0&amp;row=8196&amp;col=7&amp;number=0.00369&amp;sourceID=14","0.00369")</f>
        <v>0.00369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HYPERLINK("http://141.218.60.56/~jnz1568/getInfo.php?workbook=18_08.xlsx&amp;sheet=U0&amp;row=8197&amp;col=6&amp;number=4.3&amp;sourceID=14","4.3")</f>
        <v>4.3</v>
      </c>
      <c r="G8197" s="4" t="str">
        <f>HYPERLINK("http://141.218.60.56/~jnz1568/getInfo.php?workbook=18_08.xlsx&amp;sheet=U0&amp;row=8197&amp;col=7&amp;number=0.00369&amp;sourceID=14","0.00369")</f>
        <v>0.00369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HYPERLINK("http://141.218.60.56/~jnz1568/getInfo.php?workbook=18_08.xlsx&amp;sheet=U0&amp;row=8198&amp;col=6&amp;number=4.4&amp;sourceID=14","4.4")</f>
        <v>4.4</v>
      </c>
      <c r="G8198" s="4" t="str">
        <f>HYPERLINK("http://141.218.60.56/~jnz1568/getInfo.php?workbook=18_08.xlsx&amp;sheet=U0&amp;row=8198&amp;col=7&amp;number=0.00368&amp;sourceID=14","0.00368")</f>
        <v>0.00368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HYPERLINK("http://141.218.60.56/~jnz1568/getInfo.php?workbook=18_08.xlsx&amp;sheet=U0&amp;row=8199&amp;col=6&amp;number=4.5&amp;sourceID=14","4.5")</f>
        <v>4.5</v>
      </c>
      <c r="G8199" s="4" t="str">
        <f>HYPERLINK("http://141.218.60.56/~jnz1568/getInfo.php?workbook=18_08.xlsx&amp;sheet=U0&amp;row=8199&amp;col=7&amp;number=0.00367&amp;sourceID=14","0.00367")</f>
        <v>0.00367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HYPERLINK("http://141.218.60.56/~jnz1568/getInfo.php?workbook=18_08.xlsx&amp;sheet=U0&amp;row=8200&amp;col=6&amp;number=4.6&amp;sourceID=14","4.6")</f>
        <v>4.6</v>
      </c>
      <c r="G8200" s="4" t="str">
        <f>HYPERLINK("http://141.218.60.56/~jnz1568/getInfo.php?workbook=18_08.xlsx&amp;sheet=U0&amp;row=8200&amp;col=7&amp;number=0.00367&amp;sourceID=14","0.00367")</f>
        <v>0.00367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HYPERLINK("http://141.218.60.56/~jnz1568/getInfo.php?workbook=18_08.xlsx&amp;sheet=U0&amp;row=8201&amp;col=6&amp;number=4.7&amp;sourceID=14","4.7")</f>
        <v>4.7</v>
      </c>
      <c r="G8201" s="4" t="str">
        <f>HYPERLINK("http://141.218.60.56/~jnz1568/getInfo.php?workbook=18_08.xlsx&amp;sheet=U0&amp;row=8201&amp;col=7&amp;number=0.00366&amp;sourceID=14","0.00366")</f>
        <v>0.00366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HYPERLINK("http://141.218.60.56/~jnz1568/getInfo.php?workbook=18_08.xlsx&amp;sheet=U0&amp;row=8202&amp;col=6&amp;number=4.8&amp;sourceID=14","4.8")</f>
        <v>4.8</v>
      </c>
      <c r="G8202" s="4" t="str">
        <f>HYPERLINK("http://141.218.60.56/~jnz1568/getInfo.php?workbook=18_08.xlsx&amp;sheet=U0&amp;row=8202&amp;col=7&amp;number=0.00365&amp;sourceID=14","0.00365")</f>
        <v>0.00365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HYPERLINK("http://141.218.60.56/~jnz1568/getInfo.php?workbook=18_08.xlsx&amp;sheet=U0&amp;row=8203&amp;col=6&amp;number=4.9&amp;sourceID=14","4.9")</f>
        <v>4.9</v>
      </c>
      <c r="G8203" s="4" t="str">
        <f>HYPERLINK("http://141.218.60.56/~jnz1568/getInfo.php?workbook=18_08.xlsx&amp;sheet=U0&amp;row=8203&amp;col=7&amp;number=0.00363&amp;sourceID=14","0.00363")</f>
        <v>0.00363</v>
      </c>
    </row>
    <row r="8204" spans="1:7">
      <c r="A8204" s="3">
        <v>18</v>
      </c>
      <c r="B8204" s="3">
        <v>8</v>
      </c>
      <c r="C8204" s="3" t="s">
        <v>85</v>
      </c>
      <c r="D8204" s="3">
        <v>2</v>
      </c>
      <c r="E8204" s="3">
        <v>1</v>
      </c>
      <c r="F8204" s="4" t="str">
        <f>HYPERLINK("http://141.218.60.56/~jnz1568/getInfo.php?workbook=18_08.xlsx&amp;sheet=U0&amp;row=8204&amp;col=6&amp;number=3&amp;sourceID=14","3")</f>
        <v>3</v>
      </c>
      <c r="G8204" s="4" t="str">
        <f>HYPERLINK("http://141.218.60.56/~jnz1568/getInfo.php?workbook=18_08.xlsx&amp;sheet=U0&amp;row=8204&amp;col=7&amp;number=0.00633&amp;sourceID=14","0.00633")</f>
        <v>0.00633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HYPERLINK("http://141.218.60.56/~jnz1568/getInfo.php?workbook=18_08.xlsx&amp;sheet=U0&amp;row=8205&amp;col=6&amp;number=3.1&amp;sourceID=14","3.1")</f>
        <v>3.1</v>
      </c>
      <c r="G8205" s="4" t="str">
        <f>HYPERLINK("http://141.218.60.56/~jnz1568/getInfo.php?workbook=18_08.xlsx&amp;sheet=U0&amp;row=8205&amp;col=7&amp;number=0.00633&amp;sourceID=14","0.00633")</f>
        <v>0.00633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HYPERLINK("http://141.218.60.56/~jnz1568/getInfo.php?workbook=18_08.xlsx&amp;sheet=U0&amp;row=8206&amp;col=6&amp;number=3.2&amp;sourceID=14","3.2")</f>
        <v>3.2</v>
      </c>
      <c r="G8206" s="4" t="str">
        <f>HYPERLINK("http://141.218.60.56/~jnz1568/getInfo.php?workbook=18_08.xlsx&amp;sheet=U0&amp;row=8206&amp;col=7&amp;number=0.00633&amp;sourceID=14","0.00633")</f>
        <v>0.00633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HYPERLINK("http://141.218.60.56/~jnz1568/getInfo.php?workbook=18_08.xlsx&amp;sheet=U0&amp;row=8207&amp;col=6&amp;number=3.3&amp;sourceID=14","3.3")</f>
        <v>3.3</v>
      </c>
      <c r="G8207" s="4" t="str">
        <f>HYPERLINK("http://141.218.60.56/~jnz1568/getInfo.php?workbook=18_08.xlsx&amp;sheet=U0&amp;row=8207&amp;col=7&amp;number=0.00633&amp;sourceID=14","0.00633")</f>
        <v>0.00633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HYPERLINK("http://141.218.60.56/~jnz1568/getInfo.php?workbook=18_08.xlsx&amp;sheet=U0&amp;row=8208&amp;col=6&amp;number=3.4&amp;sourceID=14","3.4")</f>
        <v>3.4</v>
      </c>
      <c r="G8208" s="4" t="str">
        <f>HYPERLINK("http://141.218.60.56/~jnz1568/getInfo.php?workbook=18_08.xlsx&amp;sheet=U0&amp;row=8208&amp;col=7&amp;number=0.00633&amp;sourceID=14","0.00633")</f>
        <v>0.00633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HYPERLINK("http://141.218.60.56/~jnz1568/getInfo.php?workbook=18_08.xlsx&amp;sheet=U0&amp;row=8209&amp;col=6&amp;number=3.5&amp;sourceID=14","3.5")</f>
        <v>3.5</v>
      </c>
      <c r="G8209" s="4" t="str">
        <f>HYPERLINK("http://141.218.60.56/~jnz1568/getInfo.php?workbook=18_08.xlsx&amp;sheet=U0&amp;row=8209&amp;col=7&amp;number=0.00633&amp;sourceID=14","0.00633")</f>
        <v>0.00633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HYPERLINK("http://141.218.60.56/~jnz1568/getInfo.php?workbook=18_08.xlsx&amp;sheet=U0&amp;row=8210&amp;col=6&amp;number=3.6&amp;sourceID=14","3.6")</f>
        <v>3.6</v>
      </c>
      <c r="G8210" s="4" t="str">
        <f>HYPERLINK("http://141.218.60.56/~jnz1568/getInfo.php?workbook=18_08.xlsx&amp;sheet=U0&amp;row=8210&amp;col=7&amp;number=0.00632&amp;sourceID=14","0.00632")</f>
        <v>0.00632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HYPERLINK("http://141.218.60.56/~jnz1568/getInfo.php?workbook=18_08.xlsx&amp;sheet=U0&amp;row=8211&amp;col=6&amp;number=3.7&amp;sourceID=14","3.7")</f>
        <v>3.7</v>
      </c>
      <c r="G8211" s="4" t="str">
        <f>HYPERLINK("http://141.218.60.56/~jnz1568/getInfo.php?workbook=18_08.xlsx&amp;sheet=U0&amp;row=8211&amp;col=7&amp;number=0.00632&amp;sourceID=14","0.00632")</f>
        <v>0.00632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HYPERLINK("http://141.218.60.56/~jnz1568/getInfo.php?workbook=18_08.xlsx&amp;sheet=U0&amp;row=8212&amp;col=6&amp;number=3.8&amp;sourceID=14","3.8")</f>
        <v>3.8</v>
      </c>
      <c r="G8212" s="4" t="str">
        <f>HYPERLINK("http://141.218.60.56/~jnz1568/getInfo.php?workbook=18_08.xlsx&amp;sheet=U0&amp;row=8212&amp;col=7&amp;number=0.00632&amp;sourceID=14","0.00632")</f>
        <v>0.00632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HYPERLINK("http://141.218.60.56/~jnz1568/getInfo.php?workbook=18_08.xlsx&amp;sheet=U0&amp;row=8213&amp;col=6&amp;number=3.9&amp;sourceID=14","3.9")</f>
        <v>3.9</v>
      </c>
      <c r="G8213" s="4" t="str">
        <f>HYPERLINK("http://141.218.60.56/~jnz1568/getInfo.php?workbook=18_08.xlsx&amp;sheet=U0&amp;row=8213&amp;col=7&amp;number=0.00632&amp;sourceID=14","0.00632")</f>
        <v>0.00632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HYPERLINK("http://141.218.60.56/~jnz1568/getInfo.php?workbook=18_08.xlsx&amp;sheet=U0&amp;row=8214&amp;col=6&amp;number=4&amp;sourceID=14","4")</f>
        <v>4</v>
      </c>
      <c r="G8214" s="4" t="str">
        <f>HYPERLINK("http://141.218.60.56/~jnz1568/getInfo.php?workbook=18_08.xlsx&amp;sheet=U0&amp;row=8214&amp;col=7&amp;number=0.00632&amp;sourceID=14","0.00632")</f>
        <v>0.00632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HYPERLINK("http://141.218.60.56/~jnz1568/getInfo.php?workbook=18_08.xlsx&amp;sheet=U0&amp;row=8215&amp;col=6&amp;number=4.1&amp;sourceID=14","4.1")</f>
        <v>4.1</v>
      </c>
      <c r="G8215" s="4" t="str">
        <f>HYPERLINK("http://141.218.60.56/~jnz1568/getInfo.php?workbook=18_08.xlsx&amp;sheet=U0&amp;row=8215&amp;col=7&amp;number=0.00631&amp;sourceID=14","0.00631")</f>
        <v>0.00631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HYPERLINK("http://141.218.60.56/~jnz1568/getInfo.php?workbook=18_08.xlsx&amp;sheet=U0&amp;row=8216&amp;col=6&amp;number=4.2&amp;sourceID=14","4.2")</f>
        <v>4.2</v>
      </c>
      <c r="G8216" s="4" t="str">
        <f>HYPERLINK("http://141.218.60.56/~jnz1568/getInfo.php?workbook=18_08.xlsx&amp;sheet=U0&amp;row=8216&amp;col=7&amp;number=0.00631&amp;sourceID=14","0.00631")</f>
        <v>0.00631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HYPERLINK("http://141.218.60.56/~jnz1568/getInfo.php?workbook=18_08.xlsx&amp;sheet=U0&amp;row=8217&amp;col=6&amp;number=4.3&amp;sourceID=14","4.3")</f>
        <v>4.3</v>
      </c>
      <c r="G8217" s="4" t="str">
        <f>HYPERLINK("http://141.218.60.56/~jnz1568/getInfo.php?workbook=18_08.xlsx&amp;sheet=U0&amp;row=8217&amp;col=7&amp;number=0.0063&amp;sourceID=14","0.0063")</f>
        <v>0.0063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HYPERLINK("http://141.218.60.56/~jnz1568/getInfo.php?workbook=18_08.xlsx&amp;sheet=U0&amp;row=8218&amp;col=6&amp;number=4.4&amp;sourceID=14","4.4")</f>
        <v>4.4</v>
      </c>
      <c r="G8218" s="4" t="str">
        <f>HYPERLINK("http://141.218.60.56/~jnz1568/getInfo.php?workbook=18_08.xlsx&amp;sheet=U0&amp;row=8218&amp;col=7&amp;number=0.0063&amp;sourceID=14","0.0063")</f>
        <v>0.0063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HYPERLINK("http://141.218.60.56/~jnz1568/getInfo.php?workbook=18_08.xlsx&amp;sheet=U0&amp;row=8219&amp;col=6&amp;number=4.5&amp;sourceID=14","4.5")</f>
        <v>4.5</v>
      </c>
      <c r="G8219" s="4" t="str">
        <f>HYPERLINK("http://141.218.60.56/~jnz1568/getInfo.php?workbook=18_08.xlsx&amp;sheet=U0&amp;row=8219&amp;col=7&amp;number=0.00629&amp;sourceID=14","0.00629")</f>
        <v>0.00629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HYPERLINK("http://141.218.60.56/~jnz1568/getInfo.php?workbook=18_08.xlsx&amp;sheet=U0&amp;row=8220&amp;col=6&amp;number=4.6&amp;sourceID=14","4.6")</f>
        <v>4.6</v>
      </c>
      <c r="G8220" s="4" t="str">
        <f>HYPERLINK("http://141.218.60.56/~jnz1568/getInfo.php?workbook=18_08.xlsx&amp;sheet=U0&amp;row=8220&amp;col=7&amp;number=0.00627&amp;sourceID=14","0.00627")</f>
        <v>0.00627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HYPERLINK("http://141.218.60.56/~jnz1568/getInfo.php?workbook=18_08.xlsx&amp;sheet=U0&amp;row=8221&amp;col=6&amp;number=4.7&amp;sourceID=14","4.7")</f>
        <v>4.7</v>
      </c>
      <c r="G8221" s="4" t="str">
        <f>HYPERLINK("http://141.218.60.56/~jnz1568/getInfo.php?workbook=18_08.xlsx&amp;sheet=U0&amp;row=8221&amp;col=7&amp;number=0.00626&amp;sourceID=14","0.00626")</f>
        <v>0.00626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HYPERLINK("http://141.218.60.56/~jnz1568/getInfo.php?workbook=18_08.xlsx&amp;sheet=U0&amp;row=8222&amp;col=6&amp;number=4.8&amp;sourceID=14","4.8")</f>
        <v>4.8</v>
      </c>
      <c r="G8222" s="4" t="str">
        <f>HYPERLINK("http://141.218.60.56/~jnz1568/getInfo.php?workbook=18_08.xlsx&amp;sheet=U0&amp;row=8222&amp;col=7&amp;number=0.00624&amp;sourceID=14","0.00624")</f>
        <v>0.00624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HYPERLINK("http://141.218.60.56/~jnz1568/getInfo.php?workbook=18_08.xlsx&amp;sheet=U0&amp;row=8223&amp;col=6&amp;number=4.9&amp;sourceID=14","4.9")</f>
        <v>4.9</v>
      </c>
      <c r="G8223" s="4" t="str">
        <f>HYPERLINK("http://141.218.60.56/~jnz1568/getInfo.php?workbook=18_08.xlsx&amp;sheet=U0&amp;row=8223&amp;col=7&amp;number=0.00622&amp;sourceID=14","0.00622")</f>
        <v>0.00622</v>
      </c>
    </row>
    <row r="8224" spans="1:7">
      <c r="A8224" s="3">
        <v>18</v>
      </c>
      <c r="B8224" s="3">
        <v>8</v>
      </c>
      <c r="C8224" s="3" t="s">
        <v>85</v>
      </c>
      <c r="D8224" s="3">
        <v>3</v>
      </c>
      <c r="E8224" s="3">
        <v>1</v>
      </c>
      <c r="F8224" s="4" t="str">
        <f>HYPERLINK("http://141.218.60.56/~jnz1568/getInfo.php?workbook=18_08.xlsx&amp;sheet=U0&amp;row=8224&amp;col=6&amp;number=3&amp;sourceID=14","3")</f>
        <v>3</v>
      </c>
      <c r="G8224" s="4" t="str">
        <f>HYPERLINK("http://141.218.60.56/~jnz1568/getInfo.php?workbook=18_08.xlsx&amp;sheet=U0&amp;row=8224&amp;col=7&amp;number=0.00241&amp;sourceID=14","0.00241")</f>
        <v>0.00241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HYPERLINK("http://141.218.60.56/~jnz1568/getInfo.php?workbook=18_08.xlsx&amp;sheet=U0&amp;row=8225&amp;col=6&amp;number=3.1&amp;sourceID=14","3.1")</f>
        <v>3.1</v>
      </c>
      <c r="G8225" s="4" t="str">
        <f>HYPERLINK("http://141.218.60.56/~jnz1568/getInfo.php?workbook=18_08.xlsx&amp;sheet=U0&amp;row=8225&amp;col=7&amp;number=0.00241&amp;sourceID=14","0.00241")</f>
        <v>0.00241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HYPERLINK("http://141.218.60.56/~jnz1568/getInfo.php?workbook=18_08.xlsx&amp;sheet=U0&amp;row=8226&amp;col=6&amp;number=3.2&amp;sourceID=14","3.2")</f>
        <v>3.2</v>
      </c>
      <c r="G8226" s="4" t="str">
        <f>HYPERLINK("http://141.218.60.56/~jnz1568/getInfo.php?workbook=18_08.xlsx&amp;sheet=U0&amp;row=8226&amp;col=7&amp;number=0.00241&amp;sourceID=14","0.00241")</f>
        <v>0.00241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HYPERLINK("http://141.218.60.56/~jnz1568/getInfo.php?workbook=18_08.xlsx&amp;sheet=U0&amp;row=8227&amp;col=6&amp;number=3.3&amp;sourceID=14","3.3")</f>
        <v>3.3</v>
      </c>
      <c r="G8227" s="4" t="str">
        <f>HYPERLINK("http://141.218.60.56/~jnz1568/getInfo.php?workbook=18_08.xlsx&amp;sheet=U0&amp;row=8227&amp;col=7&amp;number=0.00241&amp;sourceID=14","0.00241")</f>
        <v>0.00241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HYPERLINK("http://141.218.60.56/~jnz1568/getInfo.php?workbook=18_08.xlsx&amp;sheet=U0&amp;row=8228&amp;col=6&amp;number=3.4&amp;sourceID=14","3.4")</f>
        <v>3.4</v>
      </c>
      <c r="G8228" s="4" t="str">
        <f>HYPERLINK("http://141.218.60.56/~jnz1568/getInfo.php?workbook=18_08.xlsx&amp;sheet=U0&amp;row=8228&amp;col=7&amp;number=0.00241&amp;sourceID=14","0.00241")</f>
        <v>0.00241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HYPERLINK("http://141.218.60.56/~jnz1568/getInfo.php?workbook=18_08.xlsx&amp;sheet=U0&amp;row=8229&amp;col=6&amp;number=3.5&amp;sourceID=14","3.5")</f>
        <v>3.5</v>
      </c>
      <c r="G8229" s="4" t="str">
        <f>HYPERLINK("http://141.218.60.56/~jnz1568/getInfo.php?workbook=18_08.xlsx&amp;sheet=U0&amp;row=8229&amp;col=7&amp;number=0.00241&amp;sourceID=14","0.00241")</f>
        <v>0.00241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HYPERLINK("http://141.218.60.56/~jnz1568/getInfo.php?workbook=18_08.xlsx&amp;sheet=U0&amp;row=8230&amp;col=6&amp;number=3.6&amp;sourceID=14","3.6")</f>
        <v>3.6</v>
      </c>
      <c r="G8230" s="4" t="str">
        <f>HYPERLINK("http://141.218.60.56/~jnz1568/getInfo.php?workbook=18_08.xlsx&amp;sheet=U0&amp;row=8230&amp;col=7&amp;number=0.00241&amp;sourceID=14","0.00241")</f>
        <v>0.00241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HYPERLINK("http://141.218.60.56/~jnz1568/getInfo.php?workbook=18_08.xlsx&amp;sheet=U0&amp;row=8231&amp;col=6&amp;number=3.7&amp;sourceID=14","3.7")</f>
        <v>3.7</v>
      </c>
      <c r="G8231" s="4" t="str">
        <f>HYPERLINK("http://141.218.60.56/~jnz1568/getInfo.php?workbook=18_08.xlsx&amp;sheet=U0&amp;row=8231&amp;col=7&amp;number=0.00241&amp;sourceID=14","0.00241")</f>
        <v>0.00241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HYPERLINK("http://141.218.60.56/~jnz1568/getInfo.php?workbook=18_08.xlsx&amp;sheet=U0&amp;row=8232&amp;col=6&amp;number=3.8&amp;sourceID=14","3.8")</f>
        <v>3.8</v>
      </c>
      <c r="G8232" s="4" t="str">
        <f>HYPERLINK("http://141.218.60.56/~jnz1568/getInfo.php?workbook=18_08.xlsx&amp;sheet=U0&amp;row=8232&amp;col=7&amp;number=0.00241&amp;sourceID=14","0.00241")</f>
        <v>0.00241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HYPERLINK("http://141.218.60.56/~jnz1568/getInfo.php?workbook=18_08.xlsx&amp;sheet=U0&amp;row=8233&amp;col=6&amp;number=3.9&amp;sourceID=14","3.9")</f>
        <v>3.9</v>
      </c>
      <c r="G8233" s="4" t="str">
        <f>HYPERLINK("http://141.218.60.56/~jnz1568/getInfo.php?workbook=18_08.xlsx&amp;sheet=U0&amp;row=8233&amp;col=7&amp;number=0.0024&amp;sourceID=14","0.0024")</f>
        <v>0.0024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HYPERLINK("http://141.218.60.56/~jnz1568/getInfo.php?workbook=18_08.xlsx&amp;sheet=U0&amp;row=8234&amp;col=6&amp;number=4&amp;sourceID=14","4")</f>
        <v>4</v>
      </c>
      <c r="G8234" s="4" t="str">
        <f>HYPERLINK("http://141.218.60.56/~jnz1568/getInfo.php?workbook=18_08.xlsx&amp;sheet=U0&amp;row=8234&amp;col=7&amp;number=0.0024&amp;sourceID=14","0.0024")</f>
        <v>0.0024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HYPERLINK("http://141.218.60.56/~jnz1568/getInfo.php?workbook=18_08.xlsx&amp;sheet=U0&amp;row=8235&amp;col=6&amp;number=4.1&amp;sourceID=14","4.1")</f>
        <v>4.1</v>
      </c>
      <c r="G8235" s="4" t="str">
        <f>HYPERLINK("http://141.218.60.56/~jnz1568/getInfo.php?workbook=18_08.xlsx&amp;sheet=U0&amp;row=8235&amp;col=7&amp;number=0.0024&amp;sourceID=14","0.0024")</f>
        <v>0.0024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HYPERLINK("http://141.218.60.56/~jnz1568/getInfo.php?workbook=18_08.xlsx&amp;sheet=U0&amp;row=8236&amp;col=6&amp;number=4.2&amp;sourceID=14","4.2")</f>
        <v>4.2</v>
      </c>
      <c r="G8236" s="4" t="str">
        <f>HYPERLINK("http://141.218.60.56/~jnz1568/getInfo.php?workbook=18_08.xlsx&amp;sheet=U0&amp;row=8236&amp;col=7&amp;number=0.0024&amp;sourceID=14","0.0024")</f>
        <v>0.0024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HYPERLINK("http://141.218.60.56/~jnz1568/getInfo.php?workbook=18_08.xlsx&amp;sheet=U0&amp;row=8237&amp;col=6&amp;number=4.3&amp;sourceID=14","4.3")</f>
        <v>4.3</v>
      </c>
      <c r="G8237" s="4" t="str">
        <f>HYPERLINK("http://141.218.60.56/~jnz1568/getInfo.php?workbook=18_08.xlsx&amp;sheet=U0&amp;row=8237&amp;col=7&amp;number=0.0024&amp;sourceID=14","0.0024")</f>
        <v>0.0024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HYPERLINK("http://141.218.60.56/~jnz1568/getInfo.php?workbook=18_08.xlsx&amp;sheet=U0&amp;row=8238&amp;col=6&amp;number=4.4&amp;sourceID=14","4.4")</f>
        <v>4.4</v>
      </c>
      <c r="G8238" s="4" t="str">
        <f>HYPERLINK("http://141.218.60.56/~jnz1568/getInfo.php?workbook=18_08.xlsx&amp;sheet=U0&amp;row=8238&amp;col=7&amp;number=0.00239&amp;sourceID=14","0.00239")</f>
        <v>0.00239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HYPERLINK("http://141.218.60.56/~jnz1568/getInfo.php?workbook=18_08.xlsx&amp;sheet=U0&amp;row=8239&amp;col=6&amp;number=4.5&amp;sourceID=14","4.5")</f>
        <v>4.5</v>
      </c>
      <c r="G8239" s="4" t="str">
        <f>HYPERLINK("http://141.218.60.56/~jnz1568/getInfo.php?workbook=18_08.xlsx&amp;sheet=U0&amp;row=8239&amp;col=7&amp;number=0.00239&amp;sourceID=14","0.00239")</f>
        <v>0.00239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HYPERLINK("http://141.218.60.56/~jnz1568/getInfo.php?workbook=18_08.xlsx&amp;sheet=U0&amp;row=8240&amp;col=6&amp;number=4.6&amp;sourceID=14","4.6")</f>
        <v>4.6</v>
      </c>
      <c r="G8240" s="4" t="str">
        <f>HYPERLINK("http://141.218.60.56/~jnz1568/getInfo.php?workbook=18_08.xlsx&amp;sheet=U0&amp;row=8240&amp;col=7&amp;number=0.00239&amp;sourceID=14","0.00239")</f>
        <v>0.00239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HYPERLINK("http://141.218.60.56/~jnz1568/getInfo.php?workbook=18_08.xlsx&amp;sheet=U0&amp;row=8241&amp;col=6&amp;number=4.7&amp;sourceID=14","4.7")</f>
        <v>4.7</v>
      </c>
      <c r="G8241" s="4" t="str">
        <f>HYPERLINK("http://141.218.60.56/~jnz1568/getInfo.php?workbook=18_08.xlsx&amp;sheet=U0&amp;row=8241&amp;col=7&amp;number=0.00238&amp;sourceID=14","0.00238")</f>
        <v>0.00238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HYPERLINK("http://141.218.60.56/~jnz1568/getInfo.php?workbook=18_08.xlsx&amp;sheet=U0&amp;row=8242&amp;col=6&amp;number=4.8&amp;sourceID=14","4.8")</f>
        <v>4.8</v>
      </c>
      <c r="G8242" s="4" t="str">
        <f>HYPERLINK("http://141.218.60.56/~jnz1568/getInfo.php?workbook=18_08.xlsx&amp;sheet=U0&amp;row=8242&amp;col=7&amp;number=0.00237&amp;sourceID=14","0.00237")</f>
        <v>0.00237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HYPERLINK("http://141.218.60.56/~jnz1568/getInfo.php?workbook=18_08.xlsx&amp;sheet=U0&amp;row=8243&amp;col=6&amp;number=4.9&amp;sourceID=14","4.9")</f>
        <v>4.9</v>
      </c>
      <c r="G8243" s="4" t="str">
        <f>HYPERLINK("http://141.218.60.56/~jnz1568/getInfo.php?workbook=18_08.xlsx&amp;sheet=U0&amp;row=8243&amp;col=7&amp;number=0.00236&amp;sourceID=14","0.00236")</f>
        <v>0.00236</v>
      </c>
    </row>
    <row r="8244" spans="1:7">
      <c r="A8244" s="3">
        <v>18</v>
      </c>
      <c r="B8244" s="3">
        <v>8</v>
      </c>
      <c r="C8244" s="3" t="s">
        <v>85</v>
      </c>
      <c r="D8244" s="3">
        <v>4</v>
      </c>
      <c r="E8244" s="3">
        <v>1</v>
      </c>
      <c r="F8244" s="4" t="str">
        <f>HYPERLINK("http://141.218.60.56/~jnz1568/getInfo.php?workbook=18_08.xlsx&amp;sheet=U0&amp;row=8244&amp;col=6&amp;number=3&amp;sourceID=14","3")</f>
        <v>3</v>
      </c>
      <c r="G8244" s="4" t="str">
        <f>HYPERLINK("http://141.218.60.56/~jnz1568/getInfo.php?workbook=18_08.xlsx&amp;sheet=U0&amp;row=8244&amp;col=7&amp;number=0.00433&amp;sourceID=14","0.00433")</f>
        <v>0.00433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HYPERLINK("http://141.218.60.56/~jnz1568/getInfo.php?workbook=18_08.xlsx&amp;sheet=U0&amp;row=8245&amp;col=6&amp;number=3.1&amp;sourceID=14","3.1")</f>
        <v>3.1</v>
      </c>
      <c r="G8245" s="4" t="str">
        <f>HYPERLINK("http://141.218.60.56/~jnz1568/getInfo.php?workbook=18_08.xlsx&amp;sheet=U0&amp;row=8245&amp;col=7&amp;number=0.00433&amp;sourceID=14","0.00433")</f>
        <v>0.00433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HYPERLINK("http://141.218.60.56/~jnz1568/getInfo.php?workbook=18_08.xlsx&amp;sheet=U0&amp;row=8246&amp;col=6&amp;number=3.2&amp;sourceID=14","3.2")</f>
        <v>3.2</v>
      </c>
      <c r="G8246" s="4" t="str">
        <f>HYPERLINK("http://141.218.60.56/~jnz1568/getInfo.php?workbook=18_08.xlsx&amp;sheet=U0&amp;row=8246&amp;col=7&amp;number=0.00433&amp;sourceID=14","0.00433")</f>
        <v>0.00433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HYPERLINK("http://141.218.60.56/~jnz1568/getInfo.php?workbook=18_08.xlsx&amp;sheet=U0&amp;row=8247&amp;col=6&amp;number=3.3&amp;sourceID=14","3.3")</f>
        <v>3.3</v>
      </c>
      <c r="G8247" s="4" t="str">
        <f>HYPERLINK("http://141.218.60.56/~jnz1568/getInfo.php?workbook=18_08.xlsx&amp;sheet=U0&amp;row=8247&amp;col=7&amp;number=0.00433&amp;sourceID=14","0.00433")</f>
        <v>0.00433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HYPERLINK("http://141.218.60.56/~jnz1568/getInfo.php?workbook=18_08.xlsx&amp;sheet=U0&amp;row=8248&amp;col=6&amp;number=3.4&amp;sourceID=14","3.4")</f>
        <v>3.4</v>
      </c>
      <c r="G8248" s="4" t="str">
        <f>HYPERLINK("http://141.218.60.56/~jnz1568/getInfo.php?workbook=18_08.xlsx&amp;sheet=U0&amp;row=8248&amp;col=7&amp;number=0.00433&amp;sourceID=14","0.00433")</f>
        <v>0.00433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HYPERLINK("http://141.218.60.56/~jnz1568/getInfo.php?workbook=18_08.xlsx&amp;sheet=U0&amp;row=8249&amp;col=6&amp;number=3.5&amp;sourceID=14","3.5")</f>
        <v>3.5</v>
      </c>
      <c r="G8249" s="4" t="str">
        <f>HYPERLINK("http://141.218.60.56/~jnz1568/getInfo.php?workbook=18_08.xlsx&amp;sheet=U0&amp;row=8249&amp;col=7&amp;number=0.00432&amp;sourceID=14","0.00432")</f>
        <v>0.00432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HYPERLINK("http://141.218.60.56/~jnz1568/getInfo.php?workbook=18_08.xlsx&amp;sheet=U0&amp;row=8250&amp;col=6&amp;number=3.6&amp;sourceID=14","3.6")</f>
        <v>3.6</v>
      </c>
      <c r="G8250" s="4" t="str">
        <f>HYPERLINK("http://141.218.60.56/~jnz1568/getInfo.php?workbook=18_08.xlsx&amp;sheet=U0&amp;row=8250&amp;col=7&amp;number=0.00432&amp;sourceID=14","0.00432")</f>
        <v>0.00432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HYPERLINK("http://141.218.60.56/~jnz1568/getInfo.php?workbook=18_08.xlsx&amp;sheet=U0&amp;row=8251&amp;col=6&amp;number=3.7&amp;sourceID=14","3.7")</f>
        <v>3.7</v>
      </c>
      <c r="G8251" s="4" t="str">
        <f>HYPERLINK("http://141.218.60.56/~jnz1568/getInfo.php?workbook=18_08.xlsx&amp;sheet=U0&amp;row=8251&amp;col=7&amp;number=0.00432&amp;sourceID=14","0.00432")</f>
        <v>0.00432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HYPERLINK("http://141.218.60.56/~jnz1568/getInfo.php?workbook=18_08.xlsx&amp;sheet=U0&amp;row=8252&amp;col=6&amp;number=3.8&amp;sourceID=14","3.8")</f>
        <v>3.8</v>
      </c>
      <c r="G8252" s="4" t="str">
        <f>HYPERLINK("http://141.218.60.56/~jnz1568/getInfo.php?workbook=18_08.xlsx&amp;sheet=U0&amp;row=8252&amp;col=7&amp;number=0.00432&amp;sourceID=14","0.00432")</f>
        <v>0.00432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HYPERLINK("http://141.218.60.56/~jnz1568/getInfo.php?workbook=18_08.xlsx&amp;sheet=U0&amp;row=8253&amp;col=6&amp;number=3.9&amp;sourceID=14","3.9")</f>
        <v>3.9</v>
      </c>
      <c r="G8253" s="4" t="str">
        <f>HYPERLINK("http://141.218.60.56/~jnz1568/getInfo.php?workbook=18_08.xlsx&amp;sheet=U0&amp;row=8253&amp;col=7&amp;number=0.00432&amp;sourceID=14","0.00432")</f>
        <v>0.00432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HYPERLINK("http://141.218.60.56/~jnz1568/getInfo.php?workbook=18_08.xlsx&amp;sheet=U0&amp;row=8254&amp;col=6&amp;number=4&amp;sourceID=14","4")</f>
        <v>4</v>
      </c>
      <c r="G8254" s="4" t="str">
        <f>HYPERLINK("http://141.218.60.56/~jnz1568/getInfo.php?workbook=18_08.xlsx&amp;sheet=U0&amp;row=8254&amp;col=7&amp;number=0.00431&amp;sourceID=14","0.00431")</f>
        <v>0.00431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HYPERLINK("http://141.218.60.56/~jnz1568/getInfo.php?workbook=18_08.xlsx&amp;sheet=U0&amp;row=8255&amp;col=6&amp;number=4.1&amp;sourceID=14","4.1")</f>
        <v>4.1</v>
      </c>
      <c r="G8255" s="4" t="str">
        <f>HYPERLINK("http://141.218.60.56/~jnz1568/getInfo.php?workbook=18_08.xlsx&amp;sheet=U0&amp;row=8255&amp;col=7&amp;number=0.00431&amp;sourceID=14","0.00431")</f>
        <v>0.00431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HYPERLINK("http://141.218.60.56/~jnz1568/getInfo.php?workbook=18_08.xlsx&amp;sheet=U0&amp;row=8256&amp;col=6&amp;number=4.2&amp;sourceID=14","4.2")</f>
        <v>4.2</v>
      </c>
      <c r="G8256" s="4" t="str">
        <f>HYPERLINK("http://141.218.60.56/~jnz1568/getInfo.php?workbook=18_08.xlsx&amp;sheet=U0&amp;row=8256&amp;col=7&amp;number=0.0043&amp;sourceID=14","0.0043")</f>
        <v>0.0043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HYPERLINK("http://141.218.60.56/~jnz1568/getInfo.php?workbook=18_08.xlsx&amp;sheet=U0&amp;row=8257&amp;col=6&amp;number=4.3&amp;sourceID=14","4.3")</f>
        <v>4.3</v>
      </c>
      <c r="G8257" s="4" t="str">
        <f>HYPERLINK("http://141.218.60.56/~jnz1568/getInfo.php?workbook=18_08.xlsx&amp;sheet=U0&amp;row=8257&amp;col=7&amp;number=0.0043&amp;sourceID=14","0.0043")</f>
        <v>0.0043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HYPERLINK("http://141.218.60.56/~jnz1568/getInfo.php?workbook=18_08.xlsx&amp;sheet=U0&amp;row=8258&amp;col=6&amp;number=4.4&amp;sourceID=14","4.4")</f>
        <v>4.4</v>
      </c>
      <c r="G8258" s="4" t="str">
        <f>HYPERLINK("http://141.218.60.56/~jnz1568/getInfo.php?workbook=18_08.xlsx&amp;sheet=U0&amp;row=8258&amp;col=7&amp;number=0.00429&amp;sourceID=14","0.00429")</f>
        <v>0.00429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HYPERLINK("http://141.218.60.56/~jnz1568/getInfo.php?workbook=18_08.xlsx&amp;sheet=U0&amp;row=8259&amp;col=6&amp;number=4.5&amp;sourceID=14","4.5")</f>
        <v>4.5</v>
      </c>
      <c r="G8259" s="4" t="str">
        <f>HYPERLINK("http://141.218.60.56/~jnz1568/getInfo.php?workbook=18_08.xlsx&amp;sheet=U0&amp;row=8259&amp;col=7&amp;number=0.00428&amp;sourceID=14","0.00428")</f>
        <v>0.00428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HYPERLINK("http://141.218.60.56/~jnz1568/getInfo.php?workbook=18_08.xlsx&amp;sheet=U0&amp;row=8260&amp;col=6&amp;number=4.6&amp;sourceID=14","4.6")</f>
        <v>4.6</v>
      </c>
      <c r="G8260" s="4" t="str">
        <f>HYPERLINK("http://141.218.60.56/~jnz1568/getInfo.php?workbook=18_08.xlsx&amp;sheet=U0&amp;row=8260&amp;col=7&amp;number=0.00427&amp;sourceID=14","0.00427")</f>
        <v>0.00427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HYPERLINK("http://141.218.60.56/~jnz1568/getInfo.php?workbook=18_08.xlsx&amp;sheet=U0&amp;row=8261&amp;col=6&amp;number=4.7&amp;sourceID=14","4.7")</f>
        <v>4.7</v>
      </c>
      <c r="G8261" s="4" t="str">
        <f>HYPERLINK("http://141.218.60.56/~jnz1568/getInfo.php?workbook=18_08.xlsx&amp;sheet=U0&amp;row=8261&amp;col=7&amp;number=0.00425&amp;sourceID=14","0.00425")</f>
        <v>0.00425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HYPERLINK("http://141.218.60.56/~jnz1568/getInfo.php?workbook=18_08.xlsx&amp;sheet=U0&amp;row=8262&amp;col=6&amp;number=4.8&amp;sourceID=14","4.8")</f>
        <v>4.8</v>
      </c>
      <c r="G8262" s="4" t="str">
        <f>HYPERLINK("http://141.218.60.56/~jnz1568/getInfo.php?workbook=18_08.xlsx&amp;sheet=U0&amp;row=8262&amp;col=7&amp;number=0.00423&amp;sourceID=14","0.00423")</f>
        <v>0.00423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HYPERLINK("http://141.218.60.56/~jnz1568/getInfo.php?workbook=18_08.xlsx&amp;sheet=U0&amp;row=8263&amp;col=6&amp;number=4.9&amp;sourceID=14","4.9")</f>
        <v>4.9</v>
      </c>
      <c r="G8263" s="4" t="str">
        <f>HYPERLINK("http://141.218.60.56/~jnz1568/getInfo.php?workbook=18_08.xlsx&amp;sheet=U0&amp;row=8263&amp;col=7&amp;number=0.0042&amp;sourceID=14","0.0042")</f>
        <v>0.0042</v>
      </c>
    </row>
    <row r="8264" spans="1:7">
      <c r="A8264" s="3">
        <v>18</v>
      </c>
      <c r="B8264" s="3">
        <v>8</v>
      </c>
      <c r="C8264" s="3" t="s">
        <v>85</v>
      </c>
      <c r="D8264" s="3">
        <v>5</v>
      </c>
      <c r="E8264" s="3">
        <v>1</v>
      </c>
      <c r="F8264" s="4" t="str">
        <f>HYPERLINK("http://141.218.60.56/~jnz1568/getInfo.php?workbook=18_08.xlsx&amp;sheet=U0&amp;row=8264&amp;col=6&amp;number=3&amp;sourceID=14","3")</f>
        <v>3</v>
      </c>
      <c r="G8264" s="4" t="str">
        <f>HYPERLINK("http://141.218.60.56/~jnz1568/getInfo.php?workbook=18_08.xlsx&amp;sheet=U0&amp;row=8264&amp;col=7&amp;number=0.00474&amp;sourceID=14","0.00474")</f>
        <v>0.00474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HYPERLINK("http://141.218.60.56/~jnz1568/getInfo.php?workbook=18_08.xlsx&amp;sheet=U0&amp;row=8265&amp;col=6&amp;number=3.1&amp;sourceID=14","3.1")</f>
        <v>3.1</v>
      </c>
      <c r="G8265" s="4" t="str">
        <f>HYPERLINK("http://141.218.60.56/~jnz1568/getInfo.php?workbook=18_08.xlsx&amp;sheet=U0&amp;row=8265&amp;col=7&amp;number=0.00474&amp;sourceID=14","0.00474")</f>
        <v>0.00474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HYPERLINK("http://141.218.60.56/~jnz1568/getInfo.php?workbook=18_08.xlsx&amp;sheet=U0&amp;row=8266&amp;col=6&amp;number=3.2&amp;sourceID=14","3.2")</f>
        <v>3.2</v>
      </c>
      <c r="G8266" s="4" t="str">
        <f>HYPERLINK("http://141.218.60.56/~jnz1568/getInfo.php?workbook=18_08.xlsx&amp;sheet=U0&amp;row=8266&amp;col=7&amp;number=0.00474&amp;sourceID=14","0.00474")</f>
        <v>0.00474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HYPERLINK("http://141.218.60.56/~jnz1568/getInfo.php?workbook=18_08.xlsx&amp;sheet=U0&amp;row=8267&amp;col=6&amp;number=3.3&amp;sourceID=14","3.3")</f>
        <v>3.3</v>
      </c>
      <c r="G8267" s="4" t="str">
        <f>HYPERLINK("http://141.218.60.56/~jnz1568/getInfo.php?workbook=18_08.xlsx&amp;sheet=U0&amp;row=8267&amp;col=7&amp;number=0.00474&amp;sourceID=14","0.00474")</f>
        <v>0.00474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HYPERLINK("http://141.218.60.56/~jnz1568/getInfo.php?workbook=18_08.xlsx&amp;sheet=U0&amp;row=8268&amp;col=6&amp;number=3.4&amp;sourceID=14","3.4")</f>
        <v>3.4</v>
      </c>
      <c r="G8268" s="4" t="str">
        <f>HYPERLINK("http://141.218.60.56/~jnz1568/getInfo.php?workbook=18_08.xlsx&amp;sheet=U0&amp;row=8268&amp;col=7&amp;number=0.00474&amp;sourceID=14","0.00474")</f>
        <v>0.00474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HYPERLINK("http://141.218.60.56/~jnz1568/getInfo.php?workbook=18_08.xlsx&amp;sheet=U0&amp;row=8269&amp;col=6&amp;number=3.5&amp;sourceID=14","3.5")</f>
        <v>3.5</v>
      </c>
      <c r="G8269" s="4" t="str">
        <f>HYPERLINK("http://141.218.60.56/~jnz1568/getInfo.php?workbook=18_08.xlsx&amp;sheet=U0&amp;row=8269&amp;col=7&amp;number=0.00474&amp;sourceID=14","0.00474")</f>
        <v>0.00474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HYPERLINK("http://141.218.60.56/~jnz1568/getInfo.php?workbook=18_08.xlsx&amp;sheet=U0&amp;row=8270&amp;col=6&amp;number=3.6&amp;sourceID=14","3.6")</f>
        <v>3.6</v>
      </c>
      <c r="G8270" s="4" t="str">
        <f>HYPERLINK("http://141.218.60.56/~jnz1568/getInfo.php?workbook=18_08.xlsx&amp;sheet=U0&amp;row=8270&amp;col=7&amp;number=0.00474&amp;sourceID=14","0.00474")</f>
        <v>0.00474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HYPERLINK("http://141.218.60.56/~jnz1568/getInfo.php?workbook=18_08.xlsx&amp;sheet=U0&amp;row=8271&amp;col=6&amp;number=3.7&amp;sourceID=14","3.7")</f>
        <v>3.7</v>
      </c>
      <c r="G8271" s="4" t="str">
        <f>HYPERLINK("http://141.218.60.56/~jnz1568/getInfo.php?workbook=18_08.xlsx&amp;sheet=U0&amp;row=8271&amp;col=7&amp;number=0.00474&amp;sourceID=14","0.00474")</f>
        <v>0.00474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HYPERLINK("http://141.218.60.56/~jnz1568/getInfo.php?workbook=18_08.xlsx&amp;sheet=U0&amp;row=8272&amp;col=6&amp;number=3.8&amp;sourceID=14","3.8")</f>
        <v>3.8</v>
      </c>
      <c r="G8272" s="4" t="str">
        <f>HYPERLINK("http://141.218.60.56/~jnz1568/getInfo.php?workbook=18_08.xlsx&amp;sheet=U0&amp;row=8272&amp;col=7&amp;number=0.00474&amp;sourceID=14","0.00474")</f>
        <v>0.00474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HYPERLINK("http://141.218.60.56/~jnz1568/getInfo.php?workbook=18_08.xlsx&amp;sheet=U0&amp;row=8273&amp;col=6&amp;number=3.9&amp;sourceID=14","3.9")</f>
        <v>3.9</v>
      </c>
      <c r="G8273" s="4" t="str">
        <f>HYPERLINK("http://141.218.60.56/~jnz1568/getInfo.php?workbook=18_08.xlsx&amp;sheet=U0&amp;row=8273&amp;col=7&amp;number=0.00474&amp;sourceID=14","0.00474")</f>
        <v>0.00474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HYPERLINK("http://141.218.60.56/~jnz1568/getInfo.php?workbook=18_08.xlsx&amp;sheet=U0&amp;row=8274&amp;col=6&amp;number=4&amp;sourceID=14","4")</f>
        <v>4</v>
      </c>
      <c r="G8274" s="4" t="str">
        <f>HYPERLINK("http://141.218.60.56/~jnz1568/getInfo.php?workbook=18_08.xlsx&amp;sheet=U0&amp;row=8274&amp;col=7&amp;number=0.00474&amp;sourceID=14","0.00474")</f>
        <v>0.00474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HYPERLINK("http://141.218.60.56/~jnz1568/getInfo.php?workbook=18_08.xlsx&amp;sheet=U0&amp;row=8275&amp;col=6&amp;number=4.1&amp;sourceID=14","4.1")</f>
        <v>4.1</v>
      </c>
      <c r="G8275" s="4" t="str">
        <f>HYPERLINK("http://141.218.60.56/~jnz1568/getInfo.php?workbook=18_08.xlsx&amp;sheet=U0&amp;row=8275&amp;col=7&amp;number=0.00475&amp;sourceID=14","0.00475")</f>
        <v>0.00475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HYPERLINK("http://141.218.60.56/~jnz1568/getInfo.php?workbook=18_08.xlsx&amp;sheet=U0&amp;row=8276&amp;col=6&amp;number=4.2&amp;sourceID=14","4.2")</f>
        <v>4.2</v>
      </c>
      <c r="G8276" s="4" t="str">
        <f>HYPERLINK("http://141.218.60.56/~jnz1568/getInfo.php?workbook=18_08.xlsx&amp;sheet=U0&amp;row=8276&amp;col=7&amp;number=0.00475&amp;sourceID=14","0.00475")</f>
        <v>0.00475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HYPERLINK("http://141.218.60.56/~jnz1568/getInfo.php?workbook=18_08.xlsx&amp;sheet=U0&amp;row=8277&amp;col=6&amp;number=4.3&amp;sourceID=14","4.3")</f>
        <v>4.3</v>
      </c>
      <c r="G8277" s="4" t="str">
        <f>HYPERLINK("http://141.218.60.56/~jnz1568/getInfo.php?workbook=18_08.xlsx&amp;sheet=U0&amp;row=8277&amp;col=7&amp;number=0.00475&amp;sourceID=14","0.00475")</f>
        <v>0.00475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HYPERLINK("http://141.218.60.56/~jnz1568/getInfo.php?workbook=18_08.xlsx&amp;sheet=U0&amp;row=8278&amp;col=6&amp;number=4.4&amp;sourceID=14","4.4")</f>
        <v>4.4</v>
      </c>
      <c r="G8278" s="4" t="str">
        <f>HYPERLINK("http://141.218.60.56/~jnz1568/getInfo.php?workbook=18_08.xlsx&amp;sheet=U0&amp;row=8278&amp;col=7&amp;number=0.00476&amp;sourceID=14","0.00476")</f>
        <v>0.00476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HYPERLINK("http://141.218.60.56/~jnz1568/getInfo.php?workbook=18_08.xlsx&amp;sheet=U0&amp;row=8279&amp;col=6&amp;number=4.5&amp;sourceID=14","4.5")</f>
        <v>4.5</v>
      </c>
      <c r="G8279" s="4" t="str">
        <f>HYPERLINK("http://141.218.60.56/~jnz1568/getInfo.php?workbook=18_08.xlsx&amp;sheet=U0&amp;row=8279&amp;col=7&amp;number=0.00476&amp;sourceID=14","0.00476")</f>
        <v>0.00476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HYPERLINK("http://141.218.60.56/~jnz1568/getInfo.php?workbook=18_08.xlsx&amp;sheet=U0&amp;row=8280&amp;col=6&amp;number=4.6&amp;sourceID=14","4.6")</f>
        <v>4.6</v>
      </c>
      <c r="G8280" s="4" t="str">
        <f>HYPERLINK("http://141.218.60.56/~jnz1568/getInfo.php?workbook=18_08.xlsx&amp;sheet=U0&amp;row=8280&amp;col=7&amp;number=0.00477&amp;sourceID=14","0.00477")</f>
        <v>0.00477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HYPERLINK("http://141.218.60.56/~jnz1568/getInfo.php?workbook=18_08.xlsx&amp;sheet=U0&amp;row=8281&amp;col=6&amp;number=4.7&amp;sourceID=14","4.7")</f>
        <v>4.7</v>
      </c>
      <c r="G8281" s="4" t="str">
        <f>HYPERLINK("http://141.218.60.56/~jnz1568/getInfo.php?workbook=18_08.xlsx&amp;sheet=U0&amp;row=8281&amp;col=7&amp;number=0.00478&amp;sourceID=14","0.00478")</f>
        <v>0.00478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HYPERLINK("http://141.218.60.56/~jnz1568/getInfo.php?workbook=18_08.xlsx&amp;sheet=U0&amp;row=8282&amp;col=6&amp;number=4.8&amp;sourceID=14","4.8")</f>
        <v>4.8</v>
      </c>
      <c r="G8282" s="4" t="str">
        <f>HYPERLINK("http://141.218.60.56/~jnz1568/getInfo.php?workbook=18_08.xlsx&amp;sheet=U0&amp;row=8282&amp;col=7&amp;number=0.00479&amp;sourceID=14","0.00479")</f>
        <v>0.00479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HYPERLINK("http://141.218.60.56/~jnz1568/getInfo.php?workbook=18_08.xlsx&amp;sheet=U0&amp;row=8283&amp;col=6&amp;number=4.9&amp;sourceID=14","4.9")</f>
        <v>4.9</v>
      </c>
      <c r="G8283" s="4" t="str">
        <f>HYPERLINK("http://141.218.60.56/~jnz1568/getInfo.php?workbook=18_08.xlsx&amp;sheet=U0&amp;row=8283&amp;col=7&amp;number=0.0048&amp;sourceID=14","0.0048")</f>
        <v>0.0048</v>
      </c>
    </row>
    <row r="8284" spans="1:7">
      <c r="A8284" s="3">
        <v>18</v>
      </c>
      <c r="B8284" s="3">
        <v>8</v>
      </c>
      <c r="C8284" s="3" t="s">
        <v>85</v>
      </c>
      <c r="D8284" s="3">
        <v>6</v>
      </c>
      <c r="E8284" s="3">
        <v>1</v>
      </c>
      <c r="F8284" s="4" t="str">
        <f>HYPERLINK("http://141.218.60.56/~jnz1568/getInfo.php?workbook=18_08.xlsx&amp;sheet=U0&amp;row=8284&amp;col=6&amp;number=3&amp;sourceID=14","3")</f>
        <v>3</v>
      </c>
      <c r="G8284" s="4" t="str">
        <f>HYPERLINK("http://141.218.60.56/~jnz1568/getInfo.php?workbook=18_08.xlsx&amp;sheet=U0&amp;row=8284&amp;col=7&amp;number=0.117&amp;sourceID=14","0.117")</f>
        <v>0.117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HYPERLINK("http://141.218.60.56/~jnz1568/getInfo.php?workbook=18_08.xlsx&amp;sheet=U0&amp;row=8285&amp;col=6&amp;number=3.1&amp;sourceID=14","3.1")</f>
        <v>3.1</v>
      </c>
      <c r="G8285" s="4" t="str">
        <f>HYPERLINK("http://141.218.60.56/~jnz1568/getInfo.php?workbook=18_08.xlsx&amp;sheet=U0&amp;row=8285&amp;col=7&amp;number=0.117&amp;sourceID=14","0.117")</f>
        <v>0.117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HYPERLINK("http://141.218.60.56/~jnz1568/getInfo.php?workbook=18_08.xlsx&amp;sheet=U0&amp;row=8286&amp;col=6&amp;number=3.2&amp;sourceID=14","3.2")</f>
        <v>3.2</v>
      </c>
      <c r="G8286" s="4" t="str">
        <f>HYPERLINK("http://141.218.60.56/~jnz1568/getInfo.php?workbook=18_08.xlsx&amp;sheet=U0&amp;row=8286&amp;col=7&amp;number=0.117&amp;sourceID=14","0.117")</f>
        <v>0.117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HYPERLINK("http://141.218.60.56/~jnz1568/getInfo.php?workbook=18_08.xlsx&amp;sheet=U0&amp;row=8287&amp;col=6&amp;number=3.3&amp;sourceID=14","3.3")</f>
        <v>3.3</v>
      </c>
      <c r="G8287" s="4" t="str">
        <f>HYPERLINK("http://141.218.60.56/~jnz1568/getInfo.php?workbook=18_08.xlsx&amp;sheet=U0&amp;row=8287&amp;col=7&amp;number=0.117&amp;sourceID=14","0.117")</f>
        <v>0.117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HYPERLINK("http://141.218.60.56/~jnz1568/getInfo.php?workbook=18_08.xlsx&amp;sheet=U0&amp;row=8288&amp;col=6&amp;number=3.4&amp;sourceID=14","3.4")</f>
        <v>3.4</v>
      </c>
      <c r="G8288" s="4" t="str">
        <f>HYPERLINK("http://141.218.60.56/~jnz1568/getInfo.php?workbook=18_08.xlsx&amp;sheet=U0&amp;row=8288&amp;col=7&amp;number=0.117&amp;sourceID=14","0.117")</f>
        <v>0.117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HYPERLINK("http://141.218.60.56/~jnz1568/getInfo.php?workbook=18_08.xlsx&amp;sheet=U0&amp;row=8289&amp;col=6&amp;number=3.5&amp;sourceID=14","3.5")</f>
        <v>3.5</v>
      </c>
      <c r="G8289" s="4" t="str">
        <f>HYPERLINK("http://141.218.60.56/~jnz1568/getInfo.php?workbook=18_08.xlsx&amp;sheet=U0&amp;row=8289&amp;col=7&amp;number=0.117&amp;sourceID=14","0.117")</f>
        <v>0.117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HYPERLINK("http://141.218.60.56/~jnz1568/getInfo.php?workbook=18_08.xlsx&amp;sheet=U0&amp;row=8290&amp;col=6&amp;number=3.6&amp;sourceID=14","3.6")</f>
        <v>3.6</v>
      </c>
      <c r="G8290" s="4" t="str">
        <f>HYPERLINK("http://141.218.60.56/~jnz1568/getInfo.php?workbook=18_08.xlsx&amp;sheet=U0&amp;row=8290&amp;col=7&amp;number=0.117&amp;sourceID=14","0.117")</f>
        <v>0.117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HYPERLINK("http://141.218.60.56/~jnz1568/getInfo.php?workbook=18_08.xlsx&amp;sheet=U0&amp;row=8291&amp;col=6&amp;number=3.7&amp;sourceID=14","3.7")</f>
        <v>3.7</v>
      </c>
      <c r="G8291" s="4" t="str">
        <f>HYPERLINK("http://141.218.60.56/~jnz1568/getInfo.php?workbook=18_08.xlsx&amp;sheet=U0&amp;row=8291&amp;col=7&amp;number=0.117&amp;sourceID=14","0.117")</f>
        <v>0.117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HYPERLINK("http://141.218.60.56/~jnz1568/getInfo.php?workbook=18_08.xlsx&amp;sheet=U0&amp;row=8292&amp;col=6&amp;number=3.8&amp;sourceID=14","3.8")</f>
        <v>3.8</v>
      </c>
      <c r="G8292" s="4" t="str">
        <f>HYPERLINK("http://141.218.60.56/~jnz1568/getInfo.php?workbook=18_08.xlsx&amp;sheet=U0&amp;row=8292&amp;col=7&amp;number=0.117&amp;sourceID=14","0.117")</f>
        <v>0.117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HYPERLINK("http://141.218.60.56/~jnz1568/getInfo.php?workbook=18_08.xlsx&amp;sheet=U0&amp;row=8293&amp;col=6&amp;number=3.9&amp;sourceID=14","3.9")</f>
        <v>3.9</v>
      </c>
      <c r="G8293" s="4" t="str">
        <f>HYPERLINK("http://141.218.60.56/~jnz1568/getInfo.php?workbook=18_08.xlsx&amp;sheet=U0&amp;row=8293&amp;col=7&amp;number=0.118&amp;sourceID=14","0.118")</f>
        <v>0.118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HYPERLINK("http://141.218.60.56/~jnz1568/getInfo.php?workbook=18_08.xlsx&amp;sheet=U0&amp;row=8294&amp;col=6&amp;number=4&amp;sourceID=14","4")</f>
        <v>4</v>
      </c>
      <c r="G8294" s="4" t="str">
        <f>HYPERLINK("http://141.218.60.56/~jnz1568/getInfo.php?workbook=18_08.xlsx&amp;sheet=U0&amp;row=8294&amp;col=7&amp;number=0.118&amp;sourceID=14","0.118")</f>
        <v>0.118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HYPERLINK("http://141.218.60.56/~jnz1568/getInfo.php?workbook=18_08.xlsx&amp;sheet=U0&amp;row=8295&amp;col=6&amp;number=4.1&amp;sourceID=14","4.1")</f>
        <v>4.1</v>
      </c>
      <c r="G8295" s="4" t="str">
        <f>HYPERLINK("http://141.218.60.56/~jnz1568/getInfo.php?workbook=18_08.xlsx&amp;sheet=U0&amp;row=8295&amp;col=7&amp;number=0.118&amp;sourceID=14","0.118")</f>
        <v>0.118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HYPERLINK("http://141.218.60.56/~jnz1568/getInfo.php?workbook=18_08.xlsx&amp;sheet=U0&amp;row=8296&amp;col=6&amp;number=4.2&amp;sourceID=14","4.2")</f>
        <v>4.2</v>
      </c>
      <c r="G8296" s="4" t="str">
        <f>HYPERLINK("http://141.218.60.56/~jnz1568/getInfo.php?workbook=18_08.xlsx&amp;sheet=U0&amp;row=8296&amp;col=7&amp;number=0.118&amp;sourceID=14","0.118")</f>
        <v>0.118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HYPERLINK("http://141.218.60.56/~jnz1568/getInfo.php?workbook=18_08.xlsx&amp;sheet=U0&amp;row=8297&amp;col=6&amp;number=4.3&amp;sourceID=14","4.3")</f>
        <v>4.3</v>
      </c>
      <c r="G8297" s="4" t="str">
        <f>HYPERLINK("http://141.218.60.56/~jnz1568/getInfo.php?workbook=18_08.xlsx&amp;sheet=U0&amp;row=8297&amp;col=7&amp;number=0.118&amp;sourceID=14","0.118")</f>
        <v>0.118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HYPERLINK("http://141.218.60.56/~jnz1568/getInfo.php?workbook=18_08.xlsx&amp;sheet=U0&amp;row=8298&amp;col=6&amp;number=4.4&amp;sourceID=14","4.4")</f>
        <v>4.4</v>
      </c>
      <c r="G8298" s="4" t="str">
        <f>HYPERLINK("http://141.218.60.56/~jnz1568/getInfo.php?workbook=18_08.xlsx&amp;sheet=U0&amp;row=8298&amp;col=7&amp;number=0.118&amp;sourceID=14","0.118")</f>
        <v>0.118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HYPERLINK("http://141.218.60.56/~jnz1568/getInfo.php?workbook=18_08.xlsx&amp;sheet=U0&amp;row=8299&amp;col=6&amp;number=4.5&amp;sourceID=14","4.5")</f>
        <v>4.5</v>
      </c>
      <c r="G8299" s="4" t="str">
        <f>HYPERLINK("http://141.218.60.56/~jnz1568/getInfo.php?workbook=18_08.xlsx&amp;sheet=U0&amp;row=8299&amp;col=7&amp;number=0.118&amp;sourceID=14","0.118")</f>
        <v>0.118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HYPERLINK("http://141.218.60.56/~jnz1568/getInfo.php?workbook=18_08.xlsx&amp;sheet=U0&amp;row=8300&amp;col=6&amp;number=4.6&amp;sourceID=14","4.6")</f>
        <v>4.6</v>
      </c>
      <c r="G8300" s="4" t="str">
        <f>HYPERLINK("http://141.218.60.56/~jnz1568/getInfo.php?workbook=18_08.xlsx&amp;sheet=U0&amp;row=8300&amp;col=7&amp;number=0.119&amp;sourceID=14","0.119")</f>
        <v>0.119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HYPERLINK("http://141.218.60.56/~jnz1568/getInfo.php?workbook=18_08.xlsx&amp;sheet=U0&amp;row=8301&amp;col=6&amp;number=4.7&amp;sourceID=14","4.7")</f>
        <v>4.7</v>
      </c>
      <c r="G8301" s="4" t="str">
        <f>HYPERLINK("http://141.218.60.56/~jnz1568/getInfo.php?workbook=18_08.xlsx&amp;sheet=U0&amp;row=8301&amp;col=7&amp;number=0.119&amp;sourceID=14","0.119")</f>
        <v>0.119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HYPERLINK("http://141.218.60.56/~jnz1568/getInfo.php?workbook=18_08.xlsx&amp;sheet=U0&amp;row=8302&amp;col=6&amp;number=4.8&amp;sourceID=14","4.8")</f>
        <v>4.8</v>
      </c>
      <c r="G8302" s="4" t="str">
        <f>HYPERLINK("http://141.218.60.56/~jnz1568/getInfo.php?workbook=18_08.xlsx&amp;sheet=U0&amp;row=8302&amp;col=7&amp;number=0.12&amp;sourceID=14","0.12")</f>
        <v>0.12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HYPERLINK("http://141.218.60.56/~jnz1568/getInfo.php?workbook=18_08.xlsx&amp;sheet=U0&amp;row=8303&amp;col=6&amp;number=4.9&amp;sourceID=14","4.9")</f>
        <v>4.9</v>
      </c>
      <c r="G8303" s="4" t="str">
        <f>HYPERLINK("http://141.218.60.56/~jnz1568/getInfo.php?workbook=18_08.xlsx&amp;sheet=U0&amp;row=8303&amp;col=7&amp;number=0.12&amp;sourceID=14","0.12")</f>
        <v>0.12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2015-04-20T14:01:13Z</dcterms:created>
  <dcterms:modified xsi:type="dcterms:W3CDTF">2015-04-20T14:01:13Z</dcterms:modified>
</cp:coreProperties>
</file>