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<sst xmlns="http://schemas.openxmlformats.org/spreadsheetml/2006/main" count="92" uniqueCount="33">
  <si>
    <t>Fine Structure Energy Levels for Ar IV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</si>
  <si>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</si>
  <si>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</si>
  <si>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</si>
  <si>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</si>
  <si>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</si>
  <si>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</si>
  <si>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</si>
  <si>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</si>
  <si>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</si>
  <si>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</si>
  <si>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</si>
  <si>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3s2.3p3</t>
  </si>
  <si>
    <t>4S</t>
  </si>
  <si>
    <t>2D</t>
  </si>
  <si>
    <t>2P</t>
  </si>
  <si>
    <t>3s.3p4</t>
  </si>
  <si>
    <t>4P</t>
  </si>
  <si>
    <t>3s2.3p2(3P)3d</t>
  </si>
  <si>
    <t>2S</t>
  </si>
  <si>
    <t>4F</t>
  </si>
  <si>
    <t>4D</t>
  </si>
  <si>
    <t>2F</t>
  </si>
  <si>
    <t>2G</t>
  </si>
  <si>
    <t>A-values for fine-structure transitions in Ar IV</t>
  </si>
  <si>
    <t>k</t>
  </si>
  <si>
    <t>WL Vac (A)</t>
  </si>
  <si>
    <t>A (s-1)</t>
  </si>
  <si>
    <t>A2E1(s-1)</t>
  </si>
  <si>
    <t>Effective Collision Strengths for Ar IV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</si>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</sst>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14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11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18</v>
      </c>
      <c r="B4" s="3">
        <v>15</v>
      </c>
      <c r="C4" s="3">
        <v>1</v>
      </c>
      <c r="D4" s="3" t="s">
        <v>12</v>
      </c>
      <c r="E4" s="3" t="s">
        <v>13</v>
      </c>
      <c r="F4" s="3">
        <v>4</v>
      </c>
      <c r="G4" s="3">
        <v>0</v>
      </c>
      <c r="H4" s="3">
        <v>0</v>
      </c>
      <c r="I4" s="3">
        <v>1.5</v>
      </c>
      <c r="J4" s="4" t="str">
        <f>HYPERLINK("http://141.218.60.56/~jnz1568/getInfo.php?workbook=18_15.xlsx&amp;sheet=E0&amp;row=4&amp;col=10&amp;number=0&amp;sourceID=14","0")</f>
        <v>0</v>
      </c>
    </row>
    <row r="5" spans="1:10">
      <c r="A5" s="3">
        <v>18</v>
      </c>
      <c r="B5" s="3">
        <v>15</v>
      </c>
      <c r="C5" s="3">
        <v>2</v>
      </c>
      <c r="D5" s="3" t="s">
        <v>12</v>
      </c>
      <c r="E5" s="3" t="s">
        <v>14</v>
      </c>
      <c r="F5" s="3">
        <v>2</v>
      </c>
      <c r="G5" s="3">
        <v>2</v>
      </c>
      <c r="H5" s="3">
        <v>0</v>
      </c>
      <c r="I5" s="3">
        <v>1.5</v>
      </c>
      <c r="J5" s="4" t="str">
        <f>HYPERLINK("http://141.218.60.56/~jnz1568/getInfo.php?workbook=18_15.xlsx&amp;sheet=E0&amp;row=5&amp;col=10&amp;number=21090.4&amp;sourceID=14","21090.4")</f>
        <v>21090.4</v>
      </c>
    </row>
    <row r="6" spans="1:10">
      <c r="A6" s="3">
        <v>18</v>
      </c>
      <c r="B6" s="3">
        <v>15</v>
      </c>
      <c r="C6" s="3">
        <v>3</v>
      </c>
      <c r="D6" s="3" t="s">
        <v>12</v>
      </c>
      <c r="E6" s="3" t="s">
        <v>14</v>
      </c>
      <c r="F6" s="3">
        <v>2</v>
      </c>
      <c r="G6" s="3">
        <v>2</v>
      </c>
      <c r="H6" s="3">
        <v>0</v>
      </c>
      <c r="I6" s="3">
        <v>2.5</v>
      </c>
      <c r="J6" s="4" t="str">
        <f>HYPERLINK("http://141.218.60.56/~jnz1568/getInfo.php?workbook=18_15.xlsx&amp;sheet=E0&amp;row=6&amp;col=10&amp;number=21219.301&amp;sourceID=14","21219.301")</f>
        <v>21219.301</v>
      </c>
    </row>
    <row r="7" spans="1:10">
      <c r="A7" s="3">
        <v>18</v>
      </c>
      <c r="B7" s="3">
        <v>15</v>
      </c>
      <c r="C7" s="3">
        <v>4</v>
      </c>
      <c r="D7" s="3" t="s">
        <v>12</v>
      </c>
      <c r="E7" s="3" t="s">
        <v>15</v>
      </c>
      <c r="F7" s="3">
        <v>2</v>
      </c>
      <c r="G7" s="3">
        <v>1</v>
      </c>
      <c r="H7" s="3">
        <v>1</v>
      </c>
      <c r="I7" s="3">
        <v>0.5</v>
      </c>
      <c r="J7" s="4" t="str">
        <f>HYPERLINK("http://141.218.60.56/~jnz1568/getInfo.php?workbook=18_15.xlsx&amp;sheet=E0&amp;row=7&amp;col=10&amp;number=34855.5&amp;sourceID=14","34855.5")</f>
        <v>34855.5</v>
      </c>
    </row>
    <row r="8" spans="1:10">
      <c r="A8" s="3">
        <v>18</v>
      </c>
      <c r="B8" s="3">
        <v>15</v>
      </c>
      <c r="C8" s="3">
        <v>5</v>
      </c>
      <c r="D8" s="3" t="s">
        <v>12</v>
      </c>
      <c r="E8" s="3" t="s">
        <v>15</v>
      </c>
      <c r="F8" s="3">
        <v>2</v>
      </c>
      <c r="G8" s="3">
        <v>1</v>
      </c>
      <c r="H8" s="3">
        <v>1</v>
      </c>
      <c r="I8" s="3">
        <v>1.5</v>
      </c>
      <c r="J8" s="4" t="str">
        <f>HYPERLINK("http://141.218.60.56/~jnz1568/getInfo.php?workbook=18_15.xlsx&amp;sheet=E0&amp;row=8&amp;col=10&amp;number=35032.602&amp;sourceID=14","35032.602")</f>
        <v>35032.602</v>
      </c>
    </row>
    <row r="9" spans="1:10">
      <c r="A9" s="3">
        <v>18</v>
      </c>
      <c r="B9" s="3">
        <v>15</v>
      </c>
      <c r="C9" s="3">
        <v>6</v>
      </c>
      <c r="D9" s="3" t="s">
        <v>16</v>
      </c>
      <c r="E9" s="3" t="s">
        <v>17</v>
      </c>
      <c r="F9" s="3">
        <v>4</v>
      </c>
      <c r="G9" s="3">
        <v>1</v>
      </c>
      <c r="H9" s="3">
        <v>1</v>
      </c>
      <c r="I9" s="3">
        <v>0.5</v>
      </c>
      <c r="J9" s="4" t="str">
        <f>HYPERLINK("http://141.218.60.56/~jnz1568/getInfo.php?workbook=18_15.xlsx&amp;sheet=E0&amp;row=9&amp;col=10&amp;number=119043.703&amp;sourceID=14","119043.703")</f>
        <v>119043.703</v>
      </c>
    </row>
    <row r="10" spans="1:10">
      <c r="A10" s="3">
        <v>18</v>
      </c>
      <c r="B10" s="3">
        <v>15</v>
      </c>
      <c r="C10" s="3">
        <v>7</v>
      </c>
      <c r="D10" s="3" t="s">
        <v>16</v>
      </c>
      <c r="E10" s="3" t="s">
        <v>17</v>
      </c>
      <c r="F10" s="3">
        <v>4</v>
      </c>
      <c r="G10" s="3">
        <v>1</v>
      </c>
      <c r="H10" s="3">
        <v>1</v>
      </c>
      <c r="I10" s="3">
        <v>1.5</v>
      </c>
      <c r="J10" s="4" t="str">
        <f>HYPERLINK("http://141.218.60.56/~jnz1568/getInfo.php?workbook=18_15.xlsx&amp;sheet=E0&amp;row=10&amp;col=10&amp;number=118516.398&amp;sourceID=14","118516.398")</f>
        <v>118516.398</v>
      </c>
    </row>
    <row r="11" spans="1:10">
      <c r="A11" s="3">
        <v>18</v>
      </c>
      <c r="B11" s="3">
        <v>15</v>
      </c>
      <c r="C11" s="3">
        <v>8</v>
      </c>
      <c r="D11" s="3" t="s">
        <v>16</v>
      </c>
      <c r="E11" s="3" t="s">
        <v>17</v>
      </c>
      <c r="F11" s="3">
        <v>4</v>
      </c>
      <c r="G11" s="3">
        <v>1</v>
      </c>
      <c r="H11" s="3">
        <v>1</v>
      </c>
      <c r="I11" s="3">
        <v>2.5</v>
      </c>
      <c r="J11" s="4" t="str">
        <f>HYPERLINK("http://141.218.60.56/~jnz1568/getInfo.php?workbook=18_15.xlsx&amp;sheet=E0&amp;row=11&amp;col=10&amp;number=117564.602&amp;sourceID=14","117564.602")</f>
        <v>117564.602</v>
      </c>
    </row>
    <row r="12" spans="1:10">
      <c r="A12" s="3">
        <v>18</v>
      </c>
      <c r="B12" s="3">
        <v>15</v>
      </c>
      <c r="C12" s="3">
        <v>9</v>
      </c>
      <c r="D12" s="3" t="s">
        <v>16</v>
      </c>
      <c r="E12" s="3" t="s">
        <v>14</v>
      </c>
      <c r="F12" s="3">
        <v>2</v>
      </c>
      <c r="G12" s="3">
        <v>2</v>
      </c>
      <c r="H12" s="3">
        <v>0</v>
      </c>
      <c r="I12" s="3">
        <v>1.5</v>
      </c>
      <c r="J12" s="4" t="str">
        <f>HYPERLINK("http://141.218.60.56/~jnz1568/getInfo.php?workbook=18_15.xlsx&amp;sheet=E0&amp;row=12&amp;col=10&amp;number=145920.5&amp;sourceID=14","145920.5")</f>
        <v>145920.5</v>
      </c>
    </row>
    <row r="13" spans="1:10">
      <c r="A13" s="3">
        <v>18</v>
      </c>
      <c r="B13" s="3">
        <v>15</v>
      </c>
      <c r="C13" s="3">
        <v>10</v>
      </c>
      <c r="D13" s="3" t="s">
        <v>16</v>
      </c>
      <c r="E13" s="3" t="s">
        <v>14</v>
      </c>
      <c r="F13" s="3">
        <v>2</v>
      </c>
      <c r="G13" s="3">
        <v>2</v>
      </c>
      <c r="H13" s="3">
        <v>0</v>
      </c>
      <c r="I13" s="3">
        <v>2.5</v>
      </c>
      <c r="J13" s="4" t="str">
        <f>HYPERLINK("http://141.218.60.56/~jnz1568/getInfo.php?workbook=18_15.xlsx&amp;sheet=E0&amp;row=13&amp;col=10&amp;number=146000&amp;sourceID=14","146000")</f>
        <v>146000</v>
      </c>
    </row>
    <row r="14" spans="1:10">
      <c r="A14" s="3">
        <v>18</v>
      </c>
      <c r="B14" s="3">
        <v>15</v>
      </c>
      <c r="C14" s="3">
        <v>11</v>
      </c>
      <c r="D14" s="3" t="s">
        <v>18</v>
      </c>
      <c r="E14" s="3" t="s">
        <v>15</v>
      </c>
      <c r="F14" s="3">
        <v>2</v>
      </c>
      <c r="G14" s="3">
        <v>1</v>
      </c>
      <c r="H14" s="3">
        <v>1</v>
      </c>
      <c r="I14" s="3">
        <v>0.5</v>
      </c>
      <c r="J14" s="4" t="str">
        <f>HYPERLINK("http://141.218.60.56/~jnz1568/getInfo.php?workbook=18_15.xlsx&amp;sheet=E0&amp;row=14&amp;col=10&amp;number=167443.5&amp;sourceID=14","167443.5")</f>
        <v>167443.5</v>
      </c>
    </row>
    <row r="15" spans="1:10">
      <c r="A15" s="3">
        <v>18</v>
      </c>
      <c r="B15" s="3">
        <v>15</v>
      </c>
      <c r="C15" s="3">
        <v>12</v>
      </c>
      <c r="D15" s="3" t="s">
        <v>18</v>
      </c>
      <c r="E15" s="3" t="s">
        <v>15</v>
      </c>
      <c r="F15" s="3">
        <v>2</v>
      </c>
      <c r="G15" s="3">
        <v>1</v>
      </c>
      <c r="H15" s="3">
        <v>1</v>
      </c>
      <c r="I15" s="3">
        <v>1.5</v>
      </c>
      <c r="J15" s="4" t="str">
        <f>HYPERLINK("http://141.218.60.56/~jnz1568/getInfo.php?workbook=18_15.xlsx&amp;sheet=E0&amp;row=15&amp;col=10&amp;number=166352.5&amp;sourceID=14","166352.5")</f>
        <v>166352.5</v>
      </c>
    </row>
    <row r="16" spans="1:10">
      <c r="A16" s="3">
        <v>18</v>
      </c>
      <c r="B16" s="3">
        <v>15</v>
      </c>
      <c r="C16" s="3">
        <v>13</v>
      </c>
      <c r="D16" s="3" t="s">
        <v>16</v>
      </c>
      <c r="E16" s="3" t="s">
        <v>19</v>
      </c>
      <c r="F16" s="3">
        <v>2</v>
      </c>
      <c r="G16" s="3">
        <v>0</v>
      </c>
      <c r="H16" s="3">
        <v>0</v>
      </c>
      <c r="I16" s="3">
        <v>0.5</v>
      </c>
      <c r="J16" s="4" t="str">
        <f>HYPERLINK("http://141.218.60.56/~jnz1568/getInfo.php?workbook=18_15.xlsx&amp;sheet=E0&amp;row=16&amp;col=10&amp;number=177833.906&amp;sourceID=14","177833.906")</f>
        <v>177833.906</v>
      </c>
    </row>
    <row r="17" spans="1:10">
      <c r="A17" s="3">
        <v>18</v>
      </c>
      <c r="B17" s="3">
        <v>15</v>
      </c>
      <c r="C17" s="3">
        <v>14</v>
      </c>
      <c r="D17" s="3" t="s">
        <v>18</v>
      </c>
      <c r="E17" s="3" t="s">
        <v>20</v>
      </c>
      <c r="F17" s="3">
        <v>4</v>
      </c>
      <c r="G17" s="3">
        <v>3</v>
      </c>
      <c r="H17" s="3">
        <v>1</v>
      </c>
      <c r="I17" s="3">
        <v>1.5</v>
      </c>
      <c r="J17" s="4" t="str">
        <f>HYPERLINK("http://141.218.60.56/~jnz1568/getInfo.php?workbook=18_15.xlsx&amp;sheet=E0&amp;row=17&amp;col=10&amp;number=180682.297&amp;sourceID=14","180682.297")</f>
        <v>180682.297</v>
      </c>
    </row>
    <row r="18" spans="1:10">
      <c r="A18" s="3">
        <v>18</v>
      </c>
      <c r="B18" s="3">
        <v>15</v>
      </c>
      <c r="C18" s="3">
        <v>15</v>
      </c>
      <c r="D18" s="3" t="s">
        <v>18</v>
      </c>
      <c r="E18" s="3" t="s">
        <v>20</v>
      </c>
      <c r="F18" s="3">
        <v>4</v>
      </c>
      <c r="G18" s="3">
        <v>3</v>
      </c>
      <c r="H18" s="3">
        <v>1</v>
      </c>
      <c r="I18" s="3">
        <v>2.5</v>
      </c>
      <c r="J18" s="4" t="str">
        <f>HYPERLINK("http://141.218.60.56/~jnz1568/getInfo.php?workbook=18_15.xlsx&amp;sheet=E0&amp;row=18&amp;col=10&amp;number=181032&amp;sourceID=14","181032")</f>
        <v>181032</v>
      </c>
    </row>
    <row r="19" spans="1:10">
      <c r="A19" s="3">
        <v>18</v>
      </c>
      <c r="B19" s="3">
        <v>15</v>
      </c>
      <c r="C19" s="3">
        <v>16</v>
      </c>
      <c r="D19" s="3" t="s">
        <v>18</v>
      </c>
      <c r="E19" s="3" t="s">
        <v>20</v>
      </c>
      <c r="F19" s="3">
        <v>4</v>
      </c>
      <c r="G19" s="3">
        <v>3</v>
      </c>
      <c r="H19" s="3">
        <v>1</v>
      </c>
      <c r="I19" s="3">
        <v>3.5</v>
      </c>
      <c r="J19" s="4" t="str">
        <f>HYPERLINK("http://141.218.60.56/~jnz1568/getInfo.php?workbook=18_15.xlsx&amp;sheet=E0&amp;row=19&amp;col=10&amp;number=181533&amp;sourceID=14","181533")</f>
        <v>181533</v>
      </c>
    </row>
    <row r="20" spans="1:10">
      <c r="A20" s="3">
        <v>18</v>
      </c>
      <c r="B20" s="3">
        <v>15</v>
      </c>
      <c r="C20" s="3">
        <v>17</v>
      </c>
      <c r="D20" s="3" t="s">
        <v>18</v>
      </c>
      <c r="E20" s="3" t="s">
        <v>20</v>
      </c>
      <c r="F20" s="3">
        <v>4</v>
      </c>
      <c r="G20" s="3">
        <v>3</v>
      </c>
      <c r="H20" s="3">
        <v>1</v>
      </c>
      <c r="I20" s="3">
        <v>4.5</v>
      </c>
      <c r="J20" s="4" t="str">
        <f>HYPERLINK("http://141.218.60.56/~jnz1568/getInfo.php?workbook=18_15.xlsx&amp;sheet=E0&amp;row=20&amp;col=10&amp;number=182195.094&amp;sourceID=14","182195.094")</f>
        <v>182195.094</v>
      </c>
    </row>
    <row r="21" spans="1:10">
      <c r="A21" s="3">
        <v>18</v>
      </c>
      <c r="B21" s="3">
        <v>15</v>
      </c>
      <c r="C21" s="3">
        <v>18</v>
      </c>
      <c r="D21" s="3" t="s">
        <v>18</v>
      </c>
      <c r="E21" s="3" t="s">
        <v>21</v>
      </c>
      <c r="F21" s="3">
        <v>4</v>
      </c>
      <c r="G21" s="3">
        <v>2</v>
      </c>
      <c r="H21" s="3">
        <v>0</v>
      </c>
      <c r="I21" s="3">
        <v>0.5</v>
      </c>
      <c r="J21" s="4" t="str">
        <f>HYPERLINK("http://141.218.60.56/~jnz1568/getInfo.php?workbook=18_15.xlsx&amp;sheet=E0&amp;row=21&amp;col=10&amp;number=187289.797&amp;sourceID=14","187289.797")</f>
        <v>187289.797</v>
      </c>
    </row>
    <row r="22" spans="1:10">
      <c r="A22" s="3">
        <v>18</v>
      </c>
      <c r="B22" s="3">
        <v>15</v>
      </c>
      <c r="C22" s="3">
        <v>19</v>
      </c>
      <c r="D22" s="3" t="s">
        <v>18</v>
      </c>
      <c r="E22" s="3" t="s">
        <v>21</v>
      </c>
      <c r="F22" s="3">
        <v>4</v>
      </c>
      <c r="G22" s="3">
        <v>2</v>
      </c>
      <c r="H22" s="3">
        <v>0</v>
      </c>
      <c r="I22" s="3">
        <v>1.5</v>
      </c>
      <c r="J22" s="4" t="str">
        <f>HYPERLINK("http://141.218.60.56/~jnz1568/getInfo.php?workbook=18_15.xlsx&amp;sheet=E0&amp;row=22&amp;col=10&amp;number=187397.094&amp;sourceID=14","187397.094")</f>
        <v>187397.094</v>
      </c>
    </row>
    <row r="23" spans="1:10">
      <c r="A23" s="3">
        <v>18</v>
      </c>
      <c r="B23" s="3">
        <v>15</v>
      </c>
      <c r="C23" s="3">
        <v>20</v>
      </c>
      <c r="D23" s="3" t="s">
        <v>18</v>
      </c>
      <c r="E23" s="3" t="s">
        <v>21</v>
      </c>
      <c r="F23" s="3">
        <v>4</v>
      </c>
      <c r="G23" s="3">
        <v>2</v>
      </c>
      <c r="H23" s="3">
        <v>0</v>
      </c>
      <c r="I23" s="3">
        <v>2.5</v>
      </c>
      <c r="J23" s="4" t="str">
        <f>HYPERLINK("http://141.218.60.56/~jnz1568/getInfo.php?workbook=18_15.xlsx&amp;sheet=E0&amp;row=23&amp;col=10&amp;number=187820.797&amp;sourceID=14","187820.797")</f>
        <v>187820.797</v>
      </c>
    </row>
    <row r="24" spans="1:10">
      <c r="A24" s="3">
        <v>18</v>
      </c>
      <c r="B24" s="3">
        <v>15</v>
      </c>
      <c r="C24" s="3">
        <v>21</v>
      </c>
      <c r="D24" s="3" t="s">
        <v>18</v>
      </c>
      <c r="E24" s="3" t="s">
        <v>21</v>
      </c>
      <c r="F24" s="3">
        <v>4</v>
      </c>
      <c r="G24" s="3">
        <v>2</v>
      </c>
      <c r="H24" s="3">
        <v>0</v>
      </c>
      <c r="I24" s="3">
        <v>3.5</v>
      </c>
      <c r="J24" s="4" t="str">
        <f>HYPERLINK("http://141.218.60.56/~jnz1568/getInfo.php?workbook=18_15.xlsx&amp;sheet=E0&amp;row=24&amp;col=10&amp;number=188823.797&amp;sourceID=14","188823.797")</f>
        <v>188823.797</v>
      </c>
    </row>
    <row r="25" spans="1:10">
      <c r="A25" s="3">
        <v>18</v>
      </c>
      <c r="B25" s="3">
        <v>15</v>
      </c>
      <c r="C25" s="3">
        <v>22</v>
      </c>
      <c r="D25" s="3" t="s">
        <v>18</v>
      </c>
      <c r="E25" s="3" t="s">
        <v>22</v>
      </c>
      <c r="F25" s="3">
        <v>2</v>
      </c>
      <c r="G25" s="3">
        <v>3</v>
      </c>
      <c r="H25" s="3">
        <v>1</v>
      </c>
      <c r="I25" s="3">
        <v>2.5</v>
      </c>
      <c r="J25" s="4" t="str">
        <f>HYPERLINK("http://141.218.60.56/~jnz1568/getInfo.php?workbook=18_15.xlsx&amp;sheet=E0&amp;row=25&amp;col=10&amp;number=0&amp;sourceID=14","0")</f>
        <v>0</v>
      </c>
    </row>
    <row r="26" spans="1:10">
      <c r="A26" s="3">
        <v>18</v>
      </c>
      <c r="B26" s="3">
        <v>15</v>
      </c>
      <c r="C26" s="3">
        <v>23</v>
      </c>
      <c r="D26" s="3" t="s">
        <v>18</v>
      </c>
      <c r="E26" s="3" t="s">
        <v>22</v>
      </c>
      <c r="F26" s="3">
        <v>2</v>
      </c>
      <c r="G26" s="3">
        <v>3</v>
      </c>
      <c r="H26" s="3">
        <v>1</v>
      </c>
      <c r="I26" s="3">
        <v>3.5</v>
      </c>
      <c r="J26" s="4" t="str">
        <f>HYPERLINK("http://141.218.60.56/~jnz1568/getInfo.php?workbook=18_15.xlsx&amp;sheet=E0&amp;row=26&amp;col=10&amp;number=0&amp;sourceID=14","0")</f>
        <v>0</v>
      </c>
    </row>
    <row r="27" spans="1:10">
      <c r="A27" s="3">
        <v>18</v>
      </c>
      <c r="B27" s="3">
        <v>15</v>
      </c>
      <c r="C27" s="3">
        <v>24</v>
      </c>
      <c r="D27" s="3" t="s">
        <v>18</v>
      </c>
      <c r="E27" s="3" t="s">
        <v>23</v>
      </c>
      <c r="F27" s="3">
        <v>2</v>
      </c>
      <c r="G27" s="3">
        <v>4</v>
      </c>
      <c r="H27" s="3">
        <v>0</v>
      </c>
      <c r="I27" s="3">
        <v>3.5</v>
      </c>
      <c r="J27" s="4" t="str">
        <f>HYPERLINK("http://141.218.60.56/~jnz1568/getInfo.php?workbook=18_15.xlsx&amp;sheet=E0&amp;row=27&amp;col=10&amp;number=207760.797&amp;sourceID=14","207760.797")</f>
        <v>207760.797</v>
      </c>
    </row>
    <row r="28" spans="1:10">
      <c r="A28" s="3">
        <v>18</v>
      </c>
      <c r="B28" s="3">
        <v>15</v>
      </c>
      <c r="C28" s="3">
        <v>25</v>
      </c>
      <c r="D28" s="3" t="s">
        <v>18</v>
      </c>
      <c r="E28" s="3" t="s">
        <v>23</v>
      </c>
      <c r="F28" s="3">
        <v>2</v>
      </c>
      <c r="G28" s="3">
        <v>4</v>
      </c>
      <c r="H28" s="3">
        <v>0</v>
      </c>
      <c r="I28" s="3">
        <v>4.5</v>
      </c>
      <c r="J28" s="4" t="str">
        <f>HYPERLINK("http://141.218.60.56/~jnz1568/getInfo.php?workbook=18_15.xlsx&amp;sheet=E0&amp;row=28&amp;col=10&amp;number=207859.906&amp;sourceID=14","207859.906")</f>
        <v>207859.906</v>
      </c>
    </row>
    <row r="29" spans="1:10">
      <c r="A29" s="3">
        <v>18</v>
      </c>
      <c r="B29" s="3">
        <v>15</v>
      </c>
      <c r="C29" s="3">
        <v>26</v>
      </c>
      <c r="D29" s="3" t="s">
        <v>18</v>
      </c>
      <c r="E29" s="3" t="s">
        <v>17</v>
      </c>
      <c r="F29" s="3">
        <v>4</v>
      </c>
      <c r="G29" s="3">
        <v>1</v>
      </c>
      <c r="H29" s="3">
        <v>1</v>
      </c>
      <c r="I29" s="3">
        <v>0.5</v>
      </c>
      <c r="J29" s="4" t="str">
        <f>HYPERLINK("http://141.218.60.56/~jnz1568/getInfo.php?workbook=18_15.xlsx&amp;sheet=E0&amp;row=29&amp;col=10&amp;number=221626.797&amp;sourceID=14","221626.797")</f>
        <v>221626.797</v>
      </c>
    </row>
    <row r="30" spans="1:10">
      <c r="A30" s="3">
        <v>18</v>
      </c>
      <c r="B30" s="3">
        <v>15</v>
      </c>
      <c r="C30" s="3">
        <v>27</v>
      </c>
      <c r="D30" s="3" t="s">
        <v>18</v>
      </c>
      <c r="E30" s="3" t="s">
        <v>17</v>
      </c>
      <c r="F30" s="3">
        <v>4</v>
      </c>
      <c r="G30" s="3">
        <v>1</v>
      </c>
      <c r="H30" s="3">
        <v>1</v>
      </c>
      <c r="I30" s="3">
        <v>1.5</v>
      </c>
      <c r="J30" s="4" t="str">
        <f>HYPERLINK("http://141.218.60.56/~jnz1568/getInfo.php?workbook=18_15.xlsx&amp;sheet=E0&amp;row=30&amp;col=10&amp;number=221300.406&amp;sourceID=14","221300.406")</f>
        <v>221300.406</v>
      </c>
    </row>
    <row r="31" spans="1:10">
      <c r="A31" s="3">
        <v>18</v>
      </c>
      <c r="B31" s="3">
        <v>15</v>
      </c>
      <c r="C31" s="3">
        <v>28</v>
      </c>
      <c r="D31" s="3" t="s">
        <v>18</v>
      </c>
      <c r="E31" s="3" t="s">
        <v>17</v>
      </c>
      <c r="F31" s="3">
        <v>4</v>
      </c>
      <c r="G31" s="3">
        <v>1</v>
      </c>
      <c r="H31" s="3">
        <v>1</v>
      </c>
      <c r="I31" s="3">
        <v>2.5</v>
      </c>
      <c r="J31" s="4" t="str">
        <f>HYPERLINK("http://141.218.60.56/~jnz1568/getInfo.php?workbook=18_15.xlsx&amp;sheet=E0&amp;row=31&amp;col=10&amp;number=220786.094&amp;sourceID=14","220786.094")</f>
        <v>220786.094</v>
      </c>
    </row>
    <row r="32" spans="1:10">
      <c r="A32" s="3">
        <v>18</v>
      </c>
      <c r="B32" s="3">
        <v>15</v>
      </c>
      <c r="C32" s="3">
        <v>29</v>
      </c>
      <c r="D32" s="3" t="s">
        <v>16</v>
      </c>
      <c r="E32" s="3" t="s">
        <v>15</v>
      </c>
      <c r="F32" s="3">
        <v>2</v>
      </c>
      <c r="G32" s="3">
        <v>1</v>
      </c>
      <c r="H32" s="3">
        <v>1</v>
      </c>
      <c r="I32" s="3">
        <v>0.5</v>
      </c>
      <c r="J32" s="4" t="str">
        <f>HYPERLINK("http://141.218.60.56/~jnz1568/getInfo.php?workbook=18_15.xlsx&amp;sheet=E0&amp;row=32&amp;col=10&amp;number=224017.406&amp;sourceID=14","224017.406")</f>
        <v>224017.406</v>
      </c>
    </row>
    <row r="33" spans="1:10">
      <c r="A33" s="3">
        <v>18</v>
      </c>
      <c r="B33" s="3">
        <v>15</v>
      </c>
      <c r="C33" s="3">
        <v>30</v>
      </c>
      <c r="D33" s="3" t="s">
        <v>16</v>
      </c>
      <c r="E33" s="3" t="s">
        <v>15</v>
      </c>
      <c r="F33" s="3">
        <v>2</v>
      </c>
      <c r="G33" s="3">
        <v>1</v>
      </c>
      <c r="H33" s="3">
        <v>1</v>
      </c>
      <c r="I33" s="3">
        <v>1.5</v>
      </c>
      <c r="J33" s="4" t="str">
        <f>HYPERLINK("http://141.218.60.56/~jnz1568/getInfo.php?workbook=18_15.xlsx&amp;sheet=E0&amp;row=33&amp;col=10&amp;number=222954.703&amp;sourceID=14","222954.703")</f>
        <v>222954.703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11.7109375" customWidth="1"/>
    <col min="6" max="6" width="12.7109375" customWidth="1"/>
    <col min="7" max="7" width="10.7109375" customWidth="1"/>
  </cols>
  <sheetData>
    <row r="1" spans="1:7">
      <c r="A1" s="1" t="s">
        <v>24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25</v>
      </c>
      <c r="D3" s="2" t="s">
        <v>4</v>
      </c>
      <c r="E3" s="2" t="s">
        <v>26</v>
      </c>
      <c r="F3" s="2" t="s">
        <v>27</v>
      </c>
      <c r="G3" s="2" t="s">
        <v>28</v>
      </c>
    </row>
    <row r="4" spans="1:7">
      <c r="A4" s="3">
        <v>18</v>
      </c>
      <c r="B4" s="3">
        <v>15</v>
      </c>
      <c r="C4" s="3">
        <v>2</v>
      </c>
      <c r="D4" s="3">
        <v>1</v>
      </c>
      <c r="E4" s="3">
        <v>4741.502</v>
      </c>
      <c r="F4" s="4" t="str">
        <f>HYPERLINK("http://141.218.60.56/~jnz1568/getInfo.php?workbook=18_15.xlsx&amp;sheet=A0&amp;row=4&amp;col=6&amp;number=0.02277&amp;sourceID=14","0.02277")</f>
        <v>0.02277</v>
      </c>
      <c r="G4" s="4" t="str">
        <f>HYPERLINK("http://141.218.60.56/~jnz1568/getInfo.php?workbook=18_15.xlsx&amp;sheet=A0&amp;row=4&amp;col=7&amp;number=0&amp;sourceID=14","0")</f>
        <v>0</v>
      </c>
    </row>
    <row r="5" spans="1:7">
      <c r="A5" s="3">
        <v>18</v>
      </c>
      <c r="B5" s="3">
        <v>15</v>
      </c>
      <c r="C5" s="3">
        <v>3</v>
      </c>
      <c r="D5" s="3">
        <v>1</v>
      </c>
      <c r="E5" s="3">
        <v>4712.699</v>
      </c>
      <c r="F5" s="4" t="str">
        <f>HYPERLINK("http://141.218.60.56/~jnz1568/getInfo.php?workbook=18_15.xlsx&amp;sheet=A0&amp;row=5&amp;col=6&amp;number=0.001906&amp;sourceID=14","0.001906")</f>
        <v>0.001906</v>
      </c>
      <c r="G5" s="4" t="str">
        <f>HYPERLINK("http://141.218.60.56/~jnz1568/getInfo.php?workbook=18_15.xlsx&amp;sheet=A0&amp;row=5&amp;col=7&amp;number=0&amp;sourceID=14","0")</f>
        <v>0</v>
      </c>
    </row>
    <row r="6" spans="1:7">
      <c r="A6" s="3">
        <v>18</v>
      </c>
      <c r="B6" s="3">
        <v>15</v>
      </c>
      <c r="C6" s="3">
        <v>4</v>
      </c>
      <c r="D6" s="3">
        <v>1</v>
      </c>
      <c r="E6" s="3">
        <v>2868.993</v>
      </c>
      <c r="F6" s="4" t="str">
        <f>HYPERLINK("http://141.218.60.56/~jnz1568/getInfo.php?workbook=18_15.xlsx&amp;sheet=A0&amp;row=6&amp;col=6&amp;number=0.8702&amp;sourceID=14","0.8702")</f>
        <v>0.8702</v>
      </c>
      <c r="G6" s="4" t="str">
        <f>HYPERLINK("http://141.218.60.56/~jnz1568/getInfo.php?workbook=18_15.xlsx&amp;sheet=A0&amp;row=6&amp;col=7&amp;number=0&amp;sourceID=14","0")</f>
        <v>0</v>
      </c>
    </row>
    <row r="7" spans="1:7">
      <c r="A7" s="3">
        <v>18</v>
      </c>
      <c r="B7" s="3">
        <v>15</v>
      </c>
      <c r="C7" s="3">
        <v>5</v>
      </c>
      <c r="D7" s="3">
        <v>1</v>
      </c>
      <c r="E7" s="3">
        <v>2854.489</v>
      </c>
      <c r="F7" s="4" t="str">
        <f>HYPERLINK("http://141.218.60.56/~jnz1568/getInfo.php?workbook=18_15.xlsx&amp;sheet=A0&amp;row=7&amp;col=6&amp;number=2.134&amp;sourceID=14","2.134")</f>
        <v>2.134</v>
      </c>
      <c r="G7" s="4" t="str">
        <f>HYPERLINK("http://141.218.60.56/~jnz1568/getInfo.php?workbook=18_15.xlsx&amp;sheet=A0&amp;row=7&amp;col=7&amp;number=0&amp;sourceID=14","0")</f>
        <v>0</v>
      </c>
    </row>
    <row r="8" spans="1:7">
      <c r="A8" s="3">
        <v>18</v>
      </c>
      <c r="B8" s="3">
        <v>15</v>
      </c>
      <c r="C8" s="3">
        <v>6</v>
      </c>
      <c r="D8" s="3">
        <v>1</v>
      </c>
      <c r="E8" s="3">
        <v>840.029</v>
      </c>
      <c r="F8" s="4" t="str">
        <f>HYPERLINK("http://141.218.60.56/~jnz1568/getInfo.php?workbook=18_15.xlsx&amp;sheet=A0&amp;row=8&amp;col=6&amp;number=213700000&amp;sourceID=14","213700000")</f>
        <v>213700000</v>
      </c>
      <c r="G8" s="4" t="str">
        <f>HYPERLINK("http://141.218.60.56/~jnz1568/getInfo.php?workbook=18_15.xlsx&amp;sheet=A0&amp;row=8&amp;col=7&amp;number=0&amp;sourceID=14","0")</f>
        <v>0</v>
      </c>
    </row>
    <row r="9" spans="1:7">
      <c r="A9" s="3">
        <v>18</v>
      </c>
      <c r="B9" s="3">
        <v>15</v>
      </c>
      <c r="C9" s="3">
        <v>7</v>
      </c>
      <c r="D9" s="3">
        <v>1</v>
      </c>
      <c r="E9" s="3">
        <v>843.767</v>
      </c>
      <c r="F9" s="4" t="str">
        <f>HYPERLINK("http://141.218.60.56/~jnz1568/getInfo.php?workbook=18_15.xlsx&amp;sheet=A0&amp;row=9&amp;col=6&amp;number=211800000&amp;sourceID=14","211800000")</f>
        <v>211800000</v>
      </c>
      <c r="G9" s="4" t="str">
        <f>HYPERLINK("http://141.218.60.56/~jnz1568/getInfo.php?workbook=18_15.xlsx&amp;sheet=A0&amp;row=9&amp;col=7&amp;number=0&amp;sourceID=14","0")</f>
        <v>0</v>
      </c>
    </row>
    <row r="10" spans="1:7">
      <c r="A10" s="3">
        <v>18</v>
      </c>
      <c r="B10" s="3">
        <v>15</v>
      </c>
      <c r="C10" s="3">
        <v>8</v>
      </c>
      <c r="D10" s="3">
        <v>1</v>
      </c>
      <c r="E10" s="3">
        <v>850.598</v>
      </c>
      <c r="F10" s="4" t="str">
        <f>HYPERLINK("http://141.218.60.56/~jnz1568/getInfo.php?workbook=18_15.xlsx&amp;sheet=A0&amp;row=10&amp;col=6&amp;number=209300000&amp;sourceID=14","209300000")</f>
        <v>209300000</v>
      </c>
      <c r="G10" s="4" t="str">
        <f>HYPERLINK("http://141.218.60.56/~jnz1568/getInfo.php?workbook=18_15.xlsx&amp;sheet=A0&amp;row=10&amp;col=7&amp;number=0&amp;sourceID=14","0")</f>
        <v>0</v>
      </c>
    </row>
    <row r="11" spans="1:7">
      <c r="A11" s="3">
        <v>18</v>
      </c>
      <c r="B11" s="3">
        <v>15</v>
      </c>
      <c r="C11" s="3">
        <v>9</v>
      </c>
      <c r="D11" s="3">
        <v>1</v>
      </c>
      <c r="E11" s="3">
        <v>685.306</v>
      </c>
      <c r="F11" s="4" t="str">
        <f>HYPERLINK("http://141.218.60.56/~jnz1568/getInfo.php?workbook=18_15.xlsx&amp;sheet=A0&amp;row=11&amp;col=6&amp;number=6910&amp;sourceID=14","6910")</f>
        <v>6910</v>
      </c>
      <c r="G11" s="4" t="str">
        <f>HYPERLINK("http://141.218.60.56/~jnz1568/getInfo.php?workbook=18_15.xlsx&amp;sheet=A0&amp;row=11&amp;col=7&amp;number=0&amp;sourceID=14","0")</f>
        <v>0</v>
      </c>
    </row>
    <row r="12" spans="1:7">
      <c r="A12" s="3">
        <v>18</v>
      </c>
      <c r="B12" s="3">
        <v>15</v>
      </c>
      <c r="C12" s="3">
        <v>10</v>
      </c>
      <c r="D12" s="3">
        <v>1</v>
      </c>
      <c r="E12" s="3">
        <v>684.933</v>
      </c>
      <c r="F12" s="4" t="str">
        <f>HYPERLINK("http://141.218.60.56/~jnz1568/getInfo.php?workbook=18_15.xlsx&amp;sheet=A0&amp;row=12&amp;col=6&amp;number=116500&amp;sourceID=14","116500")</f>
        <v>116500</v>
      </c>
      <c r="G12" s="4" t="str">
        <f>HYPERLINK("http://141.218.60.56/~jnz1568/getInfo.php?workbook=18_15.xlsx&amp;sheet=A0&amp;row=12&amp;col=7&amp;number=0&amp;sourceID=14","0")</f>
        <v>0</v>
      </c>
    </row>
    <row r="13" spans="1:7">
      <c r="A13" s="3">
        <v>18</v>
      </c>
      <c r="B13" s="3">
        <v>15</v>
      </c>
      <c r="C13" s="3">
        <v>11</v>
      </c>
      <c r="D13" s="3">
        <v>1</v>
      </c>
      <c r="E13" s="3">
        <v>597.217</v>
      </c>
      <c r="F13" s="4" t="str">
        <f>HYPERLINK("http://141.218.60.56/~jnz1568/getInfo.php?workbook=18_15.xlsx&amp;sheet=A0&amp;row=13&amp;col=6&amp;number=11820&amp;sourceID=14","11820")</f>
        <v>11820</v>
      </c>
      <c r="G13" s="4" t="str">
        <f>HYPERLINK("http://141.218.60.56/~jnz1568/getInfo.php?workbook=18_15.xlsx&amp;sheet=A0&amp;row=13&amp;col=7&amp;number=0&amp;sourceID=14","0")</f>
        <v>0</v>
      </c>
    </row>
    <row r="14" spans="1:7">
      <c r="A14" s="3">
        <v>18</v>
      </c>
      <c r="B14" s="3">
        <v>15</v>
      </c>
      <c r="C14" s="3">
        <v>12</v>
      </c>
      <c r="D14" s="3">
        <v>1</v>
      </c>
      <c r="E14" s="3">
        <v>601.134</v>
      </c>
      <c r="F14" s="4" t="str">
        <f>HYPERLINK("http://141.218.60.56/~jnz1568/getInfo.php?workbook=18_15.xlsx&amp;sheet=A0&amp;row=14&amp;col=6&amp;number=184400&amp;sourceID=14","184400")</f>
        <v>184400</v>
      </c>
      <c r="G14" s="4" t="str">
        <f>HYPERLINK("http://141.218.60.56/~jnz1568/getInfo.php?workbook=18_15.xlsx&amp;sheet=A0&amp;row=14&amp;col=7&amp;number=0&amp;sourceID=14","0")</f>
        <v>0</v>
      </c>
    </row>
    <row r="15" spans="1:7">
      <c r="A15" s="3">
        <v>18</v>
      </c>
      <c r="B15" s="3">
        <v>15</v>
      </c>
      <c r="C15" s="3">
        <v>13</v>
      </c>
      <c r="D15" s="3">
        <v>1</v>
      </c>
      <c r="E15" s="3">
        <v>562.323</v>
      </c>
      <c r="F15" s="4" t="str">
        <f>HYPERLINK("http://141.218.60.56/~jnz1568/getInfo.php?workbook=18_15.xlsx&amp;sheet=A0&amp;row=15&amp;col=6&amp;number=1599000&amp;sourceID=14","1599000")</f>
        <v>1599000</v>
      </c>
      <c r="G15" s="4" t="str">
        <f>HYPERLINK("http://141.218.60.56/~jnz1568/getInfo.php?workbook=18_15.xlsx&amp;sheet=A0&amp;row=15&amp;col=7&amp;number=0&amp;sourceID=14","0")</f>
        <v>0</v>
      </c>
    </row>
    <row r="16" spans="1:7">
      <c r="A16" s="3">
        <v>18</v>
      </c>
      <c r="B16" s="3">
        <v>15</v>
      </c>
      <c r="C16" s="3">
        <v>14</v>
      </c>
      <c r="D16" s="3">
        <v>1</v>
      </c>
      <c r="E16" s="3">
        <v>553.459</v>
      </c>
      <c r="F16" s="4" t="str">
        <f>HYPERLINK("http://141.218.60.56/~jnz1568/getInfo.php?workbook=18_15.xlsx&amp;sheet=A0&amp;row=16&amp;col=6&amp;number=17870&amp;sourceID=14","17870")</f>
        <v>17870</v>
      </c>
      <c r="G16" s="4" t="str">
        <f>HYPERLINK("http://141.218.60.56/~jnz1568/getInfo.php?workbook=18_15.xlsx&amp;sheet=A0&amp;row=16&amp;col=7&amp;number=0&amp;sourceID=14","0")</f>
        <v>0</v>
      </c>
    </row>
    <row r="17" spans="1:7">
      <c r="A17" s="3">
        <v>18</v>
      </c>
      <c r="B17" s="3">
        <v>15</v>
      </c>
      <c r="C17" s="3">
        <v>15</v>
      </c>
      <c r="D17" s="3">
        <v>1</v>
      </c>
      <c r="E17" s="3">
        <v>552.39</v>
      </c>
      <c r="F17" s="4" t="str">
        <f>HYPERLINK("http://141.218.60.56/~jnz1568/getInfo.php?workbook=18_15.xlsx&amp;sheet=A0&amp;row=17&amp;col=6&amp;number=46870&amp;sourceID=14","46870")</f>
        <v>46870</v>
      </c>
      <c r="G17" s="4" t="str">
        <f>HYPERLINK("http://141.218.60.56/~jnz1568/getInfo.php?workbook=18_15.xlsx&amp;sheet=A0&amp;row=17&amp;col=7&amp;number=0&amp;sourceID=14","0")</f>
        <v>0</v>
      </c>
    </row>
    <row r="18" spans="1:7">
      <c r="A18" s="3">
        <v>18</v>
      </c>
      <c r="B18" s="3">
        <v>15</v>
      </c>
      <c r="C18" s="3">
        <v>18</v>
      </c>
      <c r="D18" s="3">
        <v>1</v>
      </c>
      <c r="E18" s="3">
        <v>533.933</v>
      </c>
      <c r="F18" s="4" t="str">
        <f>HYPERLINK("http://141.218.60.56/~jnz1568/getInfo.php?workbook=18_15.xlsx&amp;sheet=A0&amp;row=18&amp;col=6&amp;number=1306000&amp;sourceID=14","1306000")</f>
        <v>1306000</v>
      </c>
      <c r="G18" s="4" t="str">
        <f>HYPERLINK("http://141.218.60.56/~jnz1568/getInfo.php?workbook=18_15.xlsx&amp;sheet=A0&amp;row=18&amp;col=7&amp;number=0&amp;sourceID=14","0")</f>
        <v>0</v>
      </c>
    </row>
    <row r="19" spans="1:7">
      <c r="A19" s="3">
        <v>18</v>
      </c>
      <c r="B19" s="3">
        <v>15</v>
      </c>
      <c r="C19" s="3">
        <v>19</v>
      </c>
      <c r="D19" s="3">
        <v>1</v>
      </c>
      <c r="E19" s="3">
        <v>533.627</v>
      </c>
      <c r="F19" s="4" t="str">
        <f>HYPERLINK("http://141.218.60.56/~jnz1568/getInfo.php?workbook=18_15.xlsx&amp;sheet=A0&amp;row=19&amp;col=6&amp;number=4297000&amp;sourceID=14","4297000")</f>
        <v>4297000</v>
      </c>
      <c r="G19" s="4" t="str">
        <f>HYPERLINK("http://141.218.60.56/~jnz1568/getInfo.php?workbook=18_15.xlsx&amp;sheet=A0&amp;row=19&amp;col=7&amp;number=0&amp;sourceID=14","0")</f>
        <v>0</v>
      </c>
    </row>
    <row r="20" spans="1:7">
      <c r="A20" s="3">
        <v>18</v>
      </c>
      <c r="B20" s="3">
        <v>15</v>
      </c>
      <c r="C20" s="3">
        <v>20</v>
      </c>
      <c r="D20" s="3">
        <v>1</v>
      </c>
      <c r="E20" s="3">
        <v>532.423</v>
      </c>
      <c r="F20" s="4" t="str">
        <f>HYPERLINK("http://141.218.60.56/~jnz1568/getInfo.php?workbook=18_15.xlsx&amp;sheet=A0&amp;row=20&amp;col=6&amp;number=5610000&amp;sourceID=14","5610000")</f>
        <v>5610000</v>
      </c>
      <c r="G20" s="4" t="str">
        <f>HYPERLINK("http://141.218.60.56/~jnz1568/getInfo.php?workbook=18_15.xlsx&amp;sheet=A0&amp;row=20&amp;col=7&amp;number=0&amp;sourceID=14","0")</f>
        <v>0</v>
      </c>
    </row>
    <row r="21" spans="1:7">
      <c r="A21" s="3">
        <v>18</v>
      </c>
      <c r="B21" s="3">
        <v>15</v>
      </c>
      <c r="C21" s="3">
        <v>21</v>
      </c>
      <c r="D21" s="3">
        <v>1</v>
      </c>
      <c r="E21" s="3">
        <v>529.595</v>
      </c>
      <c r="F21" s="4" t="str">
        <f>HYPERLINK("http://141.218.60.56/~jnz1568/getInfo.php?workbook=18_15.xlsx&amp;sheet=A0&amp;row=21&amp;col=6&amp;number=1.17&amp;sourceID=14","1.17")</f>
        <v>1.17</v>
      </c>
      <c r="G21" s="4" t="str">
        <f>HYPERLINK("http://141.218.60.56/~jnz1568/getInfo.php?workbook=18_15.xlsx&amp;sheet=A0&amp;row=21&amp;col=7&amp;number=0&amp;sourceID=14","0")</f>
        <v>0</v>
      </c>
    </row>
    <row r="22" spans="1:7">
      <c r="A22" s="3">
        <v>18</v>
      </c>
      <c r="B22" s="3">
        <v>15</v>
      </c>
      <c r="C22" s="3">
        <v>22</v>
      </c>
      <c r="D22" s="3">
        <v>1</v>
      </c>
      <c r="E22" s="3">
        <v>-527.145</v>
      </c>
      <c r="F22" s="4" t="str">
        <f>HYPERLINK("http://141.218.60.56/~jnz1568/getInfo.php?workbook=18_15.xlsx&amp;sheet=A0&amp;row=22&amp;col=6&amp;number=374200&amp;sourceID=14","374200")</f>
        <v>374200</v>
      </c>
      <c r="G22" s="4" t="str">
        <f>HYPERLINK("http://141.218.60.56/~jnz1568/getInfo.php?workbook=18_15.xlsx&amp;sheet=A0&amp;row=22&amp;col=7&amp;number=0&amp;sourceID=14","0")</f>
        <v>0</v>
      </c>
    </row>
    <row r="23" spans="1:7">
      <c r="A23" s="3">
        <v>18</v>
      </c>
      <c r="B23" s="3">
        <v>15</v>
      </c>
      <c r="C23" s="3">
        <v>23</v>
      </c>
      <c r="D23" s="3">
        <v>1</v>
      </c>
      <c r="E23" s="3">
        <v>-527.145</v>
      </c>
      <c r="F23" s="4" t="str">
        <f>HYPERLINK("http://141.218.60.56/~jnz1568/getInfo.php?workbook=18_15.xlsx&amp;sheet=A0&amp;row=23&amp;col=6&amp;number=0.124&amp;sourceID=14","0.124")</f>
        <v>0.124</v>
      </c>
      <c r="G23" s="4" t="str">
        <f>HYPERLINK("http://141.218.60.56/~jnz1568/getInfo.php?workbook=18_15.xlsx&amp;sheet=A0&amp;row=23&amp;col=7&amp;number=0&amp;sourceID=14","0")</f>
        <v>0</v>
      </c>
    </row>
    <row r="24" spans="1:7">
      <c r="A24" s="3">
        <v>18</v>
      </c>
      <c r="B24" s="3">
        <v>15</v>
      </c>
      <c r="C24" s="3">
        <v>26</v>
      </c>
      <c r="D24" s="3">
        <v>1</v>
      </c>
      <c r="E24" s="3">
        <v>451.21</v>
      </c>
      <c r="F24" s="4" t="str">
        <f>HYPERLINK("http://141.218.60.56/~jnz1568/getInfo.php?workbook=18_15.xlsx&amp;sheet=A0&amp;row=24&amp;col=6&amp;number=32180000000&amp;sourceID=14","32180000000")</f>
        <v>32180000000</v>
      </c>
      <c r="G24" s="4" t="str">
        <f>HYPERLINK("http://141.218.60.56/~jnz1568/getInfo.php?workbook=18_15.xlsx&amp;sheet=A0&amp;row=24&amp;col=7&amp;number=0&amp;sourceID=14","0")</f>
        <v>0</v>
      </c>
    </row>
    <row r="25" spans="1:7">
      <c r="A25" s="3">
        <v>18</v>
      </c>
      <c r="B25" s="3">
        <v>15</v>
      </c>
      <c r="C25" s="3">
        <v>27</v>
      </c>
      <c r="D25" s="3">
        <v>1</v>
      </c>
      <c r="E25" s="3">
        <v>451.875</v>
      </c>
      <c r="F25" s="4" t="str">
        <f>HYPERLINK("http://141.218.60.56/~jnz1568/getInfo.php?workbook=18_15.xlsx&amp;sheet=A0&amp;row=25&amp;col=6&amp;number=31930000000&amp;sourceID=14","31930000000")</f>
        <v>31930000000</v>
      </c>
      <c r="G25" s="4" t="str">
        <f>HYPERLINK("http://141.218.60.56/~jnz1568/getInfo.php?workbook=18_15.xlsx&amp;sheet=A0&amp;row=25&amp;col=7&amp;number=0&amp;sourceID=14","0")</f>
        <v>0</v>
      </c>
    </row>
    <row r="26" spans="1:7">
      <c r="A26" s="3">
        <v>18</v>
      </c>
      <c r="B26" s="3">
        <v>15</v>
      </c>
      <c r="C26" s="3">
        <v>28</v>
      </c>
      <c r="D26" s="3">
        <v>1</v>
      </c>
      <c r="E26" s="3">
        <v>452.928</v>
      </c>
      <c r="F26" s="4" t="str">
        <f>HYPERLINK("http://141.218.60.56/~jnz1568/getInfo.php?workbook=18_15.xlsx&amp;sheet=A0&amp;row=26&amp;col=6&amp;number=31700000000&amp;sourceID=14","31700000000")</f>
        <v>31700000000</v>
      </c>
      <c r="G26" s="4" t="str">
        <f>HYPERLINK("http://141.218.60.56/~jnz1568/getInfo.php?workbook=18_15.xlsx&amp;sheet=A0&amp;row=26&amp;col=7&amp;number=0&amp;sourceID=14","0")</f>
        <v>0</v>
      </c>
    </row>
    <row r="27" spans="1:7">
      <c r="A27" s="3">
        <v>18</v>
      </c>
      <c r="B27" s="3">
        <v>15</v>
      </c>
      <c r="C27" s="3">
        <v>29</v>
      </c>
      <c r="D27" s="3">
        <v>1</v>
      </c>
      <c r="E27" s="3">
        <v>446.395</v>
      </c>
      <c r="F27" s="4" t="str">
        <f>HYPERLINK("http://141.218.60.56/~jnz1568/getInfo.php?workbook=18_15.xlsx&amp;sheet=A0&amp;row=27&amp;col=6&amp;number=42760000&amp;sourceID=14","42760000")</f>
        <v>42760000</v>
      </c>
      <c r="G27" s="4" t="str">
        <f>HYPERLINK("http://141.218.60.56/~jnz1568/getInfo.php?workbook=18_15.xlsx&amp;sheet=A0&amp;row=27&amp;col=7&amp;number=0&amp;sourceID=14","0")</f>
        <v>0</v>
      </c>
    </row>
    <row r="28" spans="1:7">
      <c r="A28" s="3">
        <v>18</v>
      </c>
      <c r="B28" s="3">
        <v>15</v>
      </c>
      <c r="C28" s="3">
        <v>30</v>
      </c>
      <c r="D28" s="3">
        <v>1</v>
      </c>
      <c r="E28" s="3">
        <v>448.522</v>
      </c>
      <c r="F28" s="4" t="str">
        <f>HYPERLINK("http://141.218.60.56/~jnz1568/getInfo.php?workbook=18_15.xlsx&amp;sheet=A0&amp;row=28&amp;col=6&amp;number=62420000&amp;sourceID=14","62420000")</f>
        <v>62420000</v>
      </c>
      <c r="G28" s="4" t="str">
        <f>HYPERLINK("http://141.218.60.56/~jnz1568/getInfo.php?workbook=18_15.xlsx&amp;sheet=A0&amp;row=28&amp;col=7&amp;number=0&amp;sourceID=14","0")</f>
        <v>0</v>
      </c>
    </row>
    <row r="29" spans="1:7">
      <c r="A29" s="3">
        <v>18</v>
      </c>
      <c r="B29" s="3">
        <v>15</v>
      </c>
      <c r="C29" s="3">
        <v>3</v>
      </c>
      <c r="D29" s="3">
        <v>2</v>
      </c>
      <c r="E29" s="3">
        <v>775794.25</v>
      </c>
      <c r="F29" s="4" t="str">
        <f>HYPERLINK("http://141.218.60.56/~jnz1568/getInfo.php?workbook=18_15.xlsx&amp;sheet=A0&amp;row=29&amp;col=6&amp;number=2.287e-05&amp;sourceID=14","2.287e-05")</f>
        <v>2.287e-05</v>
      </c>
      <c r="G29" s="4" t="str">
        <f>HYPERLINK("http://141.218.60.56/~jnz1568/getInfo.php?workbook=18_15.xlsx&amp;sheet=A0&amp;row=29&amp;col=7&amp;number=0&amp;sourceID=14","0")</f>
        <v>0</v>
      </c>
    </row>
    <row r="30" spans="1:7">
      <c r="A30" s="3">
        <v>18</v>
      </c>
      <c r="B30" s="3">
        <v>15</v>
      </c>
      <c r="C30" s="3">
        <v>4</v>
      </c>
      <c r="D30" s="3">
        <v>2</v>
      </c>
      <c r="E30" s="3">
        <v>7264.763</v>
      </c>
      <c r="F30" s="4" t="str">
        <f>HYPERLINK("http://141.218.60.56/~jnz1568/getInfo.php?workbook=18_15.xlsx&amp;sheet=A0&amp;row=30&amp;col=6&amp;number=0.666&amp;sourceID=14","0.666")</f>
        <v>0.666</v>
      </c>
      <c r="G30" s="4" t="str">
        <f>HYPERLINK("http://141.218.60.56/~jnz1568/getInfo.php?workbook=18_15.xlsx&amp;sheet=A0&amp;row=30&amp;col=7&amp;number=0&amp;sourceID=14","0")</f>
        <v>0</v>
      </c>
    </row>
    <row r="31" spans="1:7">
      <c r="A31" s="3">
        <v>18</v>
      </c>
      <c r="B31" s="3">
        <v>15</v>
      </c>
      <c r="C31" s="3">
        <v>5</v>
      </c>
      <c r="D31" s="3">
        <v>2</v>
      </c>
      <c r="E31" s="3">
        <v>7172.482</v>
      </c>
      <c r="F31" s="4" t="str">
        <f>HYPERLINK("http://141.218.60.56/~jnz1568/getInfo.php?workbook=18_15.xlsx&amp;sheet=A0&amp;row=31&amp;col=6&amp;number=0.8915&amp;sourceID=14","0.8915")</f>
        <v>0.8915</v>
      </c>
      <c r="G31" s="4" t="str">
        <f>HYPERLINK("http://141.218.60.56/~jnz1568/getInfo.php?workbook=18_15.xlsx&amp;sheet=A0&amp;row=31&amp;col=7&amp;number=0&amp;sourceID=14","0")</f>
        <v>0</v>
      </c>
    </row>
    <row r="32" spans="1:7">
      <c r="A32" s="3">
        <v>18</v>
      </c>
      <c r="B32" s="3">
        <v>15</v>
      </c>
      <c r="C32" s="3">
        <v>6</v>
      </c>
      <c r="D32" s="3">
        <v>2</v>
      </c>
      <c r="E32" s="3">
        <v>1020.896</v>
      </c>
      <c r="F32" s="4" t="str">
        <f>HYPERLINK("http://141.218.60.56/~jnz1568/getInfo.php?workbook=18_15.xlsx&amp;sheet=A0&amp;row=32&amp;col=6&amp;number=28460&amp;sourceID=14","28460")</f>
        <v>28460</v>
      </c>
      <c r="G32" s="4" t="str">
        <f>HYPERLINK("http://141.218.60.56/~jnz1568/getInfo.php?workbook=18_15.xlsx&amp;sheet=A0&amp;row=32&amp;col=7&amp;number=0&amp;sourceID=14","0")</f>
        <v>0</v>
      </c>
    </row>
    <row r="33" spans="1:7">
      <c r="A33" s="3">
        <v>18</v>
      </c>
      <c r="B33" s="3">
        <v>15</v>
      </c>
      <c r="C33" s="3">
        <v>7</v>
      </c>
      <c r="D33" s="3">
        <v>2</v>
      </c>
      <c r="E33" s="3">
        <v>1026.422</v>
      </c>
      <c r="F33" s="4" t="str">
        <f>HYPERLINK("http://141.218.60.56/~jnz1568/getInfo.php?workbook=18_15.xlsx&amp;sheet=A0&amp;row=33&amp;col=6&amp;number=53430&amp;sourceID=14","53430")</f>
        <v>53430</v>
      </c>
      <c r="G33" s="4" t="str">
        <f>HYPERLINK("http://141.218.60.56/~jnz1568/getInfo.php?workbook=18_15.xlsx&amp;sheet=A0&amp;row=33&amp;col=7&amp;number=0&amp;sourceID=14","0")</f>
        <v>0</v>
      </c>
    </row>
    <row r="34" spans="1:7">
      <c r="A34" s="3">
        <v>18</v>
      </c>
      <c r="B34" s="3">
        <v>15</v>
      </c>
      <c r="C34" s="3">
        <v>8</v>
      </c>
      <c r="D34" s="3">
        <v>2</v>
      </c>
      <c r="E34" s="3">
        <v>1036.548</v>
      </c>
      <c r="F34" s="4" t="str">
        <f>HYPERLINK("http://141.218.60.56/~jnz1568/getInfo.php?workbook=18_15.xlsx&amp;sheet=A0&amp;row=34&amp;col=6&amp;number=28270&amp;sourceID=14","28270")</f>
        <v>28270</v>
      </c>
      <c r="G34" s="4" t="str">
        <f>HYPERLINK("http://141.218.60.56/~jnz1568/getInfo.php?workbook=18_15.xlsx&amp;sheet=A0&amp;row=34&amp;col=7&amp;number=0&amp;sourceID=14","0")</f>
        <v>0</v>
      </c>
    </row>
    <row r="35" spans="1:7">
      <c r="A35" s="3">
        <v>18</v>
      </c>
      <c r="B35" s="3">
        <v>15</v>
      </c>
      <c r="C35" s="3">
        <v>9</v>
      </c>
      <c r="D35" s="3">
        <v>2</v>
      </c>
      <c r="E35" s="3">
        <v>801.09</v>
      </c>
      <c r="F35" s="4" t="str">
        <f>HYPERLINK("http://141.218.60.56/~jnz1568/getInfo.php?workbook=18_15.xlsx&amp;sheet=A0&amp;row=35&amp;col=6&amp;number=364900000&amp;sourceID=14","364900000")</f>
        <v>364900000</v>
      </c>
      <c r="G35" s="4" t="str">
        <f>HYPERLINK("http://141.218.60.56/~jnz1568/getInfo.php?workbook=18_15.xlsx&amp;sheet=A0&amp;row=35&amp;col=7&amp;number=0&amp;sourceID=14","0")</f>
        <v>0</v>
      </c>
    </row>
    <row r="36" spans="1:7">
      <c r="A36" s="3">
        <v>18</v>
      </c>
      <c r="B36" s="3">
        <v>15</v>
      </c>
      <c r="C36" s="3">
        <v>10</v>
      </c>
      <c r="D36" s="3">
        <v>2</v>
      </c>
      <c r="E36" s="3">
        <v>800.58</v>
      </c>
      <c r="F36" s="4" t="str">
        <f>HYPERLINK("http://141.218.60.56/~jnz1568/getInfo.php?workbook=18_15.xlsx&amp;sheet=A0&amp;row=36&amp;col=6&amp;number=18790000&amp;sourceID=14","18790000")</f>
        <v>18790000</v>
      </c>
      <c r="G36" s="4" t="str">
        <f>HYPERLINK("http://141.218.60.56/~jnz1568/getInfo.php?workbook=18_15.xlsx&amp;sheet=A0&amp;row=36&amp;col=7&amp;number=0&amp;sourceID=14","0")</f>
        <v>0</v>
      </c>
    </row>
    <row r="37" spans="1:7">
      <c r="A37" s="3">
        <v>18</v>
      </c>
      <c r="B37" s="3">
        <v>15</v>
      </c>
      <c r="C37" s="3">
        <v>11</v>
      </c>
      <c r="D37" s="3">
        <v>2</v>
      </c>
      <c r="E37" s="3">
        <v>683.28</v>
      </c>
      <c r="F37" s="4" t="str">
        <f>HYPERLINK("http://141.218.60.56/~jnz1568/getInfo.php?workbook=18_15.xlsx&amp;sheet=A0&amp;row=37&amp;col=6&amp;number=922500000&amp;sourceID=14","922500000")</f>
        <v>922500000</v>
      </c>
      <c r="G37" s="4" t="str">
        <f>HYPERLINK("http://141.218.60.56/~jnz1568/getInfo.php?workbook=18_15.xlsx&amp;sheet=A0&amp;row=37&amp;col=7&amp;number=0&amp;sourceID=14","0")</f>
        <v>0</v>
      </c>
    </row>
    <row r="38" spans="1:7">
      <c r="A38" s="3">
        <v>18</v>
      </c>
      <c r="B38" s="3">
        <v>15</v>
      </c>
      <c r="C38" s="3">
        <v>12</v>
      </c>
      <c r="D38" s="3">
        <v>2</v>
      </c>
      <c r="E38" s="3">
        <v>688.412</v>
      </c>
      <c r="F38" s="4" t="str">
        <f>HYPERLINK("http://141.218.60.56/~jnz1568/getInfo.php?workbook=18_15.xlsx&amp;sheet=A0&amp;row=38&amp;col=6&amp;number=85220000&amp;sourceID=14","85220000")</f>
        <v>85220000</v>
      </c>
      <c r="G38" s="4" t="str">
        <f>HYPERLINK("http://141.218.60.56/~jnz1568/getInfo.php?workbook=18_15.xlsx&amp;sheet=A0&amp;row=38&amp;col=7&amp;number=0&amp;sourceID=14","0")</f>
        <v>0</v>
      </c>
    </row>
    <row r="39" spans="1:7">
      <c r="A39" s="3">
        <v>18</v>
      </c>
      <c r="B39" s="3">
        <v>15</v>
      </c>
      <c r="C39" s="3">
        <v>13</v>
      </c>
      <c r="D39" s="3">
        <v>2</v>
      </c>
      <c r="E39" s="3">
        <v>637.986</v>
      </c>
      <c r="F39" s="4" t="str">
        <f>HYPERLINK("http://141.218.60.56/~jnz1568/getInfo.php?workbook=18_15.xlsx&amp;sheet=A0&amp;row=39&amp;col=6&amp;number=7809000&amp;sourceID=14","7809000")</f>
        <v>7809000</v>
      </c>
      <c r="G39" s="4" t="str">
        <f>HYPERLINK("http://141.218.60.56/~jnz1568/getInfo.php?workbook=18_15.xlsx&amp;sheet=A0&amp;row=39&amp;col=7&amp;number=0&amp;sourceID=14","0")</f>
        <v>0</v>
      </c>
    </row>
    <row r="40" spans="1:7">
      <c r="A40" s="3">
        <v>18</v>
      </c>
      <c r="B40" s="3">
        <v>15</v>
      </c>
      <c r="C40" s="3">
        <v>14</v>
      </c>
      <c r="D40" s="3">
        <v>2</v>
      </c>
      <c r="E40" s="3">
        <v>626.599</v>
      </c>
      <c r="F40" s="4" t="str">
        <f>HYPERLINK("http://141.218.60.56/~jnz1568/getInfo.php?workbook=18_15.xlsx&amp;sheet=A0&amp;row=40&amp;col=6&amp;number=1515000&amp;sourceID=14","1515000")</f>
        <v>1515000</v>
      </c>
      <c r="G40" s="4" t="str">
        <f>HYPERLINK("http://141.218.60.56/~jnz1568/getInfo.php?workbook=18_15.xlsx&amp;sheet=A0&amp;row=40&amp;col=7&amp;number=0&amp;sourceID=14","0")</f>
        <v>0</v>
      </c>
    </row>
    <row r="41" spans="1:7">
      <c r="A41" s="3">
        <v>18</v>
      </c>
      <c r="B41" s="3">
        <v>15</v>
      </c>
      <c r="C41" s="3">
        <v>15</v>
      </c>
      <c r="D41" s="3">
        <v>2</v>
      </c>
      <c r="E41" s="3">
        <v>625.229</v>
      </c>
      <c r="F41" s="4" t="str">
        <f>HYPERLINK("http://141.218.60.56/~jnz1568/getInfo.php?workbook=18_15.xlsx&amp;sheet=A0&amp;row=41&amp;col=6&amp;number=347200&amp;sourceID=14","347200")</f>
        <v>347200</v>
      </c>
      <c r="G41" s="4" t="str">
        <f>HYPERLINK("http://141.218.60.56/~jnz1568/getInfo.php?workbook=18_15.xlsx&amp;sheet=A0&amp;row=41&amp;col=7&amp;number=0&amp;sourceID=14","0")</f>
        <v>0</v>
      </c>
    </row>
    <row r="42" spans="1:7">
      <c r="A42" s="3">
        <v>18</v>
      </c>
      <c r="B42" s="3">
        <v>15</v>
      </c>
      <c r="C42" s="3">
        <v>18</v>
      </c>
      <c r="D42" s="3">
        <v>2</v>
      </c>
      <c r="E42" s="3">
        <v>601.688</v>
      </c>
      <c r="F42" s="4" t="str">
        <f>HYPERLINK("http://141.218.60.56/~jnz1568/getInfo.php?workbook=18_15.xlsx&amp;sheet=A0&amp;row=42&amp;col=6&amp;number=4176000&amp;sourceID=14","4176000")</f>
        <v>4176000</v>
      </c>
      <c r="G42" s="4" t="str">
        <f>HYPERLINK("http://141.218.60.56/~jnz1568/getInfo.php?workbook=18_15.xlsx&amp;sheet=A0&amp;row=42&amp;col=7&amp;number=0&amp;sourceID=14","0")</f>
        <v>0</v>
      </c>
    </row>
    <row r="43" spans="1:7">
      <c r="A43" s="3">
        <v>18</v>
      </c>
      <c r="B43" s="3">
        <v>15</v>
      </c>
      <c r="C43" s="3">
        <v>19</v>
      </c>
      <c r="D43" s="3">
        <v>2</v>
      </c>
      <c r="E43" s="3">
        <v>601.3</v>
      </c>
      <c r="F43" s="4" t="str">
        <f>HYPERLINK("http://141.218.60.56/~jnz1568/getInfo.php?workbook=18_15.xlsx&amp;sheet=A0&amp;row=43&amp;col=6&amp;number=43650&amp;sourceID=14","43650")</f>
        <v>43650</v>
      </c>
      <c r="G43" s="4" t="str">
        <f>HYPERLINK("http://141.218.60.56/~jnz1568/getInfo.php?workbook=18_15.xlsx&amp;sheet=A0&amp;row=43&amp;col=7&amp;number=0&amp;sourceID=14","0")</f>
        <v>0</v>
      </c>
    </row>
    <row r="44" spans="1:7">
      <c r="A44" s="3">
        <v>18</v>
      </c>
      <c r="B44" s="3">
        <v>15</v>
      </c>
      <c r="C44" s="3">
        <v>20</v>
      </c>
      <c r="D44" s="3">
        <v>2</v>
      </c>
      <c r="E44" s="3">
        <v>599.772</v>
      </c>
      <c r="F44" s="4" t="str">
        <f>HYPERLINK("http://141.218.60.56/~jnz1568/getInfo.php?workbook=18_15.xlsx&amp;sheet=A0&amp;row=44&amp;col=6&amp;number=126000&amp;sourceID=14","126000")</f>
        <v>126000</v>
      </c>
      <c r="G44" s="4" t="str">
        <f>HYPERLINK("http://141.218.60.56/~jnz1568/getInfo.php?workbook=18_15.xlsx&amp;sheet=A0&amp;row=44&amp;col=7&amp;number=0&amp;sourceID=14","0")</f>
        <v>0</v>
      </c>
    </row>
    <row r="45" spans="1:7">
      <c r="A45" s="3">
        <v>18</v>
      </c>
      <c r="B45" s="3">
        <v>15</v>
      </c>
      <c r="C45" s="3">
        <v>21</v>
      </c>
      <c r="D45" s="3">
        <v>2</v>
      </c>
      <c r="E45" s="3">
        <v>596.185</v>
      </c>
      <c r="F45" s="4" t="str">
        <f>HYPERLINK("http://141.218.60.56/~jnz1568/getInfo.php?workbook=18_15.xlsx&amp;sheet=A0&amp;row=45&amp;col=6&amp;number=0.2261&amp;sourceID=14","0.2261")</f>
        <v>0.2261</v>
      </c>
      <c r="G45" s="4" t="str">
        <f>HYPERLINK("http://141.218.60.56/~jnz1568/getInfo.php?workbook=18_15.xlsx&amp;sheet=A0&amp;row=45&amp;col=7&amp;number=0&amp;sourceID=14","0")</f>
        <v>0</v>
      </c>
    </row>
    <row r="46" spans="1:7">
      <c r="A46" s="3">
        <v>18</v>
      </c>
      <c r="B46" s="3">
        <v>15</v>
      </c>
      <c r="C46" s="3">
        <v>22</v>
      </c>
      <c r="D46" s="3">
        <v>2</v>
      </c>
      <c r="E46" s="3">
        <v>-593.341</v>
      </c>
      <c r="F46" s="4" t="str">
        <f>HYPERLINK("http://141.218.60.56/~jnz1568/getInfo.php?workbook=18_15.xlsx&amp;sheet=A0&amp;row=46&amp;col=6&amp;number=1841000&amp;sourceID=14","1841000")</f>
        <v>1841000</v>
      </c>
      <c r="G46" s="4" t="str">
        <f>HYPERLINK("http://141.218.60.56/~jnz1568/getInfo.php?workbook=18_15.xlsx&amp;sheet=A0&amp;row=46&amp;col=7&amp;number=0&amp;sourceID=14","0")</f>
        <v>0</v>
      </c>
    </row>
    <row r="47" spans="1:7">
      <c r="A47" s="3">
        <v>18</v>
      </c>
      <c r="B47" s="3">
        <v>15</v>
      </c>
      <c r="C47" s="3">
        <v>23</v>
      </c>
      <c r="D47" s="3">
        <v>2</v>
      </c>
      <c r="E47" s="3">
        <v>-593.341</v>
      </c>
      <c r="F47" s="4" t="str">
        <f>HYPERLINK("http://141.218.60.56/~jnz1568/getInfo.php?workbook=18_15.xlsx&amp;sheet=A0&amp;row=47&amp;col=6&amp;number=1.005&amp;sourceID=14","1.005")</f>
        <v>1.005</v>
      </c>
      <c r="G47" s="4" t="str">
        <f>HYPERLINK("http://141.218.60.56/~jnz1568/getInfo.php?workbook=18_15.xlsx&amp;sheet=A0&amp;row=47&amp;col=7&amp;number=0&amp;sourceID=14","0")</f>
        <v>0</v>
      </c>
    </row>
    <row r="48" spans="1:7">
      <c r="A48" s="3">
        <v>18</v>
      </c>
      <c r="B48" s="3">
        <v>15</v>
      </c>
      <c r="C48" s="3">
        <v>24</v>
      </c>
      <c r="D48" s="3">
        <v>2</v>
      </c>
      <c r="E48" s="3">
        <v>535.705</v>
      </c>
      <c r="F48" s="4" t="str">
        <f>HYPERLINK("http://141.218.60.56/~jnz1568/getInfo.php?workbook=18_15.xlsx&amp;sheet=A0&amp;row=48&amp;col=6&amp;number=0.7485&amp;sourceID=14","0.7485")</f>
        <v>0.7485</v>
      </c>
      <c r="G48" s="4" t="str">
        <f>HYPERLINK("http://141.218.60.56/~jnz1568/getInfo.php?workbook=18_15.xlsx&amp;sheet=A0&amp;row=48&amp;col=7&amp;number=0&amp;sourceID=14","0")</f>
        <v>0</v>
      </c>
    </row>
    <row r="49" spans="1:7">
      <c r="A49" s="3">
        <v>18</v>
      </c>
      <c r="B49" s="3">
        <v>15</v>
      </c>
      <c r="C49" s="3">
        <v>26</v>
      </c>
      <c r="D49" s="3">
        <v>2</v>
      </c>
      <c r="E49" s="3">
        <v>498.664</v>
      </c>
      <c r="F49" s="4" t="str">
        <f>HYPERLINK("http://141.218.60.56/~jnz1568/getInfo.php?workbook=18_15.xlsx&amp;sheet=A0&amp;row=49&amp;col=6&amp;number=21040000&amp;sourceID=14","21040000")</f>
        <v>21040000</v>
      </c>
      <c r="G49" s="4" t="str">
        <f>HYPERLINK("http://141.218.60.56/~jnz1568/getInfo.php?workbook=18_15.xlsx&amp;sheet=A0&amp;row=49&amp;col=7&amp;number=0&amp;sourceID=14","0")</f>
        <v>0</v>
      </c>
    </row>
    <row r="50" spans="1:7">
      <c r="A50" s="3">
        <v>18</v>
      </c>
      <c r="B50" s="3">
        <v>15</v>
      </c>
      <c r="C50" s="3">
        <v>27</v>
      </c>
      <c r="D50" s="3">
        <v>2</v>
      </c>
      <c r="E50" s="3">
        <v>499.476</v>
      </c>
      <c r="F50" s="4" t="str">
        <f>HYPERLINK("http://141.218.60.56/~jnz1568/getInfo.php?workbook=18_15.xlsx&amp;sheet=A0&amp;row=50&amp;col=6&amp;number=510800&amp;sourceID=14","510800")</f>
        <v>510800</v>
      </c>
      <c r="G50" s="4" t="str">
        <f>HYPERLINK("http://141.218.60.56/~jnz1568/getInfo.php?workbook=18_15.xlsx&amp;sheet=A0&amp;row=50&amp;col=7&amp;number=0&amp;sourceID=14","0")</f>
        <v>0</v>
      </c>
    </row>
    <row r="51" spans="1:7">
      <c r="A51" s="3">
        <v>18</v>
      </c>
      <c r="B51" s="3">
        <v>15</v>
      </c>
      <c r="C51" s="3">
        <v>28</v>
      </c>
      <c r="D51" s="3">
        <v>2</v>
      </c>
      <c r="E51" s="3">
        <v>500.763</v>
      </c>
      <c r="F51" s="4" t="str">
        <f>HYPERLINK("http://141.218.60.56/~jnz1568/getInfo.php?workbook=18_15.xlsx&amp;sheet=A0&amp;row=51&amp;col=6&amp;number=2552000&amp;sourceID=14","2552000")</f>
        <v>2552000</v>
      </c>
      <c r="G51" s="4" t="str">
        <f>HYPERLINK("http://141.218.60.56/~jnz1568/getInfo.php?workbook=18_15.xlsx&amp;sheet=A0&amp;row=51&amp;col=7&amp;number=0&amp;sourceID=14","0")</f>
        <v>0</v>
      </c>
    </row>
    <row r="52" spans="1:7">
      <c r="A52" s="3">
        <v>18</v>
      </c>
      <c r="B52" s="3">
        <v>15</v>
      </c>
      <c r="C52" s="3">
        <v>29</v>
      </c>
      <c r="D52" s="3">
        <v>2</v>
      </c>
      <c r="E52" s="3">
        <v>492.789</v>
      </c>
      <c r="F52" s="4" t="str">
        <f>HYPERLINK("http://141.218.60.56/~jnz1568/getInfo.php?workbook=18_15.xlsx&amp;sheet=A0&amp;row=52&amp;col=6&amp;number=21840000000&amp;sourceID=14","21840000000")</f>
        <v>21840000000</v>
      </c>
      <c r="G52" s="4" t="str">
        <f>HYPERLINK("http://141.218.60.56/~jnz1568/getInfo.php?workbook=18_15.xlsx&amp;sheet=A0&amp;row=52&amp;col=7&amp;number=0&amp;sourceID=14","0")</f>
        <v>0</v>
      </c>
    </row>
    <row r="53" spans="1:7">
      <c r="A53" s="3">
        <v>18</v>
      </c>
      <c r="B53" s="3">
        <v>15</v>
      </c>
      <c r="C53" s="3">
        <v>30</v>
      </c>
      <c r="D53" s="3">
        <v>2</v>
      </c>
      <c r="E53" s="3">
        <v>495.383</v>
      </c>
      <c r="F53" s="4" t="str">
        <f>HYPERLINK("http://141.218.60.56/~jnz1568/getInfo.php?workbook=18_15.xlsx&amp;sheet=A0&amp;row=53&amp;col=6&amp;number=4421000000&amp;sourceID=14","4421000000")</f>
        <v>4421000000</v>
      </c>
      <c r="G53" s="4" t="str">
        <f>HYPERLINK("http://141.218.60.56/~jnz1568/getInfo.php?workbook=18_15.xlsx&amp;sheet=A0&amp;row=53&amp;col=7&amp;number=0&amp;sourceID=14","0")</f>
        <v>0</v>
      </c>
    </row>
    <row r="54" spans="1:7">
      <c r="A54" s="3">
        <v>18</v>
      </c>
      <c r="B54" s="3">
        <v>15</v>
      </c>
      <c r="C54" s="3">
        <v>4</v>
      </c>
      <c r="D54" s="3">
        <v>3</v>
      </c>
      <c r="E54" s="3">
        <v>7333.435</v>
      </c>
      <c r="F54" s="4" t="str">
        <f>HYPERLINK("http://141.218.60.56/~jnz1568/getInfo.php?workbook=18_15.xlsx&amp;sheet=A0&amp;row=54&amp;col=6&amp;number=0.1179&amp;sourceID=14","0.1179")</f>
        <v>0.1179</v>
      </c>
      <c r="G54" s="4" t="str">
        <f>HYPERLINK("http://141.218.60.56/~jnz1568/getInfo.php?workbook=18_15.xlsx&amp;sheet=A0&amp;row=54&amp;col=7&amp;number=0&amp;sourceID=14","0")</f>
        <v>0</v>
      </c>
    </row>
    <row r="55" spans="1:7">
      <c r="A55" s="3">
        <v>18</v>
      </c>
      <c r="B55" s="3">
        <v>15</v>
      </c>
      <c r="C55" s="3">
        <v>5</v>
      </c>
      <c r="D55" s="3">
        <v>3</v>
      </c>
      <c r="E55" s="3">
        <v>7239.413</v>
      </c>
      <c r="F55" s="4" t="str">
        <f>HYPERLINK("http://141.218.60.56/~jnz1568/getInfo.php?workbook=18_15.xlsx&amp;sheet=A0&amp;row=55&amp;col=6&amp;number=0.6559&amp;sourceID=14","0.6559")</f>
        <v>0.6559</v>
      </c>
      <c r="G55" s="4" t="str">
        <f>HYPERLINK("http://141.218.60.56/~jnz1568/getInfo.php?workbook=18_15.xlsx&amp;sheet=A0&amp;row=55&amp;col=7&amp;number=0&amp;sourceID=14","0")</f>
        <v>0</v>
      </c>
    </row>
    <row r="56" spans="1:7">
      <c r="A56" s="3">
        <v>18</v>
      </c>
      <c r="B56" s="3">
        <v>15</v>
      </c>
      <c r="C56" s="3">
        <v>7</v>
      </c>
      <c r="D56" s="3">
        <v>3</v>
      </c>
      <c r="E56" s="3">
        <v>1027.782</v>
      </c>
      <c r="F56" s="4" t="str">
        <f>HYPERLINK("http://141.218.60.56/~jnz1568/getInfo.php?workbook=18_15.xlsx&amp;sheet=A0&amp;row=56&amp;col=6&amp;number=40360&amp;sourceID=14","40360")</f>
        <v>40360</v>
      </c>
      <c r="G56" s="4" t="str">
        <f>HYPERLINK("http://141.218.60.56/~jnz1568/getInfo.php?workbook=18_15.xlsx&amp;sheet=A0&amp;row=56&amp;col=7&amp;number=0&amp;sourceID=14","0")</f>
        <v>0</v>
      </c>
    </row>
    <row r="57" spans="1:7">
      <c r="A57" s="3">
        <v>18</v>
      </c>
      <c r="B57" s="3">
        <v>15</v>
      </c>
      <c r="C57" s="3">
        <v>8</v>
      </c>
      <c r="D57" s="3">
        <v>3</v>
      </c>
      <c r="E57" s="3">
        <v>1037.935</v>
      </c>
      <c r="F57" s="4" t="str">
        <f>HYPERLINK("http://141.218.60.56/~jnz1568/getInfo.php?workbook=18_15.xlsx&amp;sheet=A0&amp;row=57&amp;col=6&amp;number=203400&amp;sourceID=14","203400")</f>
        <v>203400</v>
      </c>
      <c r="G57" s="4" t="str">
        <f>HYPERLINK("http://141.218.60.56/~jnz1568/getInfo.php?workbook=18_15.xlsx&amp;sheet=A0&amp;row=57&amp;col=7&amp;number=0&amp;sourceID=14","0")</f>
        <v>0</v>
      </c>
    </row>
    <row r="58" spans="1:7">
      <c r="A58" s="3">
        <v>18</v>
      </c>
      <c r="B58" s="3">
        <v>15</v>
      </c>
      <c r="C58" s="3">
        <v>9</v>
      </c>
      <c r="D58" s="3">
        <v>3</v>
      </c>
      <c r="E58" s="3">
        <v>801.918</v>
      </c>
      <c r="F58" s="4" t="str">
        <f>HYPERLINK("http://141.218.60.56/~jnz1568/getInfo.php?workbook=18_15.xlsx&amp;sheet=A0&amp;row=58&amp;col=6&amp;number=25840000&amp;sourceID=14","25840000")</f>
        <v>25840000</v>
      </c>
      <c r="G58" s="4" t="str">
        <f>HYPERLINK("http://141.218.60.56/~jnz1568/getInfo.php?workbook=18_15.xlsx&amp;sheet=A0&amp;row=58&amp;col=7&amp;number=0&amp;sourceID=14","0")</f>
        <v>0</v>
      </c>
    </row>
    <row r="59" spans="1:7">
      <c r="A59" s="3">
        <v>18</v>
      </c>
      <c r="B59" s="3">
        <v>15</v>
      </c>
      <c r="C59" s="3">
        <v>10</v>
      </c>
      <c r="D59" s="3">
        <v>3</v>
      </c>
      <c r="E59" s="3">
        <v>801.407</v>
      </c>
      <c r="F59" s="4" t="str">
        <f>HYPERLINK("http://141.218.60.56/~jnz1568/getInfo.php?workbook=18_15.xlsx&amp;sheet=A0&amp;row=59&amp;col=6&amp;number=350500000&amp;sourceID=14","350500000")</f>
        <v>350500000</v>
      </c>
      <c r="G59" s="4" t="str">
        <f>HYPERLINK("http://141.218.60.56/~jnz1568/getInfo.php?workbook=18_15.xlsx&amp;sheet=A0&amp;row=59&amp;col=7&amp;number=0&amp;sourceID=14","0")</f>
        <v>0</v>
      </c>
    </row>
    <row r="60" spans="1:7">
      <c r="A60" s="3">
        <v>18</v>
      </c>
      <c r="B60" s="3">
        <v>15</v>
      </c>
      <c r="C60" s="3">
        <v>12</v>
      </c>
      <c r="D60" s="3">
        <v>3</v>
      </c>
      <c r="E60" s="3">
        <v>689.023</v>
      </c>
      <c r="F60" s="4" t="str">
        <f>HYPERLINK("http://141.218.60.56/~jnz1568/getInfo.php?workbook=18_15.xlsx&amp;sheet=A0&amp;row=60&amp;col=6&amp;number=842900000&amp;sourceID=14","842900000")</f>
        <v>842900000</v>
      </c>
      <c r="G60" s="4" t="str">
        <f>HYPERLINK("http://141.218.60.56/~jnz1568/getInfo.php?workbook=18_15.xlsx&amp;sheet=A0&amp;row=60&amp;col=7&amp;number=0&amp;sourceID=14","0")</f>
        <v>0</v>
      </c>
    </row>
    <row r="61" spans="1:7">
      <c r="A61" s="3">
        <v>18</v>
      </c>
      <c r="B61" s="3">
        <v>15</v>
      </c>
      <c r="C61" s="3">
        <v>14</v>
      </c>
      <c r="D61" s="3">
        <v>3</v>
      </c>
      <c r="E61" s="3">
        <v>627.106</v>
      </c>
      <c r="F61" s="4" t="str">
        <f>HYPERLINK("http://141.218.60.56/~jnz1568/getInfo.php?workbook=18_15.xlsx&amp;sheet=A0&amp;row=61&amp;col=6&amp;number=64920&amp;sourceID=14","64920")</f>
        <v>64920</v>
      </c>
      <c r="G61" s="4" t="str">
        <f>HYPERLINK("http://141.218.60.56/~jnz1568/getInfo.php?workbook=18_15.xlsx&amp;sheet=A0&amp;row=61&amp;col=7&amp;number=0&amp;sourceID=14","0")</f>
        <v>0</v>
      </c>
    </row>
    <row r="62" spans="1:7">
      <c r="A62" s="3">
        <v>18</v>
      </c>
      <c r="B62" s="3">
        <v>15</v>
      </c>
      <c r="C62" s="3">
        <v>15</v>
      </c>
      <c r="D62" s="3">
        <v>3</v>
      </c>
      <c r="E62" s="3">
        <v>625.734</v>
      </c>
      <c r="F62" s="4" t="str">
        <f>HYPERLINK("http://141.218.60.56/~jnz1568/getInfo.php?workbook=18_15.xlsx&amp;sheet=A0&amp;row=62&amp;col=6&amp;number=845200&amp;sourceID=14","845200")</f>
        <v>845200</v>
      </c>
      <c r="G62" s="4" t="str">
        <f>HYPERLINK("http://141.218.60.56/~jnz1568/getInfo.php?workbook=18_15.xlsx&amp;sheet=A0&amp;row=62&amp;col=7&amp;number=0&amp;sourceID=14","0")</f>
        <v>0</v>
      </c>
    </row>
    <row r="63" spans="1:7">
      <c r="A63" s="3">
        <v>18</v>
      </c>
      <c r="B63" s="3">
        <v>15</v>
      </c>
      <c r="C63" s="3">
        <v>16</v>
      </c>
      <c r="D63" s="3">
        <v>3</v>
      </c>
      <c r="E63" s="3">
        <v>623.778</v>
      </c>
      <c r="F63" s="4" t="str">
        <f>HYPERLINK("http://141.218.60.56/~jnz1568/getInfo.php?workbook=18_15.xlsx&amp;sheet=A0&amp;row=63&amp;col=6&amp;number=743000&amp;sourceID=14","743000")</f>
        <v>743000</v>
      </c>
      <c r="G63" s="4" t="str">
        <f>HYPERLINK("http://141.218.60.56/~jnz1568/getInfo.php?workbook=18_15.xlsx&amp;sheet=A0&amp;row=63&amp;col=7&amp;number=0&amp;sourceID=14","0")</f>
        <v>0</v>
      </c>
    </row>
    <row r="64" spans="1:7">
      <c r="A64" s="3">
        <v>18</v>
      </c>
      <c r="B64" s="3">
        <v>15</v>
      </c>
      <c r="C64" s="3">
        <v>17</v>
      </c>
      <c r="D64" s="3">
        <v>3</v>
      </c>
      <c r="E64" s="3">
        <v>621.213</v>
      </c>
      <c r="F64" s="4" t="str">
        <f>HYPERLINK("http://141.218.60.56/~jnz1568/getInfo.php?workbook=18_15.xlsx&amp;sheet=A0&amp;row=64&amp;col=6&amp;number=1.693&amp;sourceID=14","1.693")</f>
        <v>1.693</v>
      </c>
      <c r="G64" s="4" t="str">
        <f>HYPERLINK("http://141.218.60.56/~jnz1568/getInfo.php?workbook=18_15.xlsx&amp;sheet=A0&amp;row=64&amp;col=7&amp;number=0&amp;sourceID=14","0")</f>
        <v>0</v>
      </c>
    </row>
    <row r="65" spans="1:7">
      <c r="A65" s="3">
        <v>18</v>
      </c>
      <c r="B65" s="3">
        <v>15</v>
      </c>
      <c r="C65" s="3">
        <v>19</v>
      </c>
      <c r="D65" s="3">
        <v>3</v>
      </c>
      <c r="E65" s="3">
        <v>601.766</v>
      </c>
      <c r="F65" s="4" t="str">
        <f>HYPERLINK("http://141.218.60.56/~jnz1568/getInfo.php?workbook=18_15.xlsx&amp;sheet=A0&amp;row=65&amp;col=6&amp;number=2654000&amp;sourceID=14","2654000")</f>
        <v>2654000</v>
      </c>
      <c r="G65" s="4" t="str">
        <f>HYPERLINK("http://141.218.60.56/~jnz1568/getInfo.php?workbook=18_15.xlsx&amp;sheet=A0&amp;row=65&amp;col=7&amp;number=0&amp;sourceID=14","0")</f>
        <v>0</v>
      </c>
    </row>
    <row r="66" spans="1:7">
      <c r="A66" s="3">
        <v>18</v>
      </c>
      <c r="B66" s="3">
        <v>15</v>
      </c>
      <c r="C66" s="3">
        <v>20</v>
      </c>
      <c r="D66" s="3">
        <v>3</v>
      </c>
      <c r="E66" s="3">
        <v>600.236</v>
      </c>
      <c r="F66" s="4" t="str">
        <f>HYPERLINK("http://141.218.60.56/~jnz1568/getInfo.php?workbook=18_15.xlsx&amp;sheet=A0&amp;row=66&amp;col=6&amp;number=461800&amp;sourceID=14","461800")</f>
        <v>461800</v>
      </c>
      <c r="G66" s="4" t="str">
        <f>HYPERLINK("http://141.218.60.56/~jnz1568/getInfo.php?workbook=18_15.xlsx&amp;sheet=A0&amp;row=66&amp;col=7&amp;number=0&amp;sourceID=14","0")</f>
        <v>0</v>
      </c>
    </row>
    <row r="67" spans="1:7">
      <c r="A67" s="3">
        <v>18</v>
      </c>
      <c r="B67" s="3">
        <v>15</v>
      </c>
      <c r="C67" s="3">
        <v>21</v>
      </c>
      <c r="D67" s="3">
        <v>3</v>
      </c>
      <c r="E67" s="3">
        <v>596.644</v>
      </c>
      <c r="F67" s="4" t="str">
        <f>HYPERLINK("http://141.218.60.56/~jnz1568/getInfo.php?workbook=18_15.xlsx&amp;sheet=A0&amp;row=67&amp;col=6&amp;number=120800&amp;sourceID=14","120800")</f>
        <v>120800</v>
      </c>
      <c r="G67" s="4" t="str">
        <f>HYPERLINK("http://141.218.60.56/~jnz1568/getInfo.php?workbook=18_15.xlsx&amp;sheet=A0&amp;row=67&amp;col=7&amp;number=0&amp;sourceID=14","0")</f>
        <v>0</v>
      </c>
    </row>
    <row r="68" spans="1:7">
      <c r="A68" s="3">
        <v>18</v>
      </c>
      <c r="B68" s="3">
        <v>15</v>
      </c>
      <c r="C68" s="3">
        <v>22</v>
      </c>
      <c r="D68" s="3">
        <v>3</v>
      </c>
      <c r="E68" s="3">
        <v>-593.341</v>
      </c>
      <c r="F68" s="4" t="str">
        <f>HYPERLINK("http://141.218.60.56/~jnz1568/getInfo.php?workbook=18_15.xlsx&amp;sheet=A0&amp;row=68&amp;col=6&amp;number=1447000&amp;sourceID=14","1447000")</f>
        <v>1447000</v>
      </c>
      <c r="G68" s="4" t="str">
        <f>HYPERLINK("http://141.218.60.56/~jnz1568/getInfo.php?workbook=18_15.xlsx&amp;sheet=A0&amp;row=68&amp;col=7&amp;number=0&amp;sourceID=14","0")</f>
        <v>0</v>
      </c>
    </row>
    <row r="69" spans="1:7">
      <c r="A69" s="3">
        <v>18</v>
      </c>
      <c r="B69" s="3">
        <v>15</v>
      </c>
      <c r="C69" s="3">
        <v>23</v>
      </c>
      <c r="D69" s="3">
        <v>3</v>
      </c>
      <c r="E69" s="3">
        <v>-593.341</v>
      </c>
      <c r="F69" s="4" t="str">
        <f>HYPERLINK("http://141.218.60.56/~jnz1568/getInfo.php?workbook=18_15.xlsx&amp;sheet=A0&amp;row=69&amp;col=6&amp;number=412600&amp;sourceID=14","412600")</f>
        <v>412600</v>
      </c>
      <c r="G69" s="4" t="str">
        <f>HYPERLINK("http://141.218.60.56/~jnz1568/getInfo.php?workbook=18_15.xlsx&amp;sheet=A0&amp;row=69&amp;col=7&amp;number=0&amp;sourceID=14","0")</f>
        <v>0</v>
      </c>
    </row>
    <row r="70" spans="1:7">
      <c r="A70" s="3">
        <v>18</v>
      </c>
      <c r="B70" s="3">
        <v>15</v>
      </c>
      <c r="C70" s="3">
        <v>24</v>
      </c>
      <c r="D70" s="3">
        <v>3</v>
      </c>
      <c r="E70" s="3">
        <v>536.075</v>
      </c>
      <c r="F70" s="4" t="str">
        <f>HYPERLINK("http://141.218.60.56/~jnz1568/getInfo.php?workbook=18_15.xlsx&amp;sheet=A0&amp;row=70&amp;col=6&amp;number=4567000&amp;sourceID=14","4567000")</f>
        <v>4567000</v>
      </c>
      <c r="G70" s="4" t="str">
        <f>HYPERLINK("http://141.218.60.56/~jnz1568/getInfo.php?workbook=18_15.xlsx&amp;sheet=A0&amp;row=70&amp;col=7&amp;number=0&amp;sourceID=14","0")</f>
        <v>0</v>
      </c>
    </row>
    <row r="71" spans="1:7">
      <c r="A71" s="3">
        <v>18</v>
      </c>
      <c r="B71" s="3">
        <v>15</v>
      </c>
      <c r="C71" s="3">
        <v>25</v>
      </c>
      <c r="D71" s="3">
        <v>3</v>
      </c>
      <c r="E71" s="3">
        <v>535.79</v>
      </c>
      <c r="F71" s="4" t="str">
        <f>HYPERLINK("http://141.218.60.56/~jnz1568/getInfo.php?workbook=18_15.xlsx&amp;sheet=A0&amp;row=71&amp;col=6&amp;number=0.832&amp;sourceID=14","0.832")</f>
        <v>0.832</v>
      </c>
      <c r="G71" s="4" t="str">
        <f>HYPERLINK("http://141.218.60.56/~jnz1568/getInfo.php?workbook=18_15.xlsx&amp;sheet=A0&amp;row=71&amp;col=7&amp;number=0&amp;sourceID=14","0")</f>
        <v>0</v>
      </c>
    </row>
    <row r="72" spans="1:7">
      <c r="A72" s="3">
        <v>18</v>
      </c>
      <c r="B72" s="3">
        <v>15</v>
      </c>
      <c r="C72" s="3">
        <v>27</v>
      </c>
      <c r="D72" s="3">
        <v>3</v>
      </c>
      <c r="E72" s="3">
        <v>499.798</v>
      </c>
      <c r="F72" s="4" t="str">
        <f>HYPERLINK("http://141.218.60.56/~jnz1568/getInfo.php?workbook=18_15.xlsx&amp;sheet=A0&amp;row=72&amp;col=6&amp;number=62430000&amp;sourceID=14","62430000")</f>
        <v>62430000</v>
      </c>
      <c r="G72" s="4" t="str">
        <f>HYPERLINK("http://141.218.60.56/~jnz1568/getInfo.php?workbook=18_15.xlsx&amp;sheet=A0&amp;row=72&amp;col=7&amp;number=0&amp;sourceID=14","0")</f>
        <v>0</v>
      </c>
    </row>
    <row r="73" spans="1:7">
      <c r="A73" s="3">
        <v>18</v>
      </c>
      <c r="B73" s="3">
        <v>15</v>
      </c>
      <c r="C73" s="3">
        <v>28</v>
      </c>
      <c r="D73" s="3">
        <v>3</v>
      </c>
      <c r="E73" s="3">
        <v>501.086</v>
      </c>
      <c r="F73" s="4" t="str">
        <f>HYPERLINK("http://141.218.60.56/~jnz1568/getInfo.php?workbook=18_15.xlsx&amp;sheet=A0&amp;row=73&amp;col=6&amp;number=21730000&amp;sourceID=14","21730000")</f>
        <v>21730000</v>
      </c>
      <c r="G73" s="4" t="str">
        <f>HYPERLINK("http://141.218.60.56/~jnz1568/getInfo.php?workbook=18_15.xlsx&amp;sheet=A0&amp;row=73&amp;col=7&amp;number=0&amp;sourceID=14","0")</f>
        <v>0</v>
      </c>
    </row>
    <row r="74" spans="1:7">
      <c r="A74" s="3">
        <v>18</v>
      </c>
      <c r="B74" s="3">
        <v>15</v>
      </c>
      <c r="C74" s="3">
        <v>29</v>
      </c>
      <c r="D74" s="3">
        <v>3</v>
      </c>
      <c r="E74" s="3">
        <v>493.102</v>
      </c>
      <c r="F74" s="4" t="str">
        <f>HYPERLINK("http://141.218.60.56/~jnz1568/getInfo.php?workbook=18_15.xlsx&amp;sheet=A0&amp;row=74&amp;col=6&amp;number=4.119&amp;sourceID=14","4.119")</f>
        <v>4.119</v>
      </c>
      <c r="G74" s="4" t="str">
        <f>HYPERLINK("http://141.218.60.56/~jnz1568/getInfo.php?workbook=18_15.xlsx&amp;sheet=A0&amp;row=74&amp;col=7&amp;number=0&amp;sourceID=14","0")</f>
        <v>0</v>
      </c>
    </row>
    <row r="75" spans="1:7">
      <c r="A75" s="3">
        <v>18</v>
      </c>
      <c r="B75" s="3">
        <v>15</v>
      </c>
      <c r="C75" s="3">
        <v>30</v>
      </c>
      <c r="D75" s="3">
        <v>3</v>
      </c>
      <c r="E75" s="3">
        <v>495.7</v>
      </c>
      <c r="F75" s="4" t="str">
        <f>HYPERLINK("http://141.218.60.56/~jnz1568/getInfo.php?workbook=18_15.xlsx&amp;sheet=A0&amp;row=75&amp;col=6&amp;number=16030000000&amp;sourceID=14","16030000000")</f>
        <v>16030000000</v>
      </c>
      <c r="G75" s="4" t="str">
        <f>HYPERLINK("http://141.218.60.56/~jnz1568/getInfo.php?workbook=18_15.xlsx&amp;sheet=A0&amp;row=75&amp;col=7&amp;number=0&amp;sourceID=14","0")</f>
        <v>0</v>
      </c>
    </row>
    <row r="76" spans="1:7">
      <c r="A76" s="3">
        <v>18</v>
      </c>
      <c r="B76" s="3">
        <v>15</v>
      </c>
      <c r="C76" s="3">
        <v>5</v>
      </c>
      <c r="D76" s="3">
        <v>4</v>
      </c>
      <c r="E76" s="3">
        <v>564648.812</v>
      </c>
      <c r="F76" s="4" t="str">
        <f>HYPERLINK("http://141.218.60.56/~jnz1568/getInfo.php?workbook=18_15.xlsx&amp;sheet=A0&amp;row=76&amp;col=6&amp;number=4.937e-05&amp;sourceID=14","4.937e-05")</f>
        <v>4.937e-05</v>
      </c>
      <c r="G76" s="4" t="str">
        <f>HYPERLINK("http://141.218.60.56/~jnz1568/getInfo.php?workbook=18_15.xlsx&amp;sheet=A0&amp;row=76&amp;col=7&amp;number=0&amp;sourceID=14","0")</f>
        <v>0</v>
      </c>
    </row>
    <row r="77" spans="1:7">
      <c r="A77" s="3">
        <v>18</v>
      </c>
      <c r="B77" s="3">
        <v>15</v>
      </c>
      <c r="C77" s="3">
        <v>6</v>
      </c>
      <c r="D77" s="3">
        <v>4</v>
      </c>
      <c r="E77" s="3">
        <v>1187.817</v>
      </c>
      <c r="F77" s="4" t="str">
        <f>HYPERLINK("http://141.218.60.56/~jnz1568/getInfo.php?workbook=18_15.xlsx&amp;sheet=A0&amp;row=77&amp;col=6&amp;number=64110&amp;sourceID=14","64110")</f>
        <v>64110</v>
      </c>
      <c r="G77" s="4" t="str">
        <f>HYPERLINK("http://141.218.60.56/~jnz1568/getInfo.php?workbook=18_15.xlsx&amp;sheet=A0&amp;row=77&amp;col=7&amp;number=0&amp;sourceID=14","0")</f>
        <v>0</v>
      </c>
    </row>
    <row r="78" spans="1:7">
      <c r="A78" s="3">
        <v>18</v>
      </c>
      <c r="B78" s="3">
        <v>15</v>
      </c>
      <c r="C78" s="3">
        <v>9</v>
      </c>
      <c r="D78" s="3">
        <v>4</v>
      </c>
      <c r="E78" s="3">
        <v>900.375</v>
      </c>
      <c r="F78" s="4" t="str">
        <f>HYPERLINK("http://141.218.60.56/~jnz1568/getInfo.php?workbook=18_15.xlsx&amp;sheet=A0&amp;row=78&amp;col=6&amp;number=28190000&amp;sourceID=14","28190000")</f>
        <v>28190000</v>
      </c>
      <c r="G78" s="4" t="str">
        <f>HYPERLINK("http://141.218.60.56/~jnz1568/getInfo.php?workbook=18_15.xlsx&amp;sheet=A0&amp;row=78&amp;col=7&amp;number=0&amp;sourceID=14","0")</f>
        <v>0</v>
      </c>
    </row>
    <row r="79" spans="1:7">
      <c r="A79" s="3">
        <v>18</v>
      </c>
      <c r="B79" s="3">
        <v>15</v>
      </c>
      <c r="C79" s="3">
        <v>11</v>
      </c>
      <c r="D79" s="3">
        <v>4</v>
      </c>
      <c r="E79" s="3">
        <v>754.217</v>
      </c>
      <c r="F79" s="4" t="str">
        <f>HYPERLINK("http://141.218.60.56/~jnz1568/getInfo.php?workbook=18_15.xlsx&amp;sheet=A0&amp;row=79&amp;col=6&amp;number=53640000&amp;sourceID=14","53640000")</f>
        <v>53640000</v>
      </c>
      <c r="G79" s="4" t="str">
        <f>HYPERLINK("http://141.218.60.56/~jnz1568/getInfo.php?workbook=18_15.xlsx&amp;sheet=A0&amp;row=79&amp;col=7&amp;number=0&amp;sourceID=14","0")</f>
        <v>0</v>
      </c>
    </row>
    <row r="80" spans="1:7">
      <c r="A80" s="3">
        <v>18</v>
      </c>
      <c r="B80" s="3">
        <v>15</v>
      </c>
      <c r="C80" s="3">
        <v>12</v>
      </c>
      <c r="D80" s="3">
        <v>4</v>
      </c>
      <c r="E80" s="3">
        <v>760.475</v>
      </c>
      <c r="F80" s="4" t="str">
        <f>HYPERLINK("http://141.218.60.56/~jnz1568/getInfo.php?workbook=18_15.xlsx&amp;sheet=A0&amp;row=80&amp;col=6&amp;number=11500000&amp;sourceID=14","11500000")</f>
        <v>11500000</v>
      </c>
      <c r="G80" s="4" t="str">
        <f>HYPERLINK("http://141.218.60.56/~jnz1568/getInfo.php?workbook=18_15.xlsx&amp;sheet=A0&amp;row=80&amp;col=7&amp;number=0&amp;sourceID=14","0")</f>
        <v>0</v>
      </c>
    </row>
    <row r="81" spans="1:7">
      <c r="A81" s="3">
        <v>18</v>
      </c>
      <c r="B81" s="3">
        <v>15</v>
      </c>
      <c r="C81" s="3">
        <v>13</v>
      </c>
      <c r="D81" s="3">
        <v>4</v>
      </c>
      <c r="E81" s="3">
        <v>699.408</v>
      </c>
      <c r="F81" s="4" t="str">
        <f>HYPERLINK("http://141.218.60.56/~jnz1568/getInfo.php?workbook=18_15.xlsx&amp;sheet=A0&amp;row=81&amp;col=6&amp;number=505800000&amp;sourceID=14","505800000")</f>
        <v>505800000</v>
      </c>
      <c r="G81" s="4" t="str">
        <f>HYPERLINK("http://141.218.60.56/~jnz1568/getInfo.php?workbook=18_15.xlsx&amp;sheet=A0&amp;row=81&amp;col=7&amp;number=0&amp;sourceID=14","0")</f>
        <v>0</v>
      </c>
    </row>
    <row r="82" spans="1:7">
      <c r="A82" s="3">
        <v>18</v>
      </c>
      <c r="B82" s="3">
        <v>15</v>
      </c>
      <c r="C82" s="3">
        <v>14</v>
      </c>
      <c r="D82" s="3">
        <v>4</v>
      </c>
      <c r="E82" s="3">
        <v>685.746</v>
      </c>
      <c r="F82" s="4" t="str">
        <f>HYPERLINK("http://141.218.60.56/~jnz1568/getInfo.php?workbook=18_15.xlsx&amp;sheet=A0&amp;row=82&amp;col=6&amp;number=353600&amp;sourceID=14","353600")</f>
        <v>353600</v>
      </c>
      <c r="G82" s="4" t="str">
        <f>HYPERLINK("http://141.218.60.56/~jnz1568/getInfo.php?workbook=18_15.xlsx&amp;sheet=A0&amp;row=82&amp;col=7&amp;number=0&amp;sourceID=14","0")</f>
        <v>0</v>
      </c>
    </row>
    <row r="83" spans="1:7">
      <c r="A83" s="3">
        <v>18</v>
      </c>
      <c r="B83" s="3">
        <v>15</v>
      </c>
      <c r="C83" s="3">
        <v>18</v>
      </c>
      <c r="D83" s="3">
        <v>4</v>
      </c>
      <c r="E83" s="3">
        <v>656.022</v>
      </c>
      <c r="F83" s="4" t="str">
        <f>HYPERLINK("http://141.218.60.56/~jnz1568/getInfo.php?workbook=18_15.xlsx&amp;sheet=A0&amp;row=83&amp;col=6&amp;number=63990&amp;sourceID=14","63990")</f>
        <v>63990</v>
      </c>
      <c r="G83" s="4" t="str">
        <f>HYPERLINK("http://141.218.60.56/~jnz1568/getInfo.php?workbook=18_15.xlsx&amp;sheet=A0&amp;row=83&amp;col=7&amp;number=0&amp;sourceID=14","0")</f>
        <v>0</v>
      </c>
    </row>
    <row r="84" spans="1:7">
      <c r="A84" s="3">
        <v>18</v>
      </c>
      <c r="B84" s="3">
        <v>15</v>
      </c>
      <c r="C84" s="3">
        <v>19</v>
      </c>
      <c r="D84" s="3">
        <v>4</v>
      </c>
      <c r="E84" s="3">
        <v>655.56</v>
      </c>
      <c r="F84" s="4" t="str">
        <f>HYPERLINK("http://141.218.60.56/~jnz1568/getInfo.php?workbook=18_15.xlsx&amp;sheet=A0&amp;row=84&amp;col=6&amp;number=7722&amp;sourceID=14","7722")</f>
        <v>7722</v>
      </c>
      <c r="G84" s="4" t="str">
        <f>HYPERLINK("http://141.218.60.56/~jnz1568/getInfo.php?workbook=18_15.xlsx&amp;sheet=A0&amp;row=84&amp;col=7&amp;number=0&amp;sourceID=14","0")</f>
        <v>0</v>
      </c>
    </row>
    <row r="85" spans="1:7">
      <c r="A85" s="3">
        <v>18</v>
      </c>
      <c r="B85" s="3">
        <v>15</v>
      </c>
      <c r="C85" s="3">
        <v>26</v>
      </c>
      <c r="D85" s="3">
        <v>4</v>
      </c>
      <c r="E85" s="3">
        <v>535.415</v>
      </c>
      <c r="F85" s="4" t="str">
        <f>HYPERLINK("http://141.218.60.56/~jnz1568/getInfo.php?workbook=18_15.xlsx&amp;sheet=A0&amp;row=85&amp;col=6&amp;number=1720000&amp;sourceID=14","1720000")</f>
        <v>1720000</v>
      </c>
      <c r="G85" s="4" t="str">
        <f>HYPERLINK("http://141.218.60.56/~jnz1568/getInfo.php?workbook=18_15.xlsx&amp;sheet=A0&amp;row=85&amp;col=7&amp;number=0&amp;sourceID=14","0")</f>
        <v>0</v>
      </c>
    </row>
    <row r="86" spans="1:7">
      <c r="A86" s="3">
        <v>18</v>
      </c>
      <c r="B86" s="3">
        <v>15</v>
      </c>
      <c r="C86" s="3">
        <v>27</v>
      </c>
      <c r="D86" s="3">
        <v>4</v>
      </c>
      <c r="E86" s="3">
        <v>536.352</v>
      </c>
      <c r="F86" s="4" t="str">
        <f>HYPERLINK("http://141.218.60.56/~jnz1568/getInfo.php?workbook=18_15.xlsx&amp;sheet=A0&amp;row=86&amp;col=6&amp;number=183200&amp;sourceID=14","183200")</f>
        <v>183200</v>
      </c>
      <c r="G86" s="4" t="str">
        <f>HYPERLINK("http://141.218.60.56/~jnz1568/getInfo.php?workbook=18_15.xlsx&amp;sheet=A0&amp;row=86&amp;col=7&amp;number=0&amp;sourceID=14","0")</f>
        <v>0</v>
      </c>
    </row>
    <row r="87" spans="1:7">
      <c r="A87" s="3">
        <v>18</v>
      </c>
      <c r="B87" s="3">
        <v>15</v>
      </c>
      <c r="C87" s="3">
        <v>29</v>
      </c>
      <c r="D87" s="3">
        <v>4</v>
      </c>
      <c r="E87" s="3">
        <v>528.649</v>
      </c>
      <c r="F87" s="4" t="str">
        <f>HYPERLINK("http://141.218.60.56/~jnz1568/getInfo.php?workbook=18_15.xlsx&amp;sheet=A0&amp;row=87&amp;col=6&amp;number=775000000&amp;sourceID=14","775000000")</f>
        <v>775000000</v>
      </c>
      <c r="G87" s="4" t="str">
        <f>HYPERLINK("http://141.218.60.56/~jnz1568/getInfo.php?workbook=18_15.xlsx&amp;sheet=A0&amp;row=87&amp;col=7&amp;number=0&amp;sourceID=14","0")</f>
        <v>0</v>
      </c>
    </row>
    <row r="88" spans="1:7">
      <c r="A88" s="3">
        <v>18</v>
      </c>
      <c r="B88" s="3">
        <v>15</v>
      </c>
      <c r="C88" s="3">
        <v>30</v>
      </c>
      <c r="D88" s="3">
        <v>4</v>
      </c>
      <c r="E88" s="3">
        <v>531.635</v>
      </c>
      <c r="F88" s="4" t="str">
        <f>HYPERLINK("http://141.218.60.56/~jnz1568/getInfo.php?workbook=18_15.xlsx&amp;sheet=A0&amp;row=88&amp;col=6&amp;number=250500000&amp;sourceID=14","250500000")</f>
        <v>250500000</v>
      </c>
      <c r="G88" s="4" t="str">
        <f>HYPERLINK("http://141.218.60.56/~jnz1568/getInfo.php?workbook=18_15.xlsx&amp;sheet=A0&amp;row=88&amp;col=7&amp;number=0&amp;sourceID=14","0")</f>
        <v>0</v>
      </c>
    </row>
    <row r="89" spans="1:7">
      <c r="A89" s="3">
        <v>18</v>
      </c>
      <c r="B89" s="3">
        <v>15</v>
      </c>
      <c r="C89" s="3">
        <v>6</v>
      </c>
      <c r="D89" s="3">
        <v>5</v>
      </c>
      <c r="E89" s="3">
        <v>1190.321</v>
      </c>
      <c r="F89" s="4" t="str">
        <f>HYPERLINK("http://141.218.60.56/~jnz1568/getInfo.php?workbook=18_15.xlsx&amp;sheet=A0&amp;row=89&amp;col=6&amp;number=19630&amp;sourceID=14","19630")</f>
        <v>19630</v>
      </c>
      <c r="G89" s="4" t="str">
        <f>HYPERLINK("http://141.218.60.56/~jnz1568/getInfo.php?workbook=18_15.xlsx&amp;sheet=A0&amp;row=89&amp;col=7&amp;number=0&amp;sourceID=14","0")</f>
        <v>0</v>
      </c>
    </row>
    <row r="90" spans="1:7">
      <c r="A90" s="3">
        <v>18</v>
      </c>
      <c r="B90" s="3">
        <v>15</v>
      </c>
      <c r="C90" s="3">
        <v>7</v>
      </c>
      <c r="D90" s="3">
        <v>5</v>
      </c>
      <c r="E90" s="3">
        <v>1197.839</v>
      </c>
      <c r="F90" s="4" t="str">
        <f>HYPERLINK("http://141.218.60.56/~jnz1568/getInfo.php?workbook=18_15.xlsx&amp;sheet=A0&amp;row=90&amp;col=6&amp;number=54210&amp;sourceID=14","54210")</f>
        <v>54210</v>
      </c>
      <c r="G90" s="4" t="str">
        <f>HYPERLINK("http://141.218.60.56/~jnz1568/getInfo.php?workbook=18_15.xlsx&amp;sheet=A0&amp;row=90&amp;col=7&amp;number=0&amp;sourceID=14","0")</f>
        <v>0</v>
      </c>
    </row>
    <row r="91" spans="1:7">
      <c r="A91" s="3">
        <v>18</v>
      </c>
      <c r="B91" s="3">
        <v>15</v>
      </c>
      <c r="C91" s="3">
        <v>8</v>
      </c>
      <c r="D91" s="3">
        <v>5</v>
      </c>
      <c r="E91" s="3">
        <v>1211.653</v>
      </c>
      <c r="F91" s="4" t="str">
        <f>HYPERLINK("http://141.218.60.56/~jnz1568/getInfo.php?workbook=18_15.xlsx&amp;sheet=A0&amp;row=91&amp;col=6&amp;number=30500&amp;sourceID=14","30500")</f>
        <v>30500</v>
      </c>
      <c r="G91" s="4" t="str">
        <f>HYPERLINK("http://141.218.60.56/~jnz1568/getInfo.php?workbook=18_15.xlsx&amp;sheet=A0&amp;row=91&amp;col=7&amp;number=0&amp;sourceID=14","0")</f>
        <v>0</v>
      </c>
    </row>
    <row r="92" spans="1:7">
      <c r="A92" s="3">
        <v>18</v>
      </c>
      <c r="B92" s="3">
        <v>15</v>
      </c>
      <c r="C92" s="3">
        <v>9</v>
      </c>
      <c r="D92" s="3">
        <v>5</v>
      </c>
      <c r="E92" s="3">
        <v>901.813</v>
      </c>
      <c r="F92" s="4" t="str">
        <f>HYPERLINK("http://141.218.60.56/~jnz1568/getInfo.php?workbook=18_15.xlsx&amp;sheet=A0&amp;row=92&amp;col=6&amp;number=1154000&amp;sourceID=14","1154000")</f>
        <v>1154000</v>
      </c>
      <c r="G92" s="4" t="str">
        <f>HYPERLINK("http://141.218.60.56/~jnz1568/getInfo.php?workbook=18_15.xlsx&amp;sheet=A0&amp;row=92&amp;col=7&amp;number=0&amp;sourceID=14","0")</f>
        <v>0</v>
      </c>
    </row>
    <row r="93" spans="1:7">
      <c r="A93" s="3">
        <v>18</v>
      </c>
      <c r="B93" s="3">
        <v>15</v>
      </c>
      <c r="C93" s="3">
        <v>10</v>
      </c>
      <c r="D93" s="3">
        <v>5</v>
      </c>
      <c r="E93" s="3">
        <v>901.167</v>
      </c>
      <c r="F93" s="4" t="str">
        <f>HYPERLINK("http://141.218.60.56/~jnz1568/getInfo.php?workbook=18_15.xlsx&amp;sheet=A0&amp;row=93&amp;col=6&amp;number=40560000&amp;sourceID=14","40560000")</f>
        <v>40560000</v>
      </c>
      <c r="G93" s="4" t="str">
        <f>HYPERLINK("http://141.218.60.56/~jnz1568/getInfo.php?workbook=18_15.xlsx&amp;sheet=A0&amp;row=93&amp;col=7&amp;number=0&amp;sourceID=14","0")</f>
        <v>0</v>
      </c>
    </row>
    <row r="94" spans="1:7">
      <c r="A94" s="3">
        <v>18</v>
      </c>
      <c r="B94" s="3">
        <v>15</v>
      </c>
      <c r="C94" s="3">
        <v>11</v>
      </c>
      <c r="D94" s="3">
        <v>5</v>
      </c>
      <c r="E94" s="3">
        <v>755.226</v>
      </c>
      <c r="F94" s="4" t="str">
        <f>HYPERLINK("http://141.218.60.56/~jnz1568/getInfo.php?workbook=18_15.xlsx&amp;sheet=A0&amp;row=94&amp;col=6&amp;number=27420000&amp;sourceID=14","27420000")</f>
        <v>27420000</v>
      </c>
      <c r="G94" s="4" t="str">
        <f>HYPERLINK("http://141.218.60.56/~jnz1568/getInfo.php?workbook=18_15.xlsx&amp;sheet=A0&amp;row=94&amp;col=7&amp;number=0&amp;sourceID=14","0")</f>
        <v>0</v>
      </c>
    </row>
    <row r="95" spans="1:7">
      <c r="A95" s="3">
        <v>18</v>
      </c>
      <c r="B95" s="3">
        <v>15</v>
      </c>
      <c r="C95" s="3">
        <v>12</v>
      </c>
      <c r="D95" s="3">
        <v>5</v>
      </c>
      <c r="E95" s="3">
        <v>761.501</v>
      </c>
      <c r="F95" s="4" t="str">
        <f>HYPERLINK("http://141.218.60.56/~jnz1568/getInfo.php?workbook=18_15.xlsx&amp;sheet=A0&amp;row=95&amp;col=6&amp;number=36740000&amp;sourceID=14","36740000")</f>
        <v>36740000</v>
      </c>
      <c r="G95" s="4" t="str">
        <f>HYPERLINK("http://141.218.60.56/~jnz1568/getInfo.php?workbook=18_15.xlsx&amp;sheet=A0&amp;row=95&amp;col=7&amp;number=0&amp;sourceID=14","0")</f>
        <v>0</v>
      </c>
    </row>
    <row r="96" spans="1:7">
      <c r="A96" s="3">
        <v>18</v>
      </c>
      <c r="B96" s="3">
        <v>15</v>
      </c>
      <c r="C96" s="3">
        <v>13</v>
      </c>
      <c r="D96" s="3">
        <v>5</v>
      </c>
      <c r="E96" s="3">
        <v>700.275</v>
      </c>
      <c r="F96" s="4" t="str">
        <f>HYPERLINK("http://141.218.60.56/~jnz1568/getInfo.php?workbook=18_15.xlsx&amp;sheet=A0&amp;row=96&amp;col=6&amp;number=1005000000&amp;sourceID=14","1005000000")</f>
        <v>1005000000</v>
      </c>
      <c r="G96" s="4" t="str">
        <f>HYPERLINK("http://141.218.60.56/~jnz1568/getInfo.php?workbook=18_15.xlsx&amp;sheet=A0&amp;row=96&amp;col=7&amp;number=0&amp;sourceID=14","0")</f>
        <v>0</v>
      </c>
    </row>
    <row r="97" spans="1:7">
      <c r="A97" s="3">
        <v>18</v>
      </c>
      <c r="B97" s="3">
        <v>15</v>
      </c>
      <c r="C97" s="3">
        <v>14</v>
      </c>
      <c r="D97" s="3">
        <v>5</v>
      </c>
      <c r="E97" s="3">
        <v>686.58</v>
      </c>
      <c r="F97" s="4" t="str">
        <f>HYPERLINK("http://141.218.60.56/~jnz1568/getInfo.php?workbook=18_15.xlsx&amp;sheet=A0&amp;row=97&amp;col=6&amp;number=46810&amp;sourceID=14","46810")</f>
        <v>46810</v>
      </c>
      <c r="G97" s="4" t="str">
        <f>HYPERLINK("http://141.218.60.56/~jnz1568/getInfo.php?workbook=18_15.xlsx&amp;sheet=A0&amp;row=97&amp;col=7&amp;number=0&amp;sourceID=14","0")</f>
        <v>0</v>
      </c>
    </row>
    <row r="98" spans="1:7">
      <c r="A98" s="3">
        <v>18</v>
      </c>
      <c r="B98" s="3">
        <v>15</v>
      </c>
      <c r="C98" s="3">
        <v>15</v>
      </c>
      <c r="D98" s="3">
        <v>5</v>
      </c>
      <c r="E98" s="3">
        <v>684.936</v>
      </c>
      <c r="F98" s="4" t="str">
        <f>HYPERLINK("http://141.218.60.56/~jnz1568/getInfo.php?workbook=18_15.xlsx&amp;sheet=A0&amp;row=98&amp;col=6&amp;number=189000&amp;sourceID=14","189000")</f>
        <v>189000</v>
      </c>
      <c r="G98" s="4" t="str">
        <f>HYPERLINK("http://141.218.60.56/~jnz1568/getInfo.php?workbook=18_15.xlsx&amp;sheet=A0&amp;row=98&amp;col=7&amp;number=0&amp;sourceID=14","0")</f>
        <v>0</v>
      </c>
    </row>
    <row r="99" spans="1:7">
      <c r="A99" s="3">
        <v>18</v>
      </c>
      <c r="B99" s="3">
        <v>15</v>
      </c>
      <c r="C99" s="3">
        <v>18</v>
      </c>
      <c r="D99" s="3">
        <v>5</v>
      </c>
      <c r="E99" s="3">
        <v>656.785</v>
      </c>
      <c r="F99" s="4" t="str">
        <f>HYPERLINK("http://141.218.60.56/~jnz1568/getInfo.php?workbook=18_15.xlsx&amp;sheet=A0&amp;row=99&amp;col=6&amp;number=254500&amp;sourceID=14","254500")</f>
        <v>254500</v>
      </c>
      <c r="G99" s="4" t="str">
        <f>HYPERLINK("http://141.218.60.56/~jnz1568/getInfo.php?workbook=18_15.xlsx&amp;sheet=A0&amp;row=99&amp;col=7&amp;number=0&amp;sourceID=14","0")</f>
        <v>0</v>
      </c>
    </row>
    <row r="100" spans="1:7">
      <c r="A100" s="3">
        <v>18</v>
      </c>
      <c r="B100" s="3">
        <v>15</v>
      </c>
      <c r="C100" s="3">
        <v>19</v>
      </c>
      <c r="D100" s="3">
        <v>5</v>
      </c>
      <c r="E100" s="3">
        <v>656.322</v>
      </c>
      <c r="F100" s="4" t="str">
        <f>HYPERLINK("http://141.218.60.56/~jnz1568/getInfo.php?workbook=18_15.xlsx&amp;sheet=A0&amp;row=100&amp;col=6&amp;number=127900&amp;sourceID=14","127900")</f>
        <v>127900</v>
      </c>
      <c r="G100" s="4" t="str">
        <f>HYPERLINK("http://141.218.60.56/~jnz1568/getInfo.php?workbook=18_15.xlsx&amp;sheet=A0&amp;row=100&amp;col=7&amp;number=0&amp;sourceID=14","0")</f>
        <v>0</v>
      </c>
    </row>
    <row r="101" spans="1:7">
      <c r="A101" s="3">
        <v>18</v>
      </c>
      <c r="B101" s="3">
        <v>15</v>
      </c>
      <c r="C101" s="3">
        <v>20</v>
      </c>
      <c r="D101" s="3">
        <v>5</v>
      </c>
      <c r="E101" s="3">
        <v>654.502</v>
      </c>
      <c r="F101" s="4" t="str">
        <f>HYPERLINK("http://141.218.60.56/~jnz1568/getInfo.php?workbook=18_15.xlsx&amp;sheet=A0&amp;row=101&amp;col=6&amp;number=119300&amp;sourceID=14","119300")</f>
        <v>119300</v>
      </c>
      <c r="G101" s="4" t="str">
        <f>HYPERLINK("http://141.218.60.56/~jnz1568/getInfo.php?workbook=18_15.xlsx&amp;sheet=A0&amp;row=101&amp;col=7&amp;number=0&amp;sourceID=14","0")</f>
        <v>0</v>
      </c>
    </row>
    <row r="102" spans="1:7">
      <c r="A102" s="3">
        <v>18</v>
      </c>
      <c r="B102" s="3">
        <v>15</v>
      </c>
      <c r="C102" s="3">
        <v>21</v>
      </c>
      <c r="D102" s="3">
        <v>5</v>
      </c>
      <c r="E102" s="3">
        <v>650.234</v>
      </c>
      <c r="F102" s="4" t="str">
        <f>HYPERLINK("http://141.218.60.56/~jnz1568/getInfo.php?workbook=18_15.xlsx&amp;sheet=A0&amp;row=102&amp;col=6&amp;number=1.459&amp;sourceID=14","1.459")</f>
        <v>1.459</v>
      </c>
      <c r="G102" s="4" t="str">
        <f>HYPERLINK("http://141.218.60.56/~jnz1568/getInfo.php?workbook=18_15.xlsx&amp;sheet=A0&amp;row=102&amp;col=7&amp;number=0&amp;sourceID=14","0")</f>
        <v>0</v>
      </c>
    </row>
    <row r="103" spans="1:7">
      <c r="A103" s="3">
        <v>18</v>
      </c>
      <c r="B103" s="3">
        <v>15</v>
      </c>
      <c r="C103" s="3">
        <v>22</v>
      </c>
      <c r="D103" s="3">
        <v>5</v>
      </c>
      <c r="E103" s="3">
        <v>-646.291</v>
      </c>
      <c r="F103" s="4" t="str">
        <f>HYPERLINK("http://141.218.60.56/~jnz1568/getInfo.php?workbook=18_15.xlsx&amp;sheet=A0&amp;row=103&amp;col=6&amp;number=29440&amp;sourceID=14","29440")</f>
        <v>29440</v>
      </c>
      <c r="G103" s="4" t="str">
        <f>HYPERLINK("http://141.218.60.56/~jnz1568/getInfo.php?workbook=18_15.xlsx&amp;sheet=A0&amp;row=103&amp;col=7&amp;number=0&amp;sourceID=14","0")</f>
        <v>0</v>
      </c>
    </row>
    <row r="104" spans="1:7">
      <c r="A104" s="3">
        <v>18</v>
      </c>
      <c r="B104" s="3">
        <v>15</v>
      </c>
      <c r="C104" s="3">
        <v>23</v>
      </c>
      <c r="D104" s="3">
        <v>5</v>
      </c>
      <c r="E104" s="3">
        <v>-646.291</v>
      </c>
      <c r="F104" s="4" t="str">
        <f>HYPERLINK("http://141.218.60.56/~jnz1568/getInfo.php?workbook=18_15.xlsx&amp;sheet=A0&amp;row=104&amp;col=6&amp;number=0.1159&amp;sourceID=14","0.1159")</f>
        <v>0.1159</v>
      </c>
      <c r="G104" s="4" t="str">
        <f>HYPERLINK("http://141.218.60.56/~jnz1568/getInfo.php?workbook=18_15.xlsx&amp;sheet=A0&amp;row=104&amp;col=7&amp;number=0&amp;sourceID=14","0")</f>
        <v>0</v>
      </c>
    </row>
    <row r="105" spans="1:7">
      <c r="A105" s="3">
        <v>18</v>
      </c>
      <c r="B105" s="3">
        <v>15</v>
      </c>
      <c r="C105" s="3">
        <v>26</v>
      </c>
      <c r="D105" s="3">
        <v>5</v>
      </c>
      <c r="E105" s="3">
        <v>535.923</v>
      </c>
      <c r="F105" s="4" t="str">
        <f>HYPERLINK("http://141.218.60.56/~jnz1568/getInfo.php?workbook=18_15.xlsx&amp;sheet=A0&amp;row=105&amp;col=6&amp;number=2690000&amp;sourceID=14","2690000")</f>
        <v>2690000</v>
      </c>
      <c r="G105" s="4" t="str">
        <f>HYPERLINK("http://141.218.60.56/~jnz1568/getInfo.php?workbook=18_15.xlsx&amp;sheet=A0&amp;row=105&amp;col=7&amp;number=0&amp;sourceID=14","0")</f>
        <v>0</v>
      </c>
    </row>
    <row r="106" spans="1:7">
      <c r="A106" s="3">
        <v>18</v>
      </c>
      <c r="B106" s="3">
        <v>15</v>
      </c>
      <c r="C106" s="3">
        <v>27</v>
      </c>
      <c r="D106" s="3">
        <v>5</v>
      </c>
      <c r="E106" s="3">
        <v>536.862</v>
      </c>
      <c r="F106" s="4" t="str">
        <f>HYPERLINK("http://141.218.60.56/~jnz1568/getInfo.php?workbook=18_15.xlsx&amp;sheet=A0&amp;row=106&amp;col=6&amp;number=7545000&amp;sourceID=14","7545000")</f>
        <v>7545000</v>
      </c>
      <c r="G106" s="4" t="str">
        <f>HYPERLINK("http://141.218.60.56/~jnz1568/getInfo.php?workbook=18_15.xlsx&amp;sheet=A0&amp;row=106&amp;col=7&amp;number=0&amp;sourceID=14","0")</f>
        <v>0</v>
      </c>
    </row>
    <row r="107" spans="1:7">
      <c r="A107" s="3">
        <v>18</v>
      </c>
      <c r="B107" s="3">
        <v>15</v>
      </c>
      <c r="C107" s="3">
        <v>28</v>
      </c>
      <c r="D107" s="3">
        <v>5</v>
      </c>
      <c r="E107" s="3">
        <v>538.349</v>
      </c>
      <c r="F107" s="4" t="str">
        <f>HYPERLINK("http://141.218.60.56/~jnz1568/getInfo.php?workbook=18_15.xlsx&amp;sheet=A0&amp;row=107&amp;col=6&amp;number=1692000&amp;sourceID=14","1692000")</f>
        <v>1692000</v>
      </c>
      <c r="G107" s="4" t="str">
        <f>HYPERLINK("http://141.218.60.56/~jnz1568/getInfo.php?workbook=18_15.xlsx&amp;sheet=A0&amp;row=107&amp;col=7&amp;number=0&amp;sourceID=14","0")</f>
        <v>0</v>
      </c>
    </row>
    <row r="108" spans="1:7">
      <c r="A108" s="3">
        <v>18</v>
      </c>
      <c r="B108" s="3">
        <v>15</v>
      </c>
      <c r="C108" s="3">
        <v>29</v>
      </c>
      <c r="D108" s="3">
        <v>5</v>
      </c>
      <c r="E108" s="3">
        <v>529.144</v>
      </c>
      <c r="F108" s="4" t="str">
        <f>HYPERLINK("http://141.218.60.56/~jnz1568/getInfo.php?workbook=18_15.xlsx&amp;sheet=A0&amp;row=108&amp;col=6&amp;number=934400000&amp;sourceID=14","934400000")</f>
        <v>934400000</v>
      </c>
      <c r="G108" s="4" t="str">
        <f>HYPERLINK("http://141.218.60.56/~jnz1568/getInfo.php?workbook=18_15.xlsx&amp;sheet=A0&amp;row=108&amp;col=7&amp;number=0&amp;sourceID=14","0")</f>
        <v>0</v>
      </c>
    </row>
    <row r="109" spans="1:7">
      <c r="A109" s="3">
        <v>18</v>
      </c>
      <c r="B109" s="3">
        <v>15</v>
      </c>
      <c r="C109" s="3">
        <v>30</v>
      </c>
      <c r="D109" s="3">
        <v>5</v>
      </c>
      <c r="E109" s="3">
        <v>532.136</v>
      </c>
      <c r="F109" s="4" t="str">
        <f>HYPERLINK("http://141.218.60.56/~jnz1568/getInfo.php?workbook=18_15.xlsx&amp;sheet=A0&amp;row=109&amp;col=6&amp;number=633600000&amp;sourceID=14","633600000")</f>
        <v>633600000</v>
      </c>
      <c r="G109" s="4" t="str">
        <f>HYPERLINK("http://141.218.60.56/~jnz1568/getInfo.php?workbook=18_15.xlsx&amp;sheet=A0&amp;row=109&amp;col=7&amp;number=0&amp;sourceID=14","0")</f>
        <v>0</v>
      </c>
    </row>
    <row r="110" spans="1:7">
      <c r="A110" s="3">
        <v>18</v>
      </c>
      <c r="B110" s="3">
        <v>15</v>
      </c>
      <c r="C110" s="3">
        <v>14</v>
      </c>
      <c r="D110" s="3">
        <v>6</v>
      </c>
      <c r="E110" s="3">
        <v>1622.363</v>
      </c>
      <c r="F110" s="4" t="str">
        <f>HYPERLINK("http://141.218.60.56/~jnz1568/getInfo.php?workbook=18_15.xlsx&amp;sheet=A0&amp;row=110&amp;col=6&amp;number=5.497&amp;sourceID=14","5.497")</f>
        <v>5.497</v>
      </c>
      <c r="G110" s="4" t="str">
        <f>HYPERLINK("http://141.218.60.56/~jnz1568/getInfo.php?workbook=18_15.xlsx&amp;sheet=A0&amp;row=110&amp;col=7&amp;number=0&amp;sourceID=14","0")</f>
        <v>0</v>
      </c>
    </row>
    <row r="111" spans="1:7">
      <c r="A111" s="3">
        <v>18</v>
      </c>
      <c r="B111" s="3">
        <v>15</v>
      </c>
      <c r="C111" s="3">
        <v>15</v>
      </c>
      <c r="D111" s="3">
        <v>6</v>
      </c>
      <c r="E111" s="3">
        <v>1613.211</v>
      </c>
      <c r="F111" s="4" t="str">
        <f>HYPERLINK("http://141.218.60.56/~jnz1568/getInfo.php?workbook=18_15.xlsx&amp;sheet=A0&amp;row=111&amp;col=6&amp;number=2.876&amp;sourceID=14","2.876")</f>
        <v>2.876</v>
      </c>
      <c r="G111" s="4" t="str">
        <f>HYPERLINK("http://141.218.60.56/~jnz1568/getInfo.php?workbook=18_15.xlsx&amp;sheet=A0&amp;row=111&amp;col=7&amp;number=0&amp;sourceID=14","0")</f>
        <v>0</v>
      </c>
    </row>
    <row r="112" spans="1:7">
      <c r="A112" s="3">
        <v>18</v>
      </c>
      <c r="B112" s="3">
        <v>15</v>
      </c>
      <c r="C112" s="3">
        <v>19</v>
      </c>
      <c r="D112" s="3">
        <v>6</v>
      </c>
      <c r="E112" s="3">
        <v>1462.988</v>
      </c>
      <c r="F112" s="4" t="str">
        <f>HYPERLINK("http://141.218.60.56/~jnz1568/getInfo.php?workbook=18_15.xlsx&amp;sheet=A0&amp;row=112&amp;col=6&amp;number=2.796&amp;sourceID=14","2.796")</f>
        <v>2.796</v>
      </c>
      <c r="G112" s="4" t="str">
        <f>HYPERLINK("http://141.218.60.56/~jnz1568/getInfo.php?workbook=18_15.xlsx&amp;sheet=A0&amp;row=112&amp;col=7&amp;number=0&amp;sourceID=14","0")</f>
        <v>0</v>
      </c>
    </row>
    <row r="113" spans="1:7">
      <c r="A113" s="3">
        <v>18</v>
      </c>
      <c r="B113" s="3">
        <v>15</v>
      </c>
      <c r="C113" s="3">
        <v>20</v>
      </c>
      <c r="D113" s="3">
        <v>6</v>
      </c>
      <c r="E113" s="3">
        <v>1453.975</v>
      </c>
      <c r="F113" s="4" t="str">
        <f>HYPERLINK("http://141.218.60.56/~jnz1568/getInfo.php?workbook=18_15.xlsx&amp;sheet=A0&amp;row=113&amp;col=6&amp;number=4.386&amp;sourceID=14","4.386")</f>
        <v>4.386</v>
      </c>
      <c r="G113" s="4" t="str">
        <f>HYPERLINK("http://141.218.60.56/~jnz1568/getInfo.php?workbook=18_15.xlsx&amp;sheet=A0&amp;row=113&amp;col=7&amp;number=0&amp;sourceID=14","0")</f>
        <v>0</v>
      </c>
    </row>
    <row r="114" spans="1:7">
      <c r="A114" s="3">
        <v>18</v>
      </c>
      <c r="B114" s="3">
        <v>15</v>
      </c>
      <c r="C114" s="3">
        <v>27</v>
      </c>
      <c r="D114" s="3">
        <v>6</v>
      </c>
      <c r="E114" s="3">
        <v>977.933</v>
      </c>
      <c r="F114" s="4" t="str">
        <f>HYPERLINK("http://141.218.60.56/~jnz1568/getInfo.php?workbook=18_15.xlsx&amp;sheet=A0&amp;row=114&amp;col=6&amp;number=1.799&amp;sourceID=14","1.799")</f>
        <v>1.799</v>
      </c>
      <c r="G114" s="4" t="str">
        <f>HYPERLINK("http://141.218.60.56/~jnz1568/getInfo.php?workbook=18_15.xlsx&amp;sheet=A0&amp;row=114&amp;col=7&amp;number=0&amp;sourceID=14","0")</f>
        <v>0</v>
      </c>
    </row>
    <row r="115" spans="1:7">
      <c r="A115" s="3">
        <v>18</v>
      </c>
      <c r="B115" s="3">
        <v>15</v>
      </c>
      <c r="C115" s="3">
        <v>28</v>
      </c>
      <c r="D115" s="3">
        <v>6</v>
      </c>
      <c r="E115" s="3">
        <v>982.876</v>
      </c>
      <c r="F115" s="4" t="str">
        <f>HYPERLINK("http://141.218.60.56/~jnz1568/getInfo.php?workbook=18_15.xlsx&amp;sheet=A0&amp;row=115&amp;col=6&amp;number=10.29&amp;sourceID=14","10.29")</f>
        <v>10.29</v>
      </c>
      <c r="G115" s="4" t="str">
        <f>HYPERLINK("http://141.218.60.56/~jnz1568/getInfo.php?workbook=18_15.xlsx&amp;sheet=A0&amp;row=115&amp;col=7&amp;number=0&amp;sourceID=14","0")</f>
        <v>0</v>
      </c>
    </row>
    <row r="116" spans="1:7">
      <c r="A116" s="3">
        <v>18</v>
      </c>
      <c r="B116" s="3">
        <v>15</v>
      </c>
      <c r="C116" s="3">
        <v>13</v>
      </c>
      <c r="D116" s="3">
        <v>7</v>
      </c>
      <c r="E116" s="3">
        <v>1685.846</v>
      </c>
      <c r="F116" s="4" t="str">
        <f>HYPERLINK("http://141.218.60.56/~jnz1568/getInfo.php?workbook=18_15.xlsx&amp;sheet=A0&amp;row=116&amp;col=6&amp;number=4.283&amp;sourceID=14","4.283")</f>
        <v>4.283</v>
      </c>
      <c r="G116" s="4" t="str">
        <f>HYPERLINK("http://141.218.60.56/~jnz1568/getInfo.php?workbook=18_15.xlsx&amp;sheet=A0&amp;row=116&amp;col=7&amp;number=0&amp;sourceID=14","0")</f>
        <v>0</v>
      </c>
    </row>
    <row r="117" spans="1:7">
      <c r="A117" s="3">
        <v>18</v>
      </c>
      <c r="B117" s="3">
        <v>15</v>
      </c>
      <c r="C117" s="3">
        <v>14</v>
      </c>
      <c r="D117" s="3">
        <v>7</v>
      </c>
      <c r="E117" s="3">
        <v>1608.602</v>
      </c>
      <c r="F117" s="4" t="str">
        <f>HYPERLINK("http://141.218.60.56/~jnz1568/getInfo.php?workbook=18_15.xlsx&amp;sheet=A0&amp;row=117&amp;col=6&amp;number=1.758&amp;sourceID=14","1.758")</f>
        <v>1.758</v>
      </c>
      <c r="G117" s="4" t="str">
        <f>HYPERLINK("http://141.218.60.56/~jnz1568/getInfo.php?workbook=18_15.xlsx&amp;sheet=A0&amp;row=117&amp;col=7&amp;number=0&amp;sourceID=14","0")</f>
        <v>0</v>
      </c>
    </row>
    <row r="118" spans="1:7">
      <c r="A118" s="3">
        <v>18</v>
      </c>
      <c r="B118" s="3">
        <v>15</v>
      </c>
      <c r="C118" s="3">
        <v>15</v>
      </c>
      <c r="D118" s="3">
        <v>7</v>
      </c>
      <c r="E118" s="3">
        <v>1599.604</v>
      </c>
      <c r="F118" s="4" t="str">
        <f>HYPERLINK("http://141.218.60.56/~jnz1568/getInfo.php?workbook=18_15.xlsx&amp;sheet=A0&amp;row=118&amp;col=6&amp;number=4.301&amp;sourceID=14","4.301")</f>
        <v>4.301</v>
      </c>
      <c r="G118" s="4" t="str">
        <f>HYPERLINK("http://141.218.60.56/~jnz1568/getInfo.php?workbook=18_15.xlsx&amp;sheet=A0&amp;row=118&amp;col=7&amp;number=0&amp;sourceID=14","0")</f>
        <v>0</v>
      </c>
    </row>
    <row r="119" spans="1:7">
      <c r="A119" s="3">
        <v>18</v>
      </c>
      <c r="B119" s="3">
        <v>15</v>
      </c>
      <c r="C119" s="3">
        <v>16</v>
      </c>
      <c r="D119" s="3">
        <v>7</v>
      </c>
      <c r="E119" s="3">
        <v>1586.886</v>
      </c>
      <c r="F119" s="4" t="str">
        <f>HYPERLINK("http://141.218.60.56/~jnz1568/getInfo.php?workbook=18_15.xlsx&amp;sheet=A0&amp;row=119&amp;col=6&amp;number=5.745&amp;sourceID=14","5.745")</f>
        <v>5.745</v>
      </c>
      <c r="G119" s="4" t="str">
        <f>HYPERLINK("http://141.218.60.56/~jnz1568/getInfo.php?workbook=18_15.xlsx&amp;sheet=A0&amp;row=119&amp;col=7&amp;number=0&amp;sourceID=14","0")</f>
        <v>0</v>
      </c>
    </row>
    <row r="120" spans="1:7">
      <c r="A120" s="3">
        <v>18</v>
      </c>
      <c r="B120" s="3">
        <v>15</v>
      </c>
      <c r="C120" s="3">
        <v>18</v>
      </c>
      <c r="D120" s="3">
        <v>7</v>
      </c>
      <c r="E120" s="3">
        <v>1454.053</v>
      </c>
      <c r="F120" s="4" t="str">
        <f>HYPERLINK("http://141.218.60.56/~jnz1568/getInfo.php?workbook=18_15.xlsx&amp;sheet=A0&amp;row=120&amp;col=6&amp;number=12.61&amp;sourceID=14","12.61")</f>
        <v>12.61</v>
      </c>
      <c r="G120" s="4" t="str">
        <f>HYPERLINK("http://141.218.60.56/~jnz1568/getInfo.php?workbook=18_15.xlsx&amp;sheet=A0&amp;row=120&amp;col=7&amp;number=0&amp;sourceID=14","0")</f>
        <v>0</v>
      </c>
    </row>
    <row r="121" spans="1:7">
      <c r="A121" s="3">
        <v>18</v>
      </c>
      <c r="B121" s="3">
        <v>15</v>
      </c>
      <c r="C121" s="3">
        <v>19</v>
      </c>
      <c r="D121" s="3">
        <v>7</v>
      </c>
      <c r="E121" s="3">
        <v>1451.788</v>
      </c>
      <c r="F121" s="4" t="str">
        <f>HYPERLINK("http://141.218.60.56/~jnz1568/getInfo.php?workbook=18_15.xlsx&amp;sheet=A0&amp;row=121&amp;col=6&amp;number=6.195&amp;sourceID=14","6.195")</f>
        <v>6.195</v>
      </c>
      <c r="G121" s="4" t="str">
        <f>HYPERLINK("http://141.218.60.56/~jnz1568/getInfo.php?workbook=18_15.xlsx&amp;sheet=A0&amp;row=121&amp;col=7&amp;number=0&amp;sourceID=14","0")</f>
        <v>0</v>
      </c>
    </row>
    <row r="122" spans="1:7">
      <c r="A122" s="3">
        <v>18</v>
      </c>
      <c r="B122" s="3">
        <v>15</v>
      </c>
      <c r="C122" s="3">
        <v>21</v>
      </c>
      <c r="D122" s="3">
        <v>7</v>
      </c>
      <c r="E122" s="3">
        <v>1422.328</v>
      </c>
      <c r="F122" s="4" t="str">
        <f>HYPERLINK("http://141.218.60.56/~jnz1568/getInfo.php?workbook=18_15.xlsx&amp;sheet=A0&amp;row=122&amp;col=6&amp;number=4.322&amp;sourceID=14","4.322")</f>
        <v>4.322</v>
      </c>
      <c r="G122" s="4" t="str">
        <f>HYPERLINK("http://141.218.60.56/~jnz1568/getInfo.php?workbook=18_15.xlsx&amp;sheet=A0&amp;row=122&amp;col=7&amp;number=0&amp;sourceID=14","0")</f>
        <v>0</v>
      </c>
    </row>
    <row r="123" spans="1:7">
      <c r="A123" s="3">
        <v>18</v>
      </c>
      <c r="B123" s="3">
        <v>15</v>
      </c>
      <c r="C123" s="3">
        <v>23</v>
      </c>
      <c r="D123" s="3">
        <v>7</v>
      </c>
      <c r="E123" s="3">
        <v>-1397.795</v>
      </c>
      <c r="F123" s="4" t="str">
        <f>HYPERLINK("http://141.218.60.56/~jnz1568/getInfo.php?workbook=18_15.xlsx&amp;sheet=A0&amp;row=123&amp;col=6&amp;number=0.6755&amp;sourceID=14","0.6755")</f>
        <v>0.6755</v>
      </c>
      <c r="G123" s="4" t="str">
        <f>HYPERLINK("http://141.218.60.56/~jnz1568/getInfo.php?workbook=18_15.xlsx&amp;sheet=A0&amp;row=123&amp;col=7&amp;number=0&amp;sourceID=14","0")</f>
        <v>0</v>
      </c>
    </row>
    <row r="124" spans="1:7">
      <c r="A124" s="3">
        <v>18</v>
      </c>
      <c r="B124" s="3">
        <v>15</v>
      </c>
      <c r="C124" s="3">
        <v>26</v>
      </c>
      <c r="D124" s="3">
        <v>7</v>
      </c>
      <c r="E124" s="3">
        <v>969.836</v>
      </c>
      <c r="F124" s="4" t="str">
        <f>HYPERLINK("http://141.218.60.56/~jnz1568/getInfo.php?workbook=18_15.xlsx&amp;sheet=A0&amp;row=124&amp;col=6&amp;number=3.95&amp;sourceID=14","3.95")</f>
        <v>3.95</v>
      </c>
      <c r="G124" s="4" t="str">
        <f>HYPERLINK("http://141.218.60.56/~jnz1568/getInfo.php?workbook=18_15.xlsx&amp;sheet=A0&amp;row=124&amp;col=7&amp;number=0&amp;sourceID=14","0")</f>
        <v>0</v>
      </c>
    </row>
    <row r="125" spans="1:7">
      <c r="A125" s="3">
        <v>18</v>
      </c>
      <c r="B125" s="3">
        <v>15</v>
      </c>
      <c r="C125" s="3">
        <v>27</v>
      </c>
      <c r="D125" s="3">
        <v>7</v>
      </c>
      <c r="E125" s="3">
        <v>972.916</v>
      </c>
      <c r="F125" s="4" t="str">
        <f>HYPERLINK("http://141.218.60.56/~jnz1568/getInfo.php?workbook=18_15.xlsx&amp;sheet=A0&amp;row=125&amp;col=6&amp;number=12.23&amp;sourceID=14","12.23")</f>
        <v>12.23</v>
      </c>
      <c r="G125" s="4" t="str">
        <f>HYPERLINK("http://141.218.60.56/~jnz1568/getInfo.php?workbook=18_15.xlsx&amp;sheet=A0&amp;row=125&amp;col=7&amp;number=0&amp;sourceID=14","0")</f>
        <v>0</v>
      </c>
    </row>
    <row r="126" spans="1:7">
      <c r="A126" s="3">
        <v>18</v>
      </c>
      <c r="B126" s="3">
        <v>15</v>
      </c>
      <c r="C126" s="3">
        <v>28</v>
      </c>
      <c r="D126" s="3">
        <v>7</v>
      </c>
      <c r="E126" s="3">
        <v>977.809</v>
      </c>
      <c r="F126" s="4" t="str">
        <f>HYPERLINK("http://141.218.60.56/~jnz1568/getInfo.php?workbook=18_15.xlsx&amp;sheet=A0&amp;row=126&amp;col=6&amp;number=15.58&amp;sourceID=14","15.58")</f>
        <v>15.58</v>
      </c>
      <c r="G126" s="4" t="str">
        <f>HYPERLINK("http://141.218.60.56/~jnz1568/getInfo.php?workbook=18_15.xlsx&amp;sheet=A0&amp;row=126&amp;col=7&amp;number=0&amp;sourceID=14","0")</f>
        <v>0</v>
      </c>
    </row>
    <row r="127" spans="1:7">
      <c r="A127" s="3">
        <v>18</v>
      </c>
      <c r="B127" s="3">
        <v>15</v>
      </c>
      <c r="C127" s="3">
        <v>16</v>
      </c>
      <c r="D127" s="3">
        <v>8</v>
      </c>
      <c r="E127" s="3">
        <v>1563.275</v>
      </c>
      <c r="F127" s="4" t="str">
        <f>HYPERLINK("http://141.218.60.56/~jnz1568/getInfo.php?workbook=18_15.xlsx&amp;sheet=A0&amp;row=127&amp;col=6&amp;number=2.732&amp;sourceID=14","2.732")</f>
        <v>2.732</v>
      </c>
      <c r="G127" s="4" t="str">
        <f>HYPERLINK("http://141.218.60.56/~jnz1568/getInfo.php?workbook=18_15.xlsx&amp;sheet=A0&amp;row=127&amp;col=7&amp;number=0&amp;sourceID=14","0")</f>
        <v>0</v>
      </c>
    </row>
    <row r="128" spans="1:7">
      <c r="A128" s="3">
        <v>18</v>
      </c>
      <c r="B128" s="3">
        <v>15</v>
      </c>
      <c r="C128" s="3">
        <v>17</v>
      </c>
      <c r="D128" s="3">
        <v>8</v>
      </c>
      <c r="E128" s="3">
        <v>1547.26</v>
      </c>
      <c r="F128" s="4" t="str">
        <f>HYPERLINK("http://141.218.60.56/~jnz1568/getInfo.php?workbook=18_15.xlsx&amp;sheet=A0&amp;row=128&amp;col=6&amp;number=9.499&amp;sourceID=14","9.499")</f>
        <v>9.499</v>
      </c>
      <c r="G128" s="4" t="str">
        <f>HYPERLINK("http://141.218.60.56/~jnz1568/getInfo.php?workbook=18_15.xlsx&amp;sheet=A0&amp;row=128&amp;col=7&amp;number=0&amp;sourceID=14","0")</f>
        <v>0</v>
      </c>
    </row>
    <row r="129" spans="1:7">
      <c r="A129" s="3">
        <v>18</v>
      </c>
      <c r="B129" s="3">
        <v>15</v>
      </c>
      <c r="C129" s="3">
        <v>18</v>
      </c>
      <c r="D129" s="3">
        <v>8</v>
      </c>
      <c r="E129" s="3">
        <v>1434.204</v>
      </c>
      <c r="F129" s="4" t="str">
        <f>HYPERLINK("http://141.218.60.56/~jnz1568/getInfo.php?workbook=18_15.xlsx&amp;sheet=A0&amp;row=129&amp;col=6&amp;number=1.425&amp;sourceID=14","1.425")</f>
        <v>1.425</v>
      </c>
      <c r="G129" s="4" t="str">
        <f>HYPERLINK("http://141.218.60.56/~jnz1568/getInfo.php?workbook=18_15.xlsx&amp;sheet=A0&amp;row=129&amp;col=7&amp;number=0&amp;sourceID=14","0")</f>
        <v>0</v>
      </c>
    </row>
    <row r="130" spans="1:7">
      <c r="A130" s="3">
        <v>18</v>
      </c>
      <c r="B130" s="3">
        <v>15</v>
      </c>
      <c r="C130" s="3">
        <v>19</v>
      </c>
      <c r="D130" s="3">
        <v>8</v>
      </c>
      <c r="E130" s="3">
        <v>1432.001</v>
      </c>
      <c r="F130" s="4" t="str">
        <f>HYPERLINK("http://141.218.60.56/~jnz1568/getInfo.php?workbook=18_15.xlsx&amp;sheet=A0&amp;row=130&amp;col=6&amp;number=5.169&amp;sourceID=14","5.169")</f>
        <v>5.169</v>
      </c>
      <c r="G130" s="4" t="str">
        <f>HYPERLINK("http://141.218.60.56/~jnz1568/getInfo.php?workbook=18_15.xlsx&amp;sheet=A0&amp;row=130&amp;col=7&amp;number=0&amp;sourceID=14","0")</f>
        <v>0</v>
      </c>
    </row>
    <row r="131" spans="1:7">
      <c r="A131" s="3">
        <v>18</v>
      </c>
      <c r="B131" s="3">
        <v>15</v>
      </c>
      <c r="C131" s="3">
        <v>20</v>
      </c>
      <c r="D131" s="3">
        <v>8</v>
      </c>
      <c r="E131" s="3">
        <v>1423.365</v>
      </c>
      <c r="F131" s="4" t="str">
        <f>HYPERLINK("http://141.218.60.56/~jnz1568/getInfo.php?workbook=18_15.xlsx&amp;sheet=A0&amp;row=131&amp;col=6&amp;number=8.738&amp;sourceID=14","8.738")</f>
        <v>8.738</v>
      </c>
      <c r="G131" s="4" t="str">
        <f>HYPERLINK("http://141.218.60.56/~jnz1568/getInfo.php?workbook=18_15.xlsx&amp;sheet=A0&amp;row=131&amp;col=7&amp;number=0&amp;sourceID=14","0")</f>
        <v>0</v>
      </c>
    </row>
    <row r="132" spans="1:7">
      <c r="A132" s="3">
        <v>18</v>
      </c>
      <c r="B132" s="3">
        <v>15</v>
      </c>
      <c r="C132" s="3">
        <v>21</v>
      </c>
      <c r="D132" s="3">
        <v>8</v>
      </c>
      <c r="E132" s="3">
        <v>1403.33</v>
      </c>
      <c r="F132" s="4" t="str">
        <f>HYPERLINK("http://141.218.60.56/~jnz1568/getInfo.php?workbook=18_15.xlsx&amp;sheet=A0&amp;row=132&amp;col=6&amp;number=9.315&amp;sourceID=14","9.315")</f>
        <v>9.315</v>
      </c>
      <c r="G132" s="4" t="str">
        <f>HYPERLINK("http://141.218.60.56/~jnz1568/getInfo.php?workbook=18_15.xlsx&amp;sheet=A0&amp;row=132&amp;col=7&amp;number=0&amp;sourceID=14","0")</f>
        <v>0</v>
      </c>
    </row>
    <row r="133" spans="1:7">
      <c r="A133" s="3">
        <v>18</v>
      </c>
      <c r="B133" s="3">
        <v>15</v>
      </c>
      <c r="C133" s="3">
        <v>22</v>
      </c>
      <c r="D133" s="3">
        <v>8</v>
      </c>
      <c r="E133" s="3">
        <v>-1397.795</v>
      </c>
      <c r="F133" s="4" t="str">
        <f>HYPERLINK("http://141.218.60.56/~jnz1568/getInfo.php?workbook=18_15.xlsx&amp;sheet=A0&amp;row=133&amp;col=6&amp;number=1.008&amp;sourceID=14","1.008")</f>
        <v>1.008</v>
      </c>
      <c r="G133" s="4" t="str">
        <f>HYPERLINK("http://141.218.60.56/~jnz1568/getInfo.php?workbook=18_15.xlsx&amp;sheet=A0&amp;row=133&amp;col=7&amp;number=0&amp;sourceID=14","0")</f>
        <v>0</v>
      </c>
    </row>
    <row r="134" spans="1:7">
      <c r="A134" s="3">
        <v>18</v>
      </c>
      <c r="B134" s="3">
        <v>15</v>
      </c>
      <c r="C134" s="3">
        <v>23</v>
      </c>
      <c r="D134" s="3">
        <v>8</v>
      </c>
      <c r="E134" s="3">
        <v>-1397.795</v>
      </c>
      <c r="F134" s="4" t="str">
        <f>HYPERLINK("http://141.218.60.56/~jnz1568/getInfo.php?workbook=18_15.xlsx&amp;sheet=A0&amp;row=134&amp;col=6&amp;number=2.032&amp;sourceID=14","2.032")</f>
        <v>2.032</v>
      </c>
      <c r="G134" s="4" t="str">
        <f>HYPERLINK("http://141.218.60.56/~jnz1568/getInfo.php?workbook=18_15.xlsx&amp;sheet=A0&amp;row=134&amp;col=7&amp;number=0&amp;sourceID=14","0")</f>
        <v>0</v>
      </c>
    </row>
    <row r="135" spans="1:7">
      <c r="A135" s="3">
        <v>18</v>
      </c>
      <c r="B135" s="3">
        <v>15</v>
      </c>
      <c r="C135" s="3">
        <v>25</v>
      </c>
      <c r="D135" s="3">
        <v>8</v>
      </c>
      <c r="E135" s="3">
        <v>1107.479</v>
      </c>
      <c r="F135" s="4" t="str">
        <f>HYPERLINK("http://141.218.60.56/~jnz1568/getInfo.php?workbook=18_15.xlsx&amp;sheet=A0&amp;row=135&amp;col=6&amp;number=0.1443&amp;sourceID=14","0.1443")</f>
        <v>0.1443</v>
      </c>
      <c r="G135" s="4" t="str">
        <f>HYPERLINK("http://141.218.60.56/~jnz1568/getInfo.php?workbook=18_15.xlsx&amp;sheet=A0&amp;row=135&amp;col=7&amp;number=0&amp;sourceID=14","0")</f>
        <v>0</v>
      </c>
    </row>
    <row r="136" spans="1:7">
      <c r="A136" s="3">
        <v>18</v>
      </c>
      <c r="B136" s="3">
        <v>15</v>
      </c>
      <c r="C136" s="3">
        <v>26</v>
      </c>
      <c r="D136" s="3">
        <v>8</v>
      </c>
      <c r="E136" s="3">
        <v>960.966</v>
      </c>
      <c r="F136" s="4" t="str">
        <f>HYPERLINK("http://141.218.60.56/~jnz1568/getInfo.php?workbook=18_15.xlsx&amp;sheet=A0&amp;row=136&amp;col=6&amp;number=39.95&amp;sourceID=14","39.95")</f>
        <v>39.95</v>
      </c>
      <c r="G136" s="4" t="str">
        <f>HYPERLINK("http://141.218.60.56/~jnz1568/getInfo.php?workbook=18_15.xlsx&amp;sheet=A0&amp;row=136&amp;col=7&amp;number=0&amp;sourceID=14","0")</f>
        <v>0</v>
      </c>
    </row>
    <row r="137" spans="1:7">
      <c r="A137" s="3">
        <v>18</v>
      </c>
      <c r="B137" s="3">
        <v>15</v>
      </c>
      <c r="C137" s="3">
        <v>27</v>
      </c>
      <c r="D137" s="3">
        <v>8</v>
      </c>
      <c r="E137" s="3">
        <v>963.989</v>
      </c>
      <c r="F137" s="4" t="str">
        <f>HYPERLINK("http://141.218.60.56/~jnz1568/getInfo.php?workbook=18_15.xlsx&amp;sheet=A0&amp;row=137&amp;col=6&amp;number=27.55&amp;sourceID=14","27.55")</f>
        <v>27.55</v>
      </c>
      <c r="G137" s="4" t="str">
        <f>HYPERLINK("http://141.218.60.56/~jnz1568/getInfo.php?workbook=18_15.xlsx&amp;sheet=A0&amp;row=137&amp;col=7&amp;number=0&amp;sourceID=14","0")</f>
        <v>0</v>
      </c>
    </row>
    <row r="138" spans="1:7">
      <c r="A138" s="3">
        <v>18</v>
      </c>
      <c r="B138" s="3">
        <v>15</v>
      </c>
      <c r="C138" s="3">
        <v>28</v>
      </c>
      <c r="D138" s="3">
        <v>8</v>
      </c>
      <c r="E138" s="3">
        <v>968.792</v>
      </c>
      <c r="F138" s="4" t="str">
        <f>HYPERLINK("http://141.218.60.56/~jnz1568/getInfo.php?workbook=18_15.xlsx&amp;sheet=A0&amp;row=138&amp;col=6&amp;number=11.85&amp;sourceID=14","11.85")</f>
        <v>11.85</v>
      </c>
      <c r="G138" s="4" t="str">
        <f>HYPERLINK("http://141.218.60.56/~jnz1568/getInfo.php?workbook=18_15.xlsx&amp;sheet=A0&amp;row=138&amp;col=7&amp;number=0&amp;sourceID=14","0")</f>
        <v>0</v>
      </c>
    </row>
    <row r="139" spans="1:7">
      <c r="A139" s="3">
        <v>18</v>
      </c>
      <c r="B139" s="3">
        <v>15</v>
      </c>
      <c r="C139" s="3">
        <v>13</v>
      </c>
      <c r="D139" s="3">
        <v>9</v>
      </c>
      <c r="E139" s="3">
        <v>3133.485</v>
      </c>
      <c r="F139" s="4" t="str">
        <f>HYPERLINK("http://141.218.60.56/~jnz1568/getInfo.php?workbook=18_15.xlsx&amp;sheet=A0&amp;row=139&amp;col=6&amp;number=11.32&amp;sourceID=14","11.32")</f>
        <v>11.32</v>
      </c>
      <c r="G139" s="4" t="str">
        <f>HYPERLINK("http://141.218.60.56/~jnz1568/getInfo.php?workbook=18_15.xlsx&amp;sheet=A0&amp;row=139&amp;col=7&amp;number=0&amp;sourceID=14","0")</f>
        <v>0</v>
      </c>
    </row>
    <row r="140" spans="1:7">
      <c r="A140" s="3">
        <v>18</v>
      </c>
      <c r="B140" s="3">
        <v>15</v>
      </c>
      <c r="C140" s="3">
        <v>22</v>
      </c>
      <c r="D140" s="3">
        <v>9</v>
      </c>
      <c r="E140" s="3">
        <v>-2287.54</v>
      </c>
      <c r="F140" s="4" t="str">
        <f>HYPERLINK("http://141.218.60.56/~jnz1568/getInfo.php?workbook=18_15.xlsx&amp;sheet=A0&amp;row=140&amp;col=6&amp;number=1.674&amp;sourceID=14","1.674")</f>
        <v>1.674</v>
      </c>
      <c r="G140" s="4" t="str">
        <f>HYPERLINK("http://141.218.60.56/~jnz1568/getInfo.php?workbook=18_15.xlsx&amp;sheet=A0&amp;row=140&amp;col=7&amp;number=0&amp;sourceID=14","0")</f>
        <v>0</v>
      </c>
    </row>
    <row r="141" spans="1:7">
      <c r="A141" s="3">
        <v>18</v>
      </c>
      <c r="B141" s="3">
        <v>15</v>
      </c>
      <c r="C141" s="3">
        <v>23</v>
      </c>
      <c r="D141" s="3">
        <v>9</v>
      </c>
      <c r="E141" s="3">
        <v>-2287.54</v>
      </c>
      <c r="F141" s="4" t="str">
        <f>HYPERLINK("http://141.218.60.56/~jnz1568/getInfo.php?workbook=18_15.xlsx&amp;sheet=A0&amp;row=141&amp;col=6&amp;number=0.2923&amp;sourceID=14","0.2923")</f>
        <v>0.2923</v>
      </c>
      <c r="G141" s="4" t="str">
        <f>HYPERLINK("http://141.218.60.56/~jnz1568/getInfo.php?workbook=18_15.xlsx&amp;sheet=A0&amp;row=141&amp;col=7&amp;number=0&amp;sourceID=14","0")</f>
        <v>0</v>
      </c>
    </row>
    <row r="142" spans="1:7">
      <c r="A142" s="3">
        <v>18</v>
      </c>
      <c r="B142" s="3">
        <v>15</v>
      </c>
      <c r="C142" s="3">
        <v>24</v>
      </c>
      <c r="D142" s="3">
        <v>9</v>
      </c>
      <c r="E142" s="3">
        <v>1617.072</v>
      </c>
      <c r="F142" s="4" t="str">
        <f>HYPERLINK("http://141.218.60.56/~jnz1568/getInfo.php?workbook=18_15.xlsx&amp;sheet=A0&amp;row=142&amp;col=6&amp;number=7.569&amp;sourceID=14","7.569")</f>
        <v>7.569</v>
      </c>
      <c r="G142" s="4" t="str">
        <f>HYPERLINK("http://141.218.60.56/~jnz1568/getInfo.php?workbook=18_15.xlsx&amp;sheet=A0&amp;row=142&amp;col=7&amp;number=0&amp;sourceID=14","0")</f>
        <v>0</v>
      </c>
    </row>
    <row r="143" spans="1:7">
      <c r="A143" s="3">
        <v>18</v>
      </c>
      <c r="B143" s="3">
        <v>15</v>
      </c>
      <c r="C143" s="3">
        <v>29</v>
      </c>
      <c r="D143" s="3">
        <v>9</v>
      </c>
      <c r="E143" s="3">
        <v>1280.463</v>
      </c>
      <c r="F143" s="4" t="str">
        <f>HYPERLINK("http://141.218.60.56/~jnz1568/getInfo.php?workbook=18_15.xlsx&amp;sheet=A0&amp;row=143&amp;col=6&amp;number=1.54&amp;sourceID=14","1.54")</f>
        <v>1.54</v>
      </c>
      <c r="G143" s="4" t="str">
        <f>HYPERLINK("http://141.218.60.56/~jnz1568/getInfo.php?workbook=18_15.xlsx&amp;sheet=A0&amp;row=143&amp;col=7&amp;number=0&amp;sourceID=14","0")</f>
        <v>0</v>
      </c>
    </row>
    <row r="144" spans="1:7">
      <c r="A144" s="3">
        <v>18</v>
      </c>
      <c r="B144" s="3">
        <v>15</v>
      </c>
      <c r="C144" s="3">
        <v>30</v>
      </c>
      <c r="D144" s="3">
        <v>9</v>
      </c>
      <c r="E144" s="3">
        <v>1298.127</v>
      </c>
      <c r="F144" s="4" t="str">
        <f>HYPERLINK("http://141.218.60.56/~jnz1568/getInfo.php?workbook=18_15.xlsx&amp;sheet=A0&amp;row=144&amp;col=6&amp;number=1.039&amp;sourceID=14","1.039")</f>
        <v>1.039</v>
      </c>
      <c r="G144" s="4" t="str">
        <f>HYPERLINK("http://141.218.60.56/~jnz1568/getInfo.php?workbook=18_15.xlsx&amp;sheet=A0&amp;row=144&amp;col=7&amp;number=0&amp;sourceID=14","0")</f>
        <v>0</v>
      </c>
    </row>
    <row r="145" spans="1:7">
      <c r="A145" s="3">
        <v>18</v>
      </c>
      <c r="B145" s="3">
        <v>15</v>
      </c>
      <c r="C145" s="3">
        <v>13</v>
      </c>
      <c r="D145" s="3">
        <v>10</v>
      </c>
      <c r="E145" s="3">
        <v>3141.311</v>
      </c>
      <c r="F145" s="4" t="str">
        <f>HYPERLINK("http://141.218.60.56/~jnz1568/getInfo.php?workbook=18_15.xlsx&amp;sheet=A0&amp;row=145&amp;col=6&amp;number=16.46&amp;sourceID=14","16.46")</f>
        <v>16.46</v>
      </c>
      <c r="G145" s="4" t="str">
        <f>HYPERLINK("http://141.218.60.56/~jnz1568/getInfo.php?workbook=18_15.xlsx&amp;sheet=A0&amp;row=145&amp;col=7&amp;number=0&amp;sourceID=14","0")</f>
        <v>0</v>
      </c>
    </row>
    <row r="146" spans="1:7">
      <c r="A146" s="3">
        <v>18</v>
      </c>
      <c r="B146" s="3">
        <v>15</v>
      </c>
      <c r="C146" s="3">
        <v>17</v>
      </c>
      <c r="D146" s="3">
        <v>10</v>
      </c>
      <c r="E146" s="3">
        <v>2762.811</v>
      </c>
      <c r="F146" s="4" t="str">
        <f>HYPERLINK("http://141.218.60.56/~jnz1568/getInfo.php?workbook=18_15.xlsx&amp;sheet=A0&amp;row=146&amp;col=6&amp;number=0.002321&amp;sourceID=14","0.002321")</f>
        <v>0.002321</v>
      </c>
      <c r="G146" s="4" t="str">
        <f>HYPERLINK("http://141.218.60.56/~jnz1568/getInfo.php?workbook=18_15.xlsx&amp;sheet=A0&amp;row=146&amp;col=7&amp;number=0&amp;sourceID=14","0")</f>
        <v>0</v>
      </c>
    </row>
    <row r="147" spans="1:7">
      <c r="A147" s="3">
        <v>18</v>
      </c>
      <c r="B147" s="3">
        <v>15</v>
      </c>
      <c r="C147" s="3">
        <v>21</v>
      </c>
      <c r="D147" s="3">
        <v>10</v>
      </c>
      <c r="E147" s="3">
        <v>2335.155</v>
      </c>
      <c r="F147" s="4" t="str">
        <f>HYPERLINK("http://141.218.60.56/~jnz1568/getInfo.php?workbook=18_15.xlsx&amp;sheet=A0&amp;row=147&amp;col=6&amp;number=0.2076&amp;sourceID=14","0.2076")</f>
        <v>0.2076</v>
      </c>
      <c r="G147" s="4" t="str">
        <f>HYPERLINK("http://141.218.60.56/~jnz1568/getInfo.php?workbook=18_15.xlsx&amp;sheet=A0&amp;row=147&amp;col=7&amp;number=0&amp;sourceID=14","0")</f>
        <v>0</v>
      </c>
    </row>
    <row r="148" spans="1:7">
      <c r="A148" s="3">
        <v>18</v>
      </c>
      <c r="B148" s="3">
        <v>15</v>
      </c>
      <c r="C148" s="3">
        <v>23</v>
      </c>
      <c r="D148" s="3">
        <v>10</v>
      </c>
      <c r="E148" s="3">
        <v>-2287.54</v>
      </c>
      <c r="F148" s="4" t="str">
        <f>HYPERLINK("http://141.218.60.56/~jnz1568/getInfo.php?workbook=18_15.xlsx&amp;sheet=A0&amp;row=148&amp;col=6&amp;number=2.173&amp;sourceID=14","2.173")</f>
        <v>2.173</v>
      </c>
      <c r="G148" s="4" t="str">
        <f>HYPERLINK("http://141.218.60.56/~jnz1568/getInfo.php?workbook=18_15.xlsx&amp;sheet=A0&amp;row=148&amp;col=7&amp;number=0&amp;sourceID=14","0")</f>
        <v>0</v>
      </c>
    </row>
    <row r="149" spans="1:7">
      <c r="A149" s="3">
        <v>18</v>
      </c>
      <c r="B149" s="3">
        <v>15</v>
      </c>
      <c r="C149" s="3">
        <v>24</v>
      </c>
      <c r="D149" s="3">
        <v>10</v>
      </c>
      <c r="E149" s="3">
        <v>1619.153</v>
      </c>
      <c r="F149" s="4" t="str">
        <f>HYPERLINK("http://141.218.60.56/~jnz1568/getInfo.php?workbook=18_15.xlsx&amp;sheet=A0&amp;row=149&amp;col=6&amp;number=0.6785&amp;sourceID=14","0.6785")</f>
        <v>0.6785</v>
      </c>
      <c r="G149" s="4" t="str">
        <f>HYPERLINK("http://141.218.60.56/~jnz1568/getInfo.php?workbook=18_15.xlsx&amp;sheet=A0&amp;row=149&amp;col=7&amp;number=0&amp;sourceID=14","0")</f>
        <v>0</v>
      </c>
    </row>
    <row r="150" spans="1:7">
      <c r="A150" s="3">
        <v>18</v>
      </c>
      <c r="B150" s="3">
        <v>15</v>
      </c>
      <c r="C150" s="3">
        <v>25</v>
      </c>
      <c r="D150" s="3">
        <v>10</v>
      </c>
      <c r="E150" s="3">
        <v>1616.559</v>
      </c>
      <c r="F150" s="4" t="str">
        <f>HYPERLINK("http://141.218.60.56/~jnz1568/getInfo.php?workbook=18_15.xlsx&amp;sheet=A0&amp;row=150&amp;col=6&amp;number=8.356&amp;sourceID=14","8.356")</f>
        <v>8.356</v>
      </c>
      <c r="G150" s="4" t="str">
        <f>HYPERLINK("http://141.218.60.56/~jnz1568/getInfo.php?workbook=18_15.xlsx&amp;sheet=A0&amp;row=150&amp;col=7&amp;number=0&amp;sourceID=14","0")</f>
        <v>0</v>
      </c>
    </row>
    <row r="151" spans="1:7">
      <c r="A151" s="3">
        <v>18</v>
      </c>
      <c r="B151" s="3">
        <v>15</v>
      </c>
      <c r="C151" s="3">
        <v>29</v>
      </c>
      <c r="D151" s="3">
        <v>10</v>
      </c>
      <c r="E151" s="3">
        <v>1281.768</v>
      </c>
      <c r="F151" s="4" t="str">
        <f>HYPERLINK("http://141.218.60.56/~jnz1568/getInfo.php?workbook=18_15.xlsx&amp;sheet=A0&amp;row=151&amp;col=6&amp;number=1.969&amp;sourceID=14","1.969")</f>
        <v>1.969</v>
      </c>
      <c r="G151" s="4" t="str">
        <f>HYPERLINK("http://141.218.60.56/~jnz1568/getInfo.php?workbook=18_15.xlsx&amp;sheet=A0&amp;row=151&amp;col=7&amp;number=0&amp;sourceID=14","0")</f>
        <v>0</v>
      </c>
    </row>
    <row r="152" spans="1:7">
      <c r="A152" s="3">
        <v>18</v>
      </c>
      <c r="B152" s="3">
        <v>15</v>
      </c>
      <c r="C152" s="3">
        <v>30</v>
      </c>
      <c r="D152" s="3">
        <v>11</v>
      </c>
      <c r="E152" s="3">
        <v>1801.442</v>
      </c>
      <c r="F152" s="4" t="str">
        <f>HYPERLINK("http://141.218.60.56/~jnz1568/getInfo.php?workbook=18_15.xlsx&amp;sheet=A0&amp;row=152&amp;col=6&amp;number=16.77&amp;sourceID=14","16.77")</f>
        <v>16.77</v>
      </c>
      <c r="G152" s="4" t="str">
        <f>HYPERLINK("http://141.218.60.56/~jnz1568/getInfo.php?workbook=18_15.xlsx&amp;sheet=A0&amp;row=152&amp;col=7&amp;number=0&amp;sourceID=14","0")</f>
        <v>0</v>
      </c>
    </row>
    <row r="153" spans="1:7">
      <c r="A153" s="3">
        <v>18</v>
      </c>
      <c r="B153" s="3">
        <v>15</v>
      </c>
      <c r="C153" s="3">
        <v>23</v>
      </c>
      <c r="D153" s="3">
        <v>12</v>
      </c>
      <c r="E153" s="3">
        <v>-4350.332</v>
      </c>
      <c r="F153" s="4" t="str">
        <f>HYPERLINK("http://141.218.60.56/~jnz1568/getInfo.php?workbook=18_15.xlsx&amp;sheet=A0&amp;row=153&amp;col=6&amp;number=0.3351&amp;sourceID=14","0.3351")</f>
        <v>0.3351</v>
      </c>
      <c r="G153" s="4" t="str">
        <f>HYPERLINK("http://141.218.60.56/~jnz1568/getInfo.php?workbook=18_15.xlsx&amp;sheet=A0&amp;row=153&amp;col=7&amp;number=0&amp;sourceID=14","0")</f>
        <v>0</v>
      </c>
    </row>
    <row r="154" spans="1:7">
      <c r="A154" s="3">
        <v>18</v>
      </c>
      <c r="B154" s="3">
        <v>15</v>
      </c>
      <c r="C154" s="3">
        <v>29</v>
      </c>
      <c r="D154" s="3">
        <v>12</v>
      </c>
      <c r="E154" s="3">
        <v>1734.16</v>
      </c>
      <c r="F154" s="4" t="str">
        <f>HYPERLINK("http://141.218.60.56/~jnz1568/getInfo.php?workbook=18_15.xlsx&amp;sheet=A0&amp;row=154&amp;col=6&amp;number=24&amp;sourceID=14","24")</f>
        <v>24</v>
      </c>
      <c r="G154" s="4" t="str">
        <f>HYPERLINK("http://141.218.60.56/~jnz1568/getInfo.php?workbook=18_15.xlsx&amp;sheet=A0&amp;row=154&amp;col=7&amp;number=0&amp;sourceID=14","0")</f>
        <v>0</v>
      </c>
    </row>
    <row r="155" spans="1:7">
      <c r="A155" s="3">
        <v>18</v>
      </c>
      <c r="B155" s="3">
        <v>15</v>
      </c>
      <c r="C155" s="3">
        <v>30</v>
      </c>
      <c r="D155" s="3">
        <v>12</v>
      </c>
      <c r="E155" s="3">
        <v>1766.719</v>
      </c>
      <c r="F155" s="4" t="str">
        <f>HYPERLINK("http://141.218.60.56/~jnz1568/getInfo.php?workbook=18_15.xlsx&amp;sheet=A0&amp;row=155&amp;col=6&amp;number=3.881&amp;sourceID=14","3.881")</f>
        <v>3.881</v>
      </c>
      <c r="G155" s="4" t="str">
        <f>HYPERLINK("http://141.218.60.56/~jnz1568/getInfo.php?workbook=18_15.xlsx&amp;sheet=A0&amp;row=155&amp;col=7&amp;number=0&amp;sourceID=14","0")</f>
        <v>0</v>
      </c>
    </row>
    <row r="156" spans="1:7">
      <c r="A156" s="3">
        <v>18</v>
      </c>
      <c r="B156" s="3">
        <v>15</v>
      </c>
      <c r="C156" s="3">
        <v>26</v>
      </c>
      <c r="D156" s="3">
        <v>14</v>
      </c>
      <c r="E156" s="3">
        <v>2442.335</v>
      </c>
      <c r="F156" s="4" t="str">
        <f>HYPERLINK("http://141.218.60.56/~jnz1568/getInfo.php?workbook=18_15.xlsx&amp;sheet=A0&amp;row=156&amp;col=6&amp;number=2.158&amp;sourceID=14","2.158")</f>
        <v>2.158</v>
      </c>
      <c r="G156" s="4" t="str">
        <f>HYPERLINK("http://141.218.60.56/~jnz1568/getInfo.php?workbook=18_15.xlsx&amp;sheet=A0&amp;row=156&amp;col=7&amp;number=0&amp;sourceID=14","0")</f>
        <v>0</v>
      </c>
    </row>
    <row r="157" spans="1:7">
      <c r="A157" s="3">
        <v>18</v>
      </c>
      <c r="B157" s="3">
        <v>15</v>
      </c>
      <c r="C157" s="3">
        <v>24</v>
      </c>
      <c r="D157" s="3">
        <v>15</v>
      </c>
      <c r="E157" s="3">
        <v>3741.29</v>
      </c>
      <c r="F157" s="4" t="str">
        <f>HYPERLINK("http://141.218.60.56/~jnz1568/getInfo.php?workbook=18_15.xlsx&amp;sheet=A0&amp;row=157&amp;col=6&amp;number=0.1855&amp;sourceID=14","0.1855")</f>
        <v>0.1855</v>
      </c>
      <c r="G157" s="4" t="str">
        <f>HYPERLINK("http://141.218.60.56/~jnz1568/getInfo.php?workbook=18_15.xlsx&amp;sheet=A0&amp;row=157&amp;col=7&amp;number=0&amp;sourceID=14","0")</f>
        <v>0</v>
      </c>
    </row>
    <row r="158" spans="1:7">
      <c r="A158" s="3">
        <v>18</v>
      </c>
      <c r="B158" s="3">
        <v>15</v>
      </c>
      <c r="C158" s="3">
        <v>26</v>
      </c>
      <c r="D158" s="3">
        <v>15</v>
      </c>
      <c r="E158" s="3">
        <v>2463.375</v>
      </c>
      <c r="F158" s="4" t="str">
        <f>HYPERLINK("http://141.218.60.56/~jnz1568/getInfo.php?workbook=18_15.xlsx&amp;sheet=A0&amp;row=158&amp;col=6&amp;number=1.374&amp;sourceID=14","1.374")</f>
        <v>1.374</v>
      </c>
      <c r="G158" s="4" t="str">
        <f>HYPERLINK("http://141.218.60.56/~jnz1568/getInfo.php?workbook=18_15.xlsx&amp;sheet=A0&amp;row=158&amp;col=7&amp;number=0&amp;sourceID=14","0")</f>
        <v>0</v>
      </c>
    </row>
    <row r="159" spans="1:7">
      <c r="A159" s="3">
        <v>18</v>
      </c>
      <c r="B159" s="3">
        <v>15</v>
      </c>
      <c r="C159" s="3">
        <v>27</v>
      </c>
      <c r="D159" s="3">
        <v>15</v>
      </c>
      <c r="E159" s="3">
        <v>2483.341</v>
      </c>
      <c r="F159" s="4" t="str">
        <f>HYPERLINK("http://141.218.60.56/~jnz1568/getInfo.php?workbook=18_15.xlsx&amp;sheet=A0&amp;row=159&amp;col=6&amp;number=1.14&amp;sourceID=14","1.14")</f>
        <v>1.14</v>
      </c>
      <c r="G159" s="4" t="str">
        <f>HYPERLINK("http://141.218.60.56/~jnz1568/getInfo.php?workbook=18_15.xlsx&amp;sheet=A0&amp;row=159&amp;col=7&amp;number=0&amp;sourceID=14","0")</f>
        <v>0</v>
      </c>
    </row>
    <row r="160" spans="1:7">
      <c r="A160" s="3">
        <v>18</v>
      </c>
      <c r="B160" s="3">
        <v>15</v>
      </c>
      <c r="C160" s="3">
        <v>17</v>
      </c>
      <c r="D160" s="3">
        <v>16</v>
      </c>
      <c r="E160" s="3">
        <v>151036.297</v>
      </c>
      <c r="F160" s="4" t="str">
        <f>HYPERLINK("http://141.218.60.56/~jnz1568/getInfo.php?workbook=18_15.xlsx&amp;sheet=A0&amp;row=160&amp;col=6&amp;number=0.007768&amp;sourceID=14","0.007768")</f>
        <v>0.007768</v>
      </c>
      <c r="G160" s="4" t="str">
        <f>HYPERLINK("http://141.218.60.56/~jnz1568/getInfo.php?workbook=18_15.xlsx&amp;sheet=A0&amp;row=160&amp;col=7&amp;number=0&amp;sourceID=14","0")</f>
        <v>0</v>
      </c>
    </row>
    <row r="161" spans="1:7">
      <c r="A161" s="3">
        <v>18</v>
      </c>
      <c r="B161" s="3">
        <v>15</v>
      </c>
      <c r="C161" s="3">
        <v>24</v>
      </c>
      <c r="D161" s="3">
        <v>16</v>
      </c>
      <c r="E161" s="3">
        <v>3812.756</v>
      </c>
      <c r="F161" s="4" t="str">
        <f>HYPERLINK("http://141.218.60.56/~jnz1568/getInfo.php?workbook=18_15.xlsx&amp;sheet=A0&amp;row=161&amp;col=6&amp;number=0.2143&amp;sourceID=14","0.2143")</f>
        <v>0.2143</v>
      </c>
      <c r="G161" s="4" t="str">
        <f>HYPERLINK("http://141.218.60.56/~jnz1568/getInfo.php?workbook=18_15.xlsx&amp;sheet=A0&amp;row=161&amp;col=7&amp;number=0&amp;sourceID=14","0")</f>
        <v>0</v>
      </c>
    </row>
    <row r="162" spans="1:7">
      <c r="A162" s="3">
        <v>18</v>
      </c>
      <c r="B162" s="3">
        <v>15</v>
      </c>
      <c r="C162" s="3">
        <v>25</v>
      </c>
      <c r="D162" s="3">
        <v>16</v>
      </c>
      <c r="E162" s="3">
        <v>3798.402</v>
      </c>
      <c r="F162" s="4" t="str">
        <f>HYPERLINK("http://141.218.60.56/~jnz1568/getInfo.php?workbook=18_15.xlsx&amp;sheet=A0&amp;row=162&amp;col=6&amp;number=0.2107&amp;sourceID=14","0.2107")</f>
        <v>0.2107</v>
      </c>
      <c r="G162" s="4" t="str">
        <f>HYPERLINK("http://141.218.60.56/~jnz1568/getInfo.php?workbook=18_15.xlsx&amp;sheet=A0&amp;row=162&amp;col=7&amp;number=0&amp;sourceID=14","0")</f>
        <v>0</v>
      </c>
    </row>
    <row r="163" spans="1:7">
      <c r="A163" s="3">
        <v>18</v>
      </c>
      <c r="B163" s="3">
        <v>15</v>
      </c>
      <c r="C163" s="3">
        <v>27</v>
      </c>
      <c r="D163" s="3">
        <v>16</v>
      </c>
      <c r="E163" s="3">
        <v>2514.627</v>
      </c>
      <c r="F163" s="4" t="str">
        <f>HYPERLINK("http://141.218.60.56/~jnz1568/getInfo.php?workbook=18_15.xlsx&amp;sheet=A0&amp;row=163&amp;col=6&amp;number=1.519&amp;sourceID=14","1.519")</f>
        <v>1.519</v>
      </c>
      <c r="G163" s="4" t="str">
        <f>HYPERLINK("http://141.218.60.56/~jnz1568/getInfo.php?workbook=18_15.xlsx&amp;sheet=A0&amp;row=163&amp;col=7&amp;number=0&amp;sourceID=14","0")</f>
        <v>0</v>
      </c>
    </row>
    <row r="164" spans="1:7">
      <c r="A164" s="3">
        <v>18</v>
      </c>
      <c r="B164" s="3">
        <v>15</v>
      </c>
      <c r="C164" s="3">
        <v>25</v>
      </c>
      <c r="D164" s="3">
        <v>17</v>
      </c>
      <c r="E164" s="3">
        <v>3896.393</v>
      </c>
      <c r="F164" s="4" t="str">
        <f>HYPERLINK("http://141.218.60.56/~jnz1568/getInfo.php?workbook=18_15.xlsx&amp;sheet=A0&amp;row=164&amp;col=6&amp;number=0.5367&amp;sourceID=14","0.5367")</f>
        <v>0.5367</v>
      </c>
      <c r="G164" s="4" t="str">
        <f>HYPERLINK("http://141.218.60.56/~jnz1568/getInfo.php?workbook=18_15.xlsx&amp;sheet=A0&amp;row=164&amp;col=7&amp;number=0&amp;sourceID=14","0")</f>
        <v>0</v>
      </c>
    </row>
    <row r="165" spans="1:7">
      <c r="A165" s="3">
        <v>18</v>
      </c>
      <c r="B165" s="3">
        <v>15</v>
      </c>
      <c r="C165" s="3">
        <v>28</v>
      </c>
      <c r="D165" s="3">
        <v>17</v>
      </c>
      <c r="E165" s="3">
        <v>2591.282</v>
      </c>
      <c r="F165" s="4" t="str">
        <f>HYPERLINK("http://141.218.60.56/~jnz1568/getInfo.php?workbook=18_15.xlsx&amp;sheet=A0&amp;row=165&amp;col=6&amp;number=1.655&amp;sourceID=14","1.655")</f>
        <v>1.655</v>
      </c>
      <c r="G165" s="4" t="str">
        <f>HYPERLINK("http://141.218.60.56/~jnz1568/getInfo.php?workbook=18_15.xlsx&amp;sheet=A0&amp;row=165&amp;col=7&amp;number=0&amp;sourceID=14","0")</f>
        <v>0</v>
      </c>
    </row>
    <row r="166" spans="1:7">
      <c r="A166" s="3">
        <v>18</v>
      </c>
      <c r="B166" s="3">
        <v>15</v>
      </c>
      <c r="C166" s="3">
        <v>29</v>
      </c>
      <c r="D166" s="3">
        <v>22</v>
      </c>
      <c r="E166" s="3">
        <v>-2484.66</v>
      </c>
      <c r="F166" s="4" t="str">
        <f>HYPERLINK("http://141.218.60.56/~jnz1568/getInfo.php?workbook=18_15.xlsx&amp;sheet=A0&amp;row=166&amp;col=6&amp;number=8.745&amp;sourceID=14","8.745")</f>
        <v>8.745</v>
      </c>
      <c r="G166" s="4" t="str">
        <f>HYPERLINK("http://141.218.60.56/~jnz1568/getInfo.php?workbook=18_15.xlsx&amp;sheet=A0&amp;row=166&amp;col=7&amp;number=0&amp;sourceID=14","0")</f>
        <v>0</v>
      </c>
    </row>
    <row r="167" spans="1:7">
      <c r="A167" s="3">
        <v>18</v>
      </c>
      <c r="B167" s="3">
        <v>15</v>
      </c>
      <c r="C167" s="3">
        <v>24</v>
      </c>
      <c r="D167" s="3">
        <v>23</v>
      </c>
      <c r="E167" s="3">
        <v>-4260.636</v>
      </c>
      <c r="F167" s="4" t="str">
        <f>HYPERLINK("http://141.218.60.56/~jnz1568/getInfo.php?workbook=18_15.xlsx&amp;sheet=A0&amp;row=167&amp;col=6&amp;number=0.1444&amp;sourceID=14","0.1444")</f>
        <v>0.1444</v>
      </c>
      <c r="G167" s="4" t="str">
        <f>HYPERLINK("http://141.218.60.56/~jnz1568/getInfo.php?workbook=18_15.xlsx&amp;sheet=A0&amp;row=167&amp;col=7&amp;number=0&amp;sourceID=14","0")</f>
        <v>0</v>
      </c>
    </row>
    <row r="168" spans="1:7">
      <c r="A168" s="3">
        <v>18</v>
      </c>
      <c r="B168" s="3">
        <v>15</v>
      </c>
      <c r="C168" s="3">
        <v>30</v>
      </c>
      <c r="D168" s="3">
        <v>23</v>
      </c>
      <c r="E168" s="3">
        <v>-2484.66</v>
      </c>
      <c r="F168" s="4" t="str">
        <f>HYPERLINK("http://141.218.60.56/~jnz1568/getInfo.php?workbook=18_15.xlsx&amp;sheet=A0&amp;row=168&amp;col=6&amp;number=7.704&amp;sourceID=14","7.704")</f>
        <v>7.704</v>
      </c>
      <c r="G168" s="4" t="str">
        <f>HYPERLINK("http://141.218.60.56/~jnz1568/getInfo.php?workbook=18_15.xlsx&amp;sheet=A0&amp;row=168&amp;col=7&amp;number=0&amp;sourceID=14","0")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3"/>
  <sheetViews>
    <sheetView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3.7109375" customWidth="1"/>
    <col min="6" max="6" width="9.7109375" customWidth="1"/>
    <col min="7" max="7" width="7.7109375" customWidth="1"/>
  </cols>
  <sheetData>
    <row r="1" spans="1:7">
      <c r="A1" s="1" t="s">
        <v>29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25</v>
      </c>
      <c r="D3" s="2" t="s">
        <v>4</v>
      </c>
      <c r="E3" s="2" t="s">
        <v>30</v>
      </c>
      <c r="F3" s="2" t="s">
        <v>31</v>
      </c>
      <c r="G3" s="2" t="s">
        <v>32</v>
      </c>
    </row>
    <row r="4" spans="1:7">
      <c r="A4" s="3">
        <v>18</v>
      </c>
      <c r="B4" s="3">
        <v>15</v>
      </c>
      <c r="C4" s="3">
        <v>1</v>
      </c>
      <c r="D4" s="3">
        <v>2</v>
      </c>
      <c r="E4" s="3">
        <v>1</v>
      </c>
      <c r="F4" s="4" t="str">
        <f>HYPERLINK("http://141.218.60.56/~jnz1568/getInfo.php?workbook=18_15.xlsx&amp;sheet=U0&amp;row=4&amp;col=6&amp;number=3&amp;sourceID=14","3")</f>
        <v>3</v>
      </c>
      <c r="G4" s="4" t="str">
        <f>HYPERLINK("http://141.218.60.56/~jnz1568/getInfo.php?workbook=18_15.xlsx&amp;sheet=U0&amp;row=4&amp;col=7&amp;number=0.784&amp;sourceID=14","0.784")</f>
        <v>0.784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HYPERLINK("http://141.218.60.56/~jnz1568/getInfo.php?workbook=18_15.xlsx&amp;sheet=U0&amp;row=5&amp;col=6&amp;number=3.1&amp;sourceID=14","3.1")</f>
        <v>3.1</v>
      </c>
      <c r="G5" s="4" t="str">
        <f>HYPERLINK("http://141.218.60.56/~jnz1568/getInfo.php?workbook=18_15.xlsx&amp;sheet=U0&amp;row=5&amp;col=7&amp;number=0.783&amp;sourceID=14","0.783")</f>
        <v>0.783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HYPERLINK("http://141.218.60.56/~jnz1568/getInfo.php?workbook=18_15.xlsx&amp;sheet=U0&amp;row=6&amp;col=6&amp;number=3.2&amp;sourceID=14","3.2")</f>
        <v>3.2</v>
      </c>
      <c r="G6" s="4" t="str">
        <f>HYPERLINK("http://141.218.60.56/~jnz1568/getInfo.php?workbook=18_15.xlsx&amp;sheet=U0&amp;row=6&amp;col=7&amp;number=0.781&amp;sourceID=14","0.781")</f>
        <v>0.781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HYPERLINK("http://141.218.60.56/~jnz1568/getInfo.php?workbook=18_15.xlsx&amp;sheet=U0&amp;row=7&amp;col=6&amp;number=3.3&amp;sourceID=14","3.3")</f>
        <v>3.3</v>
      </c>
      <c r="G7" s="4" t="str">
        <f>HYPERLINK("http://141.218.60.56/~jnz1568/getInfo.php?workbook=18_15.xlsx&amp;sheet=U0&amp;row=7&amp;col=7&amp;number=0.779&amp;sourceID=14","0.779")</f>
        <v>0.779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HYPERLINK("http://141.218.60.56/~jnz1568/getInfo.php?workbook=18_15.xlsx&amp;sheet=U0&amp;row=8&amp;col=6&amp;number=3.4&amp;sourceID=14","3.4")</f>
        <v>3.4</v>
      </c>
      <c r="G8" s="4" t="str">
        <f>HYPERLINK("http://141.218.60.56/~jnz1568/getInfo.php?workbook=18_15.xlsx&amp;sheet=U0&amp;row=8&amp;col=7&amp;number=0.777&amp;sourceID=14","0.777")</f>
        <v>0.777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HYPERLINK("http://141.218.60.56/~jnz1568/getInfo.php?workbook=18_15.xlsx&amp;sheet=U0&amp;row=9&amp;col=6&amp;number=3.5&amp;sourceID=14","3.5")</f>
        <v>3.5</v>
      </c>
      <c r="G9" s="4" t="str">
        <f>HYPERLINK("http://141.218.60.56/~jnz1568/getInfo.php?workbook=18_15.xlsx&amp;sheet=U0&amp;row=9&amp;col=7&amp;number=0.774&amp;sourceID=14","0.774")</f>
        <v>0.774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HYPERLINK("http://141.218.60.56/~jnz1568/getInfo.php?workbook=18_15.xlsx&amp;sheet=U0&amp;row=10&amp;col=6&amp;number=3.6&amp;sourceID=14","3.6")</f>
        <v>3.6</v>
      </c>
      <c r="G10" s="4" t="str">
        <f>HYPERLINK("http://141.218.60.56/~jnz1568/getInfo.php?workbook=18_15.xlsx&amp;sheet=U0&amp;row=10&amp;col=7&amp;number=0.771&amp;sourceID=14","0.771")</f>
        <v>0.771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HYPERLINK("http://141.218.60.56/~jnz1568/getInfo.php?workbook=18_15.xlsx&amp;sheet=U0&amp;row=11&amp;col=6&amp;number=3.7&amp;sourceID=14","3.7")</f>
        <v>3.7</v>
      </c>
      <c r="G11" s="4" t="str">
        <f>HYPERLINK("http://141.218.60.56/~jnz1568/getInfo.php?workbook=18_15.xlsx&amp;sheet=U0&amp;row=11&amp;col=7&amp;number=0.767&amp;sourceID=14","0.767")</f>
        <v>0.767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HYPERLINK("http://141.218.60.56/~jnz1568/getInfo.php?workbook=18_15.xlsx&amp;sheet=U0&amp;row=12&amp;col=6&amp;number=3.8&amp;sourceID=14","3.8")</f>
        <v>3.8</v>
      </c>
      <c r="G12" s="4" t="str">
        <f>HYPERLINK("http://141.218.60.56/~jnz1568/getInfo.php?workbook=18_15.xlsx&amp;sheet=U0&amp;row=12&amp;col=7&amp;number=0.764&amp;sourceID=14","0.764")</f>
        <v>0.764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HYPERLINK("http://141.218.60.56/~jnz1568/getInfo.php?workbook=18_15.xlsx&amp;sheet=U0&amp;row=13&amp;col=6&amp;number=3.9&amp;sourceID=14","3.9")</f>
        <v>3.9</v>
      </c>
      <c r="G13" s="4" t="str">
        <f>HYPERLINK("http://141.218.60.56/~jnz1568/getInfo.php?workbook=18_15.xlsx&amp;sheet=U0&amp;row=13&amp;col=7&amp;number=0.761&amp;sourceID=14","0.761")</f>
        <v>0.761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HYPERLINK("http://141.218.60.56/~jnz1568/getInfo.php?workbook=18_15.xlsx&amp;sheet=U0&amp;row=14&amp;col=6&amp;number=4&amp;sourceID=14","4")</f>
        <v>4</v>
      </c>
      <c r="G14" s="4" t="str">
        <f>HYPERLINK("http://141.218.60.56/~jnz1568/getInfo.php?workbook=18_15.xlsx&amp;sheet=U0&amp;row=14&amp;col=7&amp;number=0.761&amp;sourceID=14","0.761")</f>
        <v>0.761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HYPERLINK("http://141.218.60.56/~jnz1568/getInfo.php?workbook=18_15.xlsx&amp;sheet=U0&amp;row=15&amp;col=6&amp;number=4.1&amp;sourceID=14","4.1")</f>
        <v>4.1</v>
      </c>
      <c r="G15" s="4" t="str">
        <f>HYPERLINK("http://141.218.60.56/~jnz1568/getInfo.php?workbook=18_15.xlsx&amp;sheet=U0&amp;row=15&amp;col=7&amp;number=0.763&amp;sourceID=14","0.763")</f>
        <v>0.763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HYPERLINK("http://141.218.60.56/~jnz1568/getInfo.php?workbook=18_15.xlsx&amp;sheet=U0&amp;row=16&amp;col=6&amp;number=4.2&amp;sourceID=14","4.2")</f>
        <v>4.2</v>
      </c>
      <c r="G16" s="4" t="str">
        <f>HYPERLINK("http://141.218.60.56/~jnz1568/getInfo.php?workbook=18_15.xlsx&amp;sheet=U0&amp;row=16&amp;col=7&amp;number=0.769&amp;sourceID=14","0.769")</f>
        <v>0.769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HYPERLINK("http://141.218.60.56/~jnz1568/getInfo.php?workbook=18_15.xlsx&amp;sheet=U0&amp;row=17&amp;col=6&amp;number=4.3&amp;sourceID=14","4.3")</f>
        <v>4.3</v>
      </c>
      <c r="G17" s="4" t="str">
        <f>HYPERLINK("http://141.218.60.56/~jnz1568/getInfo.php?workbook=18_15.xlsx&amp;sheet=U0&amp;row=17&amp;col=7&amp;number=0.779&amp;sourceID=14","0.779")</f>
        <v>0.779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HYPERLINK("http://141.218.60.56/~jnz1568/getInfo.php?workbook=18_15.xlsx&amp;sheet=U0&amp;row=18&amp;col=6&amp;number=4.4&amp;sourceID=14","4.4")</f>
        <v>4.4</v>
      </c>
      <c r="G18" s="4" t="str">
        <f>HYPERLINK("http://141.218.60.56/~jnz1568/getInfo.php?workbook=18_15.xlsx&amp;sheet=U0&amp;row=18&amp;col=7&amp;number=0.792&amp;sourceID=14","0.792")</f>
        <v>0.792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HYPERLINK("http://141.218.60.56/~jnz1568/getInfo.php?workbook=18_15.xlsx&amp;sheet=U0&amp;row=19&amp;col=6&amp;number=4.5&amp;sourceID=14","4.5")</f>
        <v>4.5</v>
      </c>
      <c r="G19" s="4" t="str">
        <f>HYPERLINK("http://141.218.60.56/~jnz1568/getInfo.php?workbook=18_15.xlsx&amp;sheet=U0&amp;row=19&amp;col=7&amp;number=0.809&amp;sourceID=14","0.809")</f>
        <v>0.809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HYPERLINK("http://141.218.60.56/~jnz1568/getInfo.php?workbook=18_15.xlsx&amp;sheet=U0&amp;row=20&amp;col=6&amp;number=4.6&amp;sourceID=14","4.6")</f>
        <v>4.6</v>
      </c>
      <c r="G20" s="4" t="str">
        <f>HYPERLINK("http://141.218.60.56/~jnz1568/getInfo.php?workbook=18_15.xlsx&amp;sheet=U0&amp;row=20&amp;col=7&amp;number=0.829&amp;sourceID=14","0.829")</f>
        <v>0.829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HYPERLINK("http://141.218.60.56/~jnz1568/getInfo.php?workbook=18_15.xlsx&amp;sheet=U0&amp;row=21&amp;col=6&amp;number=4.7&amp;sourceID=14","4.7")</f>
        <v>4.7</v>
      </c>
      <c r="G21" s="4" t="str">
        <f>HYPERLINK("http://141.218.60.56/~jnz1568/getInfo.php?workbook=18_15.xlsx&amp;sheet=U0&amp;row=21&amp;col=7&amp;number=0.849&amp;sourceID=14","0.849")</f>
        <v>0.849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HYPERLINK("http://141.218.60.56/~jnz1568/getInfo.php?workbook=18_15.xlsx&amp;sheet=U0&amp;row=22&amp;col=6&amp;number=4.8&amp;sourceID=14","4.8")</f>
        <v>4.8</v>
      </c>
      <c r="G22" s="4" t="str">
        <f>HYPERLINK("http://141.218.60.56/~jnz1568/getInfo.php?workbook=18_15.xlsx&amp;sheet=U0&amp;row=22&amp;col=7&amp;number=0.864&amp;sourceID=14","0.864")</f>
        <v>0.864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HYPERLINK("http://141.218.60.56/~jnz1568/getInfo.php?workbook=18_15.xlsx&amp;sheet=U0&amp;row=23&amp;col=6&amp;number=4.9&amp;sourceID=14","4.9")</f>
        <v>4.9</v>
      </c>
      <c r="G23" s="4" t="str">
        <f>HYPERLINK("http://141.218.60.56/~jnz1568/getInfo.php?workbook=18_15.xlsx&amp;sheet=U0&amp;row=23&amp;col=7&amp;number=0.866&amp;sourceID=14","0.866")</f>
        <v>0.866</v>
      </c>
    </row>
    <row r="24" spans="1:7">
      <c r="A24" s="3">
        <v>18</v>
      </c>
      <c r="B24" s="3">
        <v>15</v>
      </c>
      <c r="C24" s="3">
        <v>1</v>
      </c>
      <c r="D24" s="3">
        <v>3</v>
      </c>
      <c r="E24" s="3">
        <v>1</v>
      </c>
      <c r="F24" s="4" t="str">
        <f>HYPERLINK("http://141.218.60.56/~jnz1568/getInfo.php?workbook=18_15.xlsx&amp;sheet=U0&amp;row=24&amp;col=6&amp;number=3&amp;sourceID=14","3")</f>
        <v>3</v>
      </c>
      <c r="G24" s="4" t="str">
        <f>HYPERLINK("http://141.218.60.56/~jnz1568/getInfo.php?workbook=18_15.xlsx&amp;sheet=U0&amp;row=24&amp;col=7&amp;number=1.18&amp;sourceID=14","1.18")</f>
        <v>1.18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HYPERLINK("http://141.218.60.56/~jnz1568/getInfo.php?workbook=18_15.xlsx&amp;sheet=U0&amp;row=25&amp;col=6&amp;number=3.1&amp;sourceID=14","3.1")</f>
        <v>3.1</v>
      </c>
      <c r="G25" s="4" t="str">
        <f>HYPERLINK("http://141.218.60.56/~jnz1568/getInfo.php?workbook=18_15.xlsx&amp;sheet=U0&amp;row=25&amp;col=7&amp;number=1.18&amp;sourceID=14","1.18")</f>
        <v>1.18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HYPERLINK("http://141.218.60.56/~jnz1568/getInfo.php?workbook=18_15.xlsx&amp;sheet=U0&amp;row=26&amp;col=6&amp;number=3.2&amp;sourceID=14","3.2")</f>
        <v>3.2</v>
      </c>
      <c r="G26" s="4" t="str">
        <f>HYPERLINK("http://141.218.60.56/~jnz1568/getInfo.php?workbook=18_15.xlsx&amp;sheet=U0&amp;row=26&amp;col=7&amp;number=1.18&amp;sourceID=14","1.18")</f>
        <v>1.18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HYPERLINK("http://141.218.60.56/~jnz1568/getInfo.php?workbook=18_15.xlsx&amp;sheet=U0&amp;row=27&amp;col=6&amp;number=3.3&amp;sourceID=14","3.3")</f>
        <v>3.3</v>
      </c>
      <c r="G27" s="4" t="str">
        <f>HYPERLINK("http://141.218.60.56/~jnz1568/getInfo.php?workbook=18_15.xlsx&amp;sheet=U0&amp;row=27&amp;col=7&amp;number=1.17&amp;sourceID=14","1.17")</f>
        <v>1.17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HYPERLINK("http://141.218.60.56/~jnz1568/getInfo.php?workbook=18_15.xlsx&amp;sheet=U0&amp;row=28&amp;col=6&amp;number=3.4&amp;sourceID=14","3.4")</f>
        <v>3.4</v>
      </c>
      <c r="G28" s="4" t="str">
        <f>HYPERLINK("http://141.218.60.56/~jnz1568/getInfo.php?workbook=18_15.xlsx&amp;sheet=U0&amp;row=28&amp;col=7&amp;number=1.17&amp;sourceID=14","1.17")</f>
        <v>1.17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HYPERLINK("http://141.218.60.56/~jnz1568/getInfo.php?workbook=18_15.xlsx&amp;sheet=U0&amp;row=29&amp;col=6&amp;number=3.5&amp;sourceID=14","3.5")</f>
        <v>3.5</v>
      </c>
      <c r="G29" s="4" t="str">
        <f>HYPERLINK("http://141.218.60.56/~jnz1568/getInfo.php?workbook=18_15.xlsx&amp;sheet=U0&amp;row=29&amp;col=7&amp;number=1.16&amp;sourceID=14","1.16")</f>
        <v>1.16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HYPERLINK("http://141.218.60.56/~jnz1568/getInfo.php?workbook=18_15.xlsx&amp;sheet=U0&amp;row=30&amp;col=6&amp;number=3.6&amp;sourceID=14","3.6")</f>
        <v>3.6</v>
      </c>
      <c r="G30" s="4" t="str">
        <f>HYPERLINK("http://141.218.60.56/~jnz1568/getInfo.php?workbook=18_15.xlsx&amp;sheet=U0&amp;row=30&amp;col=7&amp;number=1.16&amp;sourceID=14","1.16")</f>
        <v>1.16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HYPERLINK("http://141.218.60.56/~jnz1568/getInfo.php?workbook=18_15.xlsx&amp;sheet=U0&amp;row=31&amp;col=6&amp;number=3.7&amp;sourceID=14","3.7")</f>
        <v>3.7</v>
      </c>
      <c r="G31" s="4" t="str">
        <f>HYPERLINK("http://141.218.60.56/~jnz1568/getInfo.php?workbook=18_15.xlsx&amp;sheet=U0&amp;row=31&amp;col=7&amp;number=1.15&amp;sourceID=14","1.15")</f>
        <v>1.15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HYPERLINK("http://141.218.60.56/~jnz1568/getInfo.php?workbook=18_15.xlsx&amp;sheet=U0&amp;row=32&amp;col=6&amp;number=3.8&amp;sourceID=14","3.8")</f>
        <v>3.8</v>
      </c>
      <c r="G32" s="4" t="str">
        <f>HYPERLINK("http://141.218.60.56/~jnz1568/getInfo.php?workbook=18_15.xlsx&amp;sheet=U0&amp;row=32&amp;col=7&amp;number=1.14&amp;sourceID=14","1.14")</f>
        <v>1.14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HYPERLINK("http://141.218.60.56/~jnz1568/getInfo.php?workbook=18_15.xlsx&amp;sheet=U0&amp;row=33&amp;col=6&amp;number=3.9&amp;sourceID=14","3.9")</f>
        <v>3.9</v>
      </c>
      <c r="G33" s="4" t="str">
        <f>HYPERLINK("http://141.218.60.56/~jnz1568/getInfo.php?workbook=18_15.xlsx&amp;sheet=U0&amp;row=33&amp;col=7&amp;number=1.14&amp;sourceID=14","1.14")</f>
        <v>1.14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HYPERLINK("http://141.218.60.56/~jnz1568/getInfo.php?workbook=18_15.xlsx&amp;sheet=U0&amp;row=34&amp;col=6&amp;number=4&amp;sourceID=14","4")</f>
        <v>4</v>
      </c>
      <c r="G34" s="4" t="str">
        <f>HYPERLINK("http://141.218.60.56/~jnz1568/getInfo.php?workbook=18_15.xlsx&amp;sheet=U0&amp;row=34&amp;col=7&amp;number=1.14&amp;sourceID=14","1.14")</f>
        <v>1.14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HYPERLINK("http://141.218.60.56/~jnz1568/getInfo.php?workbook=18_15.xlsx&amp;sheet=U0&amp;row=35&amp;col=6&amp;number=4.1&amp;sourceID=14","4.1")</f>
        <v>4.1</v>
      </c>
      <c r="G35" s="4" t="str">
        <f>HYPERLINK("http://141.218.60.56/~jnz1568/getInfo.php?workbook=18_15.xlsx&amp;sheet=U0&amp;row=35&amp;col=7&amp;number=1.15&amp;sourceID=14","1.15")</f>
        <v>1.15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HYPERLINK("http://141.218.60.56/~jnz1568/getInfo.php?workbook=18_15.xlsx&amp;sheet=U0&amp;row=36&amp;col=6&amp;number=4.2&amp;sourceID=14","4.2")</f>
        <v>4.2</v>
      </c>
      <c r="G36" s="4" t="str">
        <f>HYPERLINK("http://141.218.60.56/~jnz1568/getInfo.php?workbook=18_15.xlsx&amp;sheet=U0&amp;row=36&amp;col=7&amp;number=1.15&amp;sourceID=14","1.15")</f>
        <v>1.15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HYPERLINK("http://141.218.60.56/~jnz1568/getInfo.php?workbook=18_15.xlsx&amp;sheet=U0&amp;row=37&amp;col=6&amp;number=4.3&amp;sourceID=14","4.3")</f>
        <v>4.3</v>
      </c>
      <c r="G37" s="4" t="str">
        <f>HYPERLINK("http://141.218.60.56/~jnz1568/getInfo.php?workbook=18_15.xlsx&amp;sheet=U0&amp;row=37&amp;col=7&amp;number=1.17&amp;sourceID=14","1.17")</f>
        <v>1.17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HYPERLINK("http://141.218.60.56/~jnz1568/getInfo.php?workbook=18_15.xlsx&amp;sheet=U0&amp;row=38&amp;col=6&amp;number=4.4&amp;sourceID=14","4.4")</f>
        <v>4.4</v>
      </c>
      <c r="G38" s="4" t="str">
        <f>HYPERLINK("http://141.218.60.56/~jnz1568/getInfo.php?workbook=18_15.xlsx&amp;sheet=U0&amp;row=38&amp;col=7&amp;number=1.19&amp;sourceID=14","1.19")</f>
        <v>1.19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HYPERLINK("http://141.218.60.56/~jnz1568/getInfo.php?workbook=18_15.xlsx&amp;sheet=U0&amp;row=39&amp;col=6&amp;number=4.5&amp;sourceID=14","4.5")</f>
        <v>4.5</v>
      </c>
      <c r="G39" s="4" t="str">
        <f>HYPERLINK("http://141.218.60.56/~jnz1568/getInfo.php?workbook=18_15.xlsx&amp;sheet=U0&amp;row=39&amp;col=7&amp;number=1.21&amp;sourceID=14","1.21")</f>
        <v>1.21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HYPERLINK("http://141.218.60.56/~jnz1568/getInfo.php?workbook=18_15.xlsx&amp;sheet=U0&amp;row=40&amp;col=6&amp;number=4.6&amp;sourceID=14","4.6")</f>
        <v>4.6</v>
      </c>
      <c r="G40" s="4" t="str">
        <f>HYPERLINK("http://141.218.60.56/~jnz1568/getInfo.php?workbook=18_15.xlsx&amp;sheet=U0&amp;row=40&amp;col=7&amp;number=1.24&amp;sourceID=14","1.24")</f>
        <v>1.24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HYPERLINK("http://141.218.60.56/~jnz1568/getInfo.php?workbook=18_15.xlsx&amp;sheet=U0&amp;row=41&amp;col=6&amp;number=4.7&amp;sourceID=14","4.7")</f>
        <v>4.7</v>
      </c>
      <c r="G41" s="4" t="str">
        <f>HYPERLINK("http://141.218.60.56/~jnz1568/getInfo.php?workbook=18_15.xlsx&amp;sheet=U0&amp;row=41&amp;col=7&amp;number=1.28&amp;sourceID=14","1.28")</f>
        <v>1.28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HYPERLINK("http://141.218.60.56/~jnz1568/getInfo.php?workbook=18_15.xlsx&amp;sheet=U0&amp;row=42&amp;col=6&amp;number=4.8&amp;sourceID=14","4.8")</f>
        <v>4.8</v>
      </c>
      <c r="G42" s="4" t="str">
        <f>HYPERLINK("http://141.218.60.56/~jnz1568/getInfo.php?workbook=18_15.xlsx&amp;sheet=U0&amp;row=42&amp;col=7&amp;number=1.3&amp;sourceID=14","1.3")</f>
        <v>1.3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HYPERLINK("http://141.218.60.56/~jnz1568/getInfo.php?workbook=18_15.xlsx&amp;sheet=U0&amp;row=43&amp;col=6&amp;number=4.9&amp;sourceID=14","4.9")</f>
        <v>4.9</v>
      </c>
      <c r="G43" s="4" t="str">
        <f>HYPERLINK("http://141.218.60.56/~jnz1568/getInfo.php?workbook=18_15.xlsx&amp;sheet=U0&amp;row=43&amp;col=7&amp;number=1.3&amp;sourceID=14","1.3")</f>
        <v>1.3</v>
      </c>
    </row>
    <row r="44" spans="1:7">
      <c r="A44" s="3">
        <v>18</v>
      </c>
      <c r="B44" s="3">
        <v>15</v>
      </c>
      <c r="C44" s="3">
        <v>1</v>
      </c>
      <c r="D44" s="3">
        <v>4</v>
      </c>
      <c r="E44" s="3">
        <v>1</v>
      </c>
      <c r="F44" s="4" t="str">
        <f>HYPERLINK("http://141.218.60.56/~jnz1568/getInfo.php?workbook=18_15.xlsx&amp;sheet=U0&amp;row=44&amp;col=6&amp;number=3&amp;sourceID=14","3")</f>
        <v>3</v>
      </c>
      <c r="G44" s="4" t="str">
        <f>HYPERLINK("http://141.218.60.56/~jnz1568/getInfo.php?workbook=18_15.xlsx&amp;sheet=U0&amp;row=44&amp;col=7&amp;number=0.699&amp;sourceID=14","0.699")</f>
        <v>0.699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HYPERLINK("http://141.218.60.56/~jnz1568/getInfo.php?workbook=18_15.xlsx&amp;sheet=U0&amp;row=45&amp;col=6&amp;number=3.1&amp;sourceID=14","3.1")</f>
        <v>3.1</v>
      </c>
      <c r="G45" s="4" t="str">
        <f>HYPERLINK("http://141.218.60.56/~jnz1568/getInfo.php?workbook=18_15.xlsx&amp;sheet=U0&amp;row=45&amp;col=7&amp;number=0.671&amp;sourceID=14","0.671")</f>
        <v>0.671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HYPERLINK("http://141.218.60.56/~jnz1568/getInfo.php?workbook=18_15.xlsx&amp;sheet=U0&amp;row=46&amp;col=6&amp;number=3.2&amp;sourceID=14","3.2")</f>
        <v>3.2</v>
      </c>
      <c r="G46" s="4" t="str">
        <f>HYPERLINK("http://141.218.60.56/~jnz1568/getInfo.php?workbook=18_15.xlsx&amp;sheet=U0&amp;row=46&amp;col=7&amp;number=0.638&amp;sourceID=14","0.638")</f>
        <v>0.638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HYPERLINK("http://141.218.60.56/~jnz1568/getInfo.php?workbook=18_15.xlsx&amp;sheet=U0&amp;row=47&amp;col=6&amp;number=3.3&amp;sourceID=14","3.3")</f>
        <v>3.3</v>
      </c>
      <c r="G47" s="4" t="str">
        <f>HYPERLINK("http://141.218.60.56/~jnz1568/getInfo.php?workbook=18_15.xlsx&amp;sheet=U0&amp;row=47&amp;col=7&amp;number=0.6&amp;sourceID=14","0.6")</f>
        <v>0.6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HYPERLINK("http://141.218.60.56/~jnz1568/getInfo.php?workbook=18_15.xlsx&amp;sheet=U0&amp;row=48&amp;col=6&amp;number=3.4&amp;sourceID=14","3.4")</f>
        <v>3.4</v>
      </c>
      <c r="G48" s="4" t="str">
        <f>HYPERLINK("http://141.218.60.56/~jnz1568/getInfo.php?workbook=18_15.xlsx&amp;sheet=U0&amp;row=48&amp;col=7&amp;number=0.555&amp;sourceID=14","0.555")</f>
        <v>0.555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HYPERLINK("http://141.218.60.56/~jnz1568/getInfo.php?workbook=18_15.xlsx&amp;sheet=U0&amp;row=49&amp;col=6&amp;number=3.5&amp;sourceID=14","3.5")</f>
        <v>3.5</v>
      </c>
      <c r="G49" s="4" t="str">
        <f>HYPERLINK("http://141.218.60.56/~jnz1568/getInfo.php?workbook=18_15.xlsx&amp;sheet=U0&amp;row=49&amp;col=7&amp;number=0.507&amp;sourceID=14","0.507")</f>
        <v>0.507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HYPERLINK("http://141.218.60.56/~jnz1568/getInfo.php?workbook=18_15.xlsx&amp;sheet=U0&amp;row=50&amp;col=6&amp;number=3.6&amp;sourceID=14","3.6")</f>
        <v>3.6</v>
      </c>
      <c r="G50" s="4" t="str">
        <f>HYPERLINK("http://141.218.60.56/~jnz1568/getInfo.php?workbook=18_15.xlsx&amp;sheet=U0&amp;row=50&amp;col=7&amp;number=0.459&amp;sourceID=14","0.459")</f>
        <v>0.459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HYPERLINK("http://141.218.60.56/~jnz1568/getInfo.php?workbook=18_15.xlsx&amp;sheet=U0&amp;row=51&amp;col=6&amp;number=3.7&amp;sourceID=14","3.7")</f>
        <v>3.7</v>
      </c>
      <c r="G51" s="4" t="str">
        <f>HYPERLINK("http://141.218.60.56/~jnz1568/getInfo.php?workbook=18_15.xlsx&amp;sheet=U0&amp;row=51&amp;col=7&amp;number=0.419&amp;sourceID=14","0.419")</f>
        <v>0.419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HYPERLINK("http://141.218.60.56/~jnz1568/getInfo.php?workbook=18_15.xlsx&amp;sheet=U0&amp;row=52&amp;col=6&amp;number=3.8&amp;sourceID=14","3.8")</f>
        <v>3.8</v>
      </c>
      <c r="G52" s="4" t="str">
        <f>HYPERLINK("http://141.218.60.56/~jnz1568/getInfo.php?workbook=18_15.xlsx&amp;sheet=U0&amp;row=52&amp;col=7&amp;number=0.394&amp;sourceID=14","0.394")</f>
        <v>0.394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HYPERLINK("http://141.218.60.56/~jnz1568/getInfo.php?workbook=18_15.xlsx&amp;sheet=U0&amp;row=53&amp;col=6&amp;number=3.9&amp;sourceID=14","3.9")</f>
        <v>3.9</v>
      </c>
      <c r="G53" s="4" t="str">
        <f>HYPERLINK("http://141.218.60.56/~jnz1568/getInfo.php?workbook=18_15.xlsx&amp;sheet=U0&amp;row=53&amp;col=7&amp;number=0.387&amp;sourceID=14","0.387")</f>
        <v>0.387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HYPERLINK("http://141.218.60.56/~jnz1568/getInfo.php?workbook=18_15.xlsx&amp;sheet=U0&amp;row=54&amp;col=6&amp;number=4&amp;sourceID=14","4")</f>
        <v>4</v>
      </c>
      <c r="G54" s="4" t="str">
        <f>HYPERLINK("http://141.218.60.56/~jnz1568/getInfo.php?workbook=18_15.xlsx&amp;sheet=U0&amp;row=54&amp;col=7&amp;number=0.394&amp;sourceID=14","0.394")</f>
        <v>0.394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HYPERLINK("http://141.218.60.56/~jnz1568/getInfo.php?workbook=18_15.xlsx&amp;sheet=U0&amp;row=55&amp;col=6&amp;number=4.1&amp;sourceID=14","4.1")</f>
        <v>4.1</v>
      </c>
      <c r="G55" s="4" t="str">
        <f>HYPERLINK("http://141.218.60.56/~jnz1568/getInfo.php?workbook=18_15.xlsx&amp;sheet=U0&amp;row=55&amp;col=7&amp;number=0.404&amp;sourceID=14","0.404")</f>
        <v>0.404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HYPERLINK("http://141.218.60.56/~jnz1568/getInfo.php?workbook=18_15.xlsx&amp;sheet=U0&amp;row=56&amp;col=6&amp;number=4.2&amp;sourceID=14","4.2")</f>
        <v>4.2</v>
      </c>
      <c r="G56" s="4" t="str">
        <f>HYPERLINK("http://141.218.60.56/~jnz1568/getInfo.php?workbook=18_15.xlsx&amp;sheet=U0&amp;row=56&amp;col=7&amp;number=0.417&amp;sourceID=14","0.417")</f>
        <v>0.417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HYPERLINK("http://141.218.60.56/~jnz1568/getInfo.php?workbook=18_15.xlsx&amp;sheet=U0&amp;row=57&amp;col=6&amp;number=4.3&amp;sourceID=14","4.3")</f>
        <v>4.3</v>
      </c>
      <c r="G57" s="4" t="str">
        <f>HYPERLINK("http://141.218.60.56/~jnz1568/getInfo.php?workbook=18_15.xlsx&amp;sheet=U0&amp;row=57&amp;col=7&amp;number=0.431&amp;sourceID=14","0.431")</f>
        <v>0.431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HYPERLINK("http://141.218.60.56/~jnz1568/getInfo.php?workbook=18_15.xlsx&amp;sheet=U0&amp;row=58&amp;col=6&amp;number=4.4&amp;sourceID=14","4.4")</f>
        <v>4.4</v>
      </c>
      <c r="G58" s="4" t="str">
        <f>HYPERLINK("http://141.218.60.56/~jnz1568/getInfo.php?workbook=18_15.xlsx&amp;sheet=U0&amp;row=58&amp;col=7&amp;number=0.449&amp;sourceID=14","0.449")</f>
        <v>0.449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HYPERLINK("http://141.218.60.56/~jnz1568/getInfo.php?workbook=18_15.xlsx&amp;sheet=U0&amp;row=59&amp;col=6&amp;number=4.5&amp;sourceID=14","4.5")</f>
        <v>4.5</v>
      </c>
      <c r="G59" s="4" t="str">
        <f>HYPERLINK("http://141.218.60.56/~jnz1568/getInfo.php?workbook=18_15.xlsx&amp;sheet=U0&amp;row=59&amp;col=7&amp;number=0.467&amp;sourceID=14","0.467")</f>
        <v>0.467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HYPERLINK("http://141.218.60.56/~jnz1568/getInfo.php?workbook=18_15.xlsx&amp;sheet=U0&amp;row=60&amp;col=6&amp;number=4.6&amp;sourceID=14","4.6")</f>
        <v>4.6</v>
      </c>
      <c r="G60" s="4" t="str">
        <f>HYPERLINK("http://141.218.60.56/~jnz1568/getInfo.php?workbook=18_15.xlsx&amp;sheet=U0&amp;row=60&amp;col=7&amp;number=0.485&amp;sourceID=14","0.485")</f>
        <v>0.485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HYPERLINK("http://141.218.60.56/~jnz1568/getInfo.php?workbook=18_15.xlsx&amp;sheet=U0&amp;row=61&amp;col=6&amp;number=4.7&amp;sourceID=14","4.7")</f>
        <v>4.7</v>
      </c>
      <c r="G61" s="4" t="str">
        <f>HYPERLINK("http://141.218.60.56/~jnz1568/getInfo.php?workbook=18_15.xlsx&amp;sheet=U0&amp;row=61&amp;col=7&amp;number=0.496&amp;sourceID=14","0.496")</f>
        <v>0.496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HYPERLINK("http://141.218.60.56/~jnz1568/getInfo.php?workbook=18_15.xlsx&amp;sheet=U0&amp;row=62&amp;col=6&amp;number=4.8&amp;sourceID=14","4.8")</f>
        <v>4.8</v>
      </c>
      <c r="G62" s="4" t="str">
        <f>HYPERLINK("http://141.218.60.56/~jnz1568/getInfo.php?workbook=18_15.xlsx&amp;sheet=U0&amp;row=62&amp;col=7&amp;number=0.499&amp;sourceID=14","0.499")</f>
        <v>0.499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HYPERLINK("http://141.218.60.56/~jnz1568/getInfo.php?workbook=18_15.xlsx&amp;sheet=U0&amp;row=63&amp;col=6&amp;number=4.9&amp;sourceID=14","4.9")</f>
        <v>4.9</v>
      </c>
      <c r="G63" s="4" t="str">
        <f>HYPERLINK("http://141.218.60.56/~jnz1568/getInfo.php?workbook=18_15.xlsx&amp;sheet=U0&amp;row=63&amp;col=7&amp;number=0.494&amp;sourceID=14","0.494")</f>
        <v>0.494</v>
      </c>
    </row>
    <row r="64" spans="1:7">
      <c r="A64" s="3">
        <v>18</v>
      </c>
      <c r="B64" s="3">
        <v>15</v>
      </c>
      <c r="C64" s="3">
        <v>1</v>
      </c>
      <c r="D64" s="3">
        <v>5</v>
      </c>
      <c r="E64" s="3">
        <v>1</v>
      </c>
      <c r="F64" s="4" t="str">
        <f>HYPERLINK("http://141.218.60.56/~jnz1568/getInfo.php?workbook=18_15.xlsx&amp;sheet=U0&amp;row=64&amp;col=6&amp;number=3&amp;sourceID=14","3")</f>
        <v>3</v>
      </c>
      <c r="G64" s="4" t="str">
        <f>HYPERLINK("http://141.218.60.56/~jnz1568/getInfo.php?workbook=18_15.xlsx&amp;sheet=U0&amp;row=64&amp;col=7&amp;number=1.4&amp;sourceID=14","1.4")</f>
        <v>1.4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HYPERLINK("http://141.218.60.56/~jnz1568/getInfo.php?workbook=18_15.xlsx&amp;sheet=U0&amp;row=65&amp;col=6&amp;number=3.1&amp;sourceID=14","3.1")</f>
        <v>3.1</v>
      </c>
      <c r="G65" s="4" t="str">
        <f>HYPERLINK("http://141.218.60.56/~jnz1568/getInfo.php?workbook=18_15.xlsx&amp;sheet=U0&amp;row=65&amp;col=7&amp;number=1.34&amp;sourceID=14","1.34")</f>
        <v>1.34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HYPERLINK("http://141.218.60.56/~jnz1568/getInfo.php?workbook=18_15.xlsx&amp;sheet=U0&amp;row=66&amp;col=6&amp;number=3.2&amp;sourceID=14","3.2")</f>
        <v>3.2</v>
      </c>
      <c r="G66" s="4" t="str">
        <f>HYPERLINK("http://141.218.60.56/~jnz1568/getInfo.php?workbook=18_15.xlsx&amp;sheet=U0&amp;row=66&amp;col=7&amp;number=1.28&amp;sourceID=14","1.28")</f>
        <v>1.28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HYPERLINK("http://141.218.60.56/~jnz1568/getInfo.php?workbook=18_15.xlsx&amp;sheet=U0&amp;row=67&amp;col=6&amp;number=3.3&amp;sourceID=14","3.3")</f>
        <v>3.3</v>
      </c>
      <c r="G67" s="4" t="str">
        <f>HYPERLINK("http://141.218.60.56/~jnz1568/getInfo.php?workbook=18_15.xlsx&amp;sheet=U0&amp;row=67&amp;col=7&amp;number=1.2&amp;sourceID=14","1.2")</f>
        <v>1.2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HYPERLINK("http://141.218.60.56/~jnz1568/getInfo.php?workbook=18_15.xlsx&amp;sheet=U0&amp;row=68&amp;col=6&amp;number=3.4&amp;sourceID=14","3.4")</f>
        <v>3.4</v>
      </c>
      <c r="G68" s="4" t="str">
        <f>HYPERLINK("http://141.218.60.56/~jnz1568/getInfo.php?workbook=18_15.xlsx&amp;sheet=U0&amp;row=68&amp;col=7&amp;number=1.11&amp;sourceID=14","1.11")</f>
        <v>1.11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HYPERLINK("http://141.218.60.56/~jnz1568/getInfo.php?workbook=18_15.xlsx&amp;sheet=U0&amp;row=69&amp;col=6&amp;number=3.5&amp;sourceID=14","3.5")</f>
        <v>3.5</v>
      </c>
      <c r="G69" s="4" t="str">
        <f>HYPERLINK("http://141.218.60.56/~jnz1568/getInfo.php?workbook=18_15.xlsx&amp;sheet=U0&amp;row=69&amp;col=7&amp;number=1.01&amp;sourceID=14","1.01")</f>
        <v>1.01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HYPERLINK("http://141.218.60.56/~jnz1568/getInfo.php?workbook=18_15.xlsx&amp;sheet=U0&amp;row=70&amp;col=6&amp;number=3.6&amp;sourceID=14","3.6")</f>
        <v>3.6</v>
      </c>
      <c r="G70" s="4" t="str">
        <f>HYPERLINK("http://141.218.60.56/~jnz1568/getInfo.php?workbook=18_15.xlsx&amp;sheet=U0&amp;row=70&amp;col=7&amp;number=0.918&amp;sourceID=14","0.918")</f>
        <v>0.918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HYPERLINK("http://141.218.60.56/~jnz1568/getInfo.php?workbook=18_15.xlsx&amp;sheet=U0&amp;row=71&amp;col=6&amp;number=3.7&amp;sourceID=14","3.7")</f>
        <v>3.7</v>
      </c>
      <c r="G71" s="4" t="str">
        <f>HYPERLINK("http://141.218.60.56/~jnz1568/getInfo.php?workbook=18_15.xlsx&amp;sheet=U0&amp;row=71&amp;col=7&amp;number=0.838&amp;sourceID=14","0.838")</f>
        <v>0.838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HYPERLINK("http://141.218.60.56/~jnz1568/getInfo.php?workbook=18_15.xlsx&amp;sheet=U0&amp;row=72&amp;col=6&amp;number=3.8&amp;sourceID=14","3.8")</f>
        <v>3.8</v>
      </c>
      <c r="G72" s="4" t="str">
        <f>HYPERLINK("http://141.218.60.56/~jnz1568/getInfo.php?workbook=18_15.xlsx&amp;sheet=U0&amp;row=72&amp;col=7&amp;number=0.788&amp;sourceID=14","0.788")</f>
        <v>0.788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HYPERLINK("http://141.218.60.56/~jnz1568/getInfo.php?workbook=18_15.xlsx&amp;sheet=U0&amp;row=73&amp;col=6&amp;number=3.9&amp;sourceID=14","3.9")</f>
        <v>3.9</v>
      </c>
      <c r="G73" s="4" t="str">
        <f>HYPERLINK("http://141.218.60.56/~jnz1568/getInfo.php?workbook=18_15.xlsx&amp;sheet=U0&amp;row=73&amp;col=7&amp;number=0.774&amp;sourceID=14","0.774")</f>
        <v>0.774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HYPERLINK("http://141.218.60.56/~jnz1568/getInfo.php?workbook=18_15.xlsx&amp;sheet=U0&amp;row=74&amp;col=6&amp;number=4&amp;sourceID=14","4")</f>
        <v>4</v>
      </c>
      <c r="G74" s="4" t="str">
        <f>HYPERLINK("http://141.218.60.56/~jnz1568/getInfo.php?workbook=18_15.xlsx&amp;sheet=U0&amp;row=74&amp;col=7&amp;number=0.788&amp;sourceID=14","0.788")</f>
        <v>0.788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HYPERLINK("http://141.218.60.56/~jnz1568/getInfo.php?workbook=18_15.xlsx&amp;sheet=U0&amp;row=75&amp;col=6&amp;number=4.1&amp;sourceID=14","4.1")</f>
        <v>4.1</v>
      </c>
      <c r="G75" s="4" t="str">
        <f>HYPERLINK("http://141.218.60.56/~jnz1568/getInfo.php?workbook=18_15.xlsx&amp;sheet=U0&amp;row=75&amp;col=7&amp;number=0.809&amp;sourceID=14","0.809")</f>
        <v>0.809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HYPERLINK("http://141.218.60.56/~jnz1568/getInfo.php?workbook=18_15.xlsx&amp;sheet=U0&amp;row=76&amp;col=6&amp;number=4.2&amp;sourceID=14","4.2")</f>
        <v>4.2</v>
      </c>
      <c r="G76" s="4" t="str">
        <f>HYPERLINK("http://141.218.60.56/~jnz1568/getInfo.php?workbook=18_15.xlsx&amp;sheet=U0&amp;row=76&amp;col=7&amp;number=0.833&amp;sourceID=14","0.833")</f>
        <v>0.833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HYPERLINK("http://141.218.60.56/~jnz1568/getInfo.php?workbook=18_15.xlsx&amp;sheet=U0&amp;row=77&amp;col=6&amp;number=4.3&amp;sourceID=14","4.3")</f>
        <v>4.3</v>
      </c>
      <c r="G77" s="4" t="str">
        <f>HYPERLINK("http://141.218.60.56/~jnz1568/getInfo.php?workbook=18_15.xlsx&amp;sheet=U0&amp;row=77&amp;col=7&amp;number=0.863&amp;sourceID=14","0.863")</f>
        <v>0.863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HYPERLINK("http://141.218.60.56/~jnz1568/getInfo.php?workbook=18_15.xlsx&amp;sheet=U0&amp;row=78&amp;col=6&amp;number=4.4&amp;sourceID=14","4.4")</f>
        <v>4.4</v>
      </c>
      <c r="G78" s="4" t="str">
        <f>HYPERLINK("http://141.218.60.56/~jnz1568/getInfo.php?workbook=18_15.xlsx&amp;sheet=U0&amp;row=78&amp;col=7&amp;number=0.897&amp;sourceID=14","0.897")</f>
        <v>0.897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HYPERLINK("http://141.218.60.56/~jnz1568/getInfo.php?workbook=18_15.xlsx&amp;sheet=U0&amp;row=79&amp;col=6&amp;number=4.5&amp;sourceID=14","4.5")</f>
        <v>4.5</v>
      </c>
      <c r="G79" s="4" t="str">
        <f>HYPERLINK("http://141.218.60.56/~jnz1568/getInfo.php?workbook=18_15.xlsx&amp;sheet=U0&amp;row=79&amp;col=7&amp;number=0.934&amp;sourceID=14","0.934")</f>
        <v>0.934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HYPERLINK("http://141.218.60.56/~jnz1568/getInfo.php?workbook=18_15.xlsx&amp;sheet=U0&amp;row=80&amp;col=6&amp;number=4.6&amp;sourceID=14","4.6")</f>
        <v>4.6</v>
      </c>
      <c r="G80" s="4" t="str">
        <f>HYPERLINK("http://141.218.60.56/~jnz1568/getInfo.php?workbook=18_15.xlsx&amp;sheet=U0&amp;row=80&amp;col=7&amp;number=0.969&amp;sourceID=14","0.969")</f>
        <v>0.969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HYPERLINK("http://141.218.60.56/~jnz1568/getInfo.php?workbook=18_15.xlsx&amp;sheet=U0&amp;row=81&amp;col=6&amp;number=4.7&amp;sourceID=14","4.7")</f>
        <v>4.7</v>
      </c>
      <c r="G81" s="4" t="str">
        <f>HYPERLINK("http://141.218.60.56/~jnz1568/getInfo.php?workbook=18_15.xlsx&amp;sheet=U0&amp;row=81&amp;col=7&amp;number=0.992&amp;sourceID=14","0.992")</f>
        <v>0.992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HYPERLINK("http://141.218.60.56/~jnz1568/getInfo.php?workbook=18_15.xlsx&amp;sheet=U0&amp;row=82&amp;col=6&amp;number=4.8&amp;sourceID=14","4.8")</f>
        <v>4.8</v>
      </c>
      <c r="G82" s="4" t="str">
        <f>HYPERLINK("http://141.218.60.56/~jnz1568/getInfo.php?workbook=18_15.xlsx&amp;sheet=U0&amp;row=82&amp;col=7&amp;number=0.997&amp;sourceID=14","0.997")</f>
        <v>0.997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HYPERLINK("http://141.218.60.56/~jnz1568/getInfo.php?workbook=18_15.xlsx&amp;sheet=U0&amp;row=83&amp;col=6&amp;number=4.9&amp;sourceID=14","4.9")</f>
        <v>4.9</v>
      </c>
      <c r="G83" s="4" t="str">
        <f>HYPERLINK("http://141.218.60.56/~jnz1568/getInfo.php?workbook=18_15.xlsx&amp;sheet=U0&amp;row=83&amp;col=7&amp;number=0.988&amp;sourceID=14","0.988")</f>
        <v>0.988</v>
      </c>
    </row>
    <row r="84" spans="1:7">
      <c r="A84" s="3">
        <v>18</v>
      </c>
      <c r="B84" s="3">
        <v>15</v>
      </c>
      <c r="C84" s="3">
        <v>1</v>
      </c>
      <c r="D84" s="3">
        <v>6</v>
      </c>
      <c r="E84" s="3">
        <v>1</v>
      </c>
      <c r="F84" s="4" t="str">
        <f>HYPERLINK("http://141.218.60.56/~jnz1568/getInfo.php?workbook=18_15.xlsx&amp;sheet=U0&amp;row=84&amp;col=6&amp;number=3&amp;sourceID=14","3")</f>
        <v>3</v>
      </c>
      <c r="G84" s="4" t="str">
        <f>HYPERLINK("http://141.218.60.56/~jnz1568/getInfo.php?workbook=18_15.xlsx&amp;sheet=U0&amp;row=84&amp;col=7&amp;number=0.665&amp;sourceID=14","0.665")</f>
        <v>0.665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HYPERLINK("http://141.218.60.56/~jnz1568/getInfo.php?workbook=18_15.xlsx&amp;sheet=U0&amp;row=85&amp;col=6&amp;number=3.1&amp;sourceID=14","3.1")</f>
        <v>3.1</v>
      </c>
      <c r="G85" s="4" t="str">
        <f>HYPERLINK("http://141.218.60.56/~jnz1568/getInfo.php?workbook=18_15.xlsx&amp;sheet=U0&amp;row=85&amp;col=7&amp;number=0.659&amp;sourceID=14","0.659")</f>
        <v>0.659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HYPERLINK("http://141.218.60.56/~jnz1568/getInfo.php?workbook=18_15.xlsx&amp;sheet=U0&amp;row=86&amp;col=6&amp;number=3.2&amp;sourceID=14","3.2")</f>
        <v>3.2</v>
      </c>
      <c r="G86" s="4" t="str">
        <f>HYPERLINK("http://141.218.60.56/~jnz1568/getInfo.php?workbook=18_15.xlsx&amp;sheet=U0&amp;row=86&amp;col=7&amp;number=0.652&amp;sourceID=14","0.652")</f>
        <v>0.652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HYPERLINK("http://141.218.60.56/~jnz1568/getInfo.php?workbook=18_15.xlsx&amp;sheet=U0&amp;row=87&amp;col=6&amp;number=3.3&amp;sourceID=14","3.3")</f>
        <v>3.3</v>
      </c>
      <c r="G87" s="4" t="str">
        <f>HYPERLINK("http://141.218.60.56/~jnz1568/getInfo.php?workbook=18_15.xlsx&amp;sheet=U0&amp;row=87&amp;col=7&amp;number=0.644&amp;sourceID=14","0.644")</f>
        <v>0.644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HYPERLINK("http://141.218.60.56/~jnz1568/getInfo.php?workbook=18_15.xlsx&amp;sheet=U0&amp;row=88&amp;col=6&amp;number=3.4&amp;sourceID=14","3.4")</f>
        <v>3.4</v>
      </c>
      <c r="G88" s="4" t="str">
        <f>HYPERLINK("http://141.218.60.56/~jnz1568/getInfo.php?workbook=18_15.xlsx&amp;sheet=U0&amp;row=88&amp;col=7&amp;number=0.635&amp;sourceID=14","0.635")</f>
        <v>0.635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HYPERLINK("http://141.218.60.56/~jnz1568/getInfo.php?workbook=18_15.xlsx&amp;sheet=U0&amp;row=89&amp;col=6&amp;number=3.5&amp;sourceID=14","3.5")</f>
        <v>3.5</v>
      </c>
      <c r="G89" s="4" t="str">
        <f>HYPERLINK("http://141.218.60.56/~jnz1568/getInfo.php?workbook=18_15.xlsx&amp;sheet=U0&amp;row=89&amp;col=7&amp;number=0.624&amp;sourceID=14","0.624")</f>
        <v>0.624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HYPERLINK("http://141.218.60.56/~jnz1568/getInfo.php?workbook=18_15.xlsx&amp;sheet=U0&amp;row=90&amp;col=6&amp;number=3.6&amp;sourceID=14","3.6")</f>
        <v>3.6</v>
      </c>
      <c r="G90" s="4" t="str">
        <f>HYPERLINK("http://141.218.60.56/~jnz1568/getInfo.php?workbook=18_15.xlsx&amp;sheet=U0&amp;row=90&amp;col=7&amp;number=0.613&amp;sourceID=14","0.613")</f>
        <v>0.613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HYPERLINK("http://141.218.60.56/~jnz1568/getInfo.php?workbook=18_15.xlsx&amp;sheet=U0&amp;row=91&amp;col=6&amp;number=3.7&amp;sourceID=14","3.7")</f>
        <v>3.7</v>
      </c>
      <c r="G91" s="4" t="str">
        <f>HYPERLINK("http://141.218.60.56/~jnz1568/getInfo.php?workbook=18_15.xlsx&amp;sheet=U0&amp;row=91&amp;col=7&amp;number=0.603&amp;sourceID=14","0.603")</f>
        <v>0.603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HYPERLINK("http://141.218.60.56/~jnz1568/getInfo.php?workbook=18_15.xlsx&amp;sheet=U0&amp;row=92&amp;col=6&amp;number=3.8&amp;sourceID=14","3.8")</f>
        <v>3.8</v>
      </c>
      <c r="G92" s="4" t="str">
        <f>HYPERLINK("http://141.218.60.56/~jnz1568/getInfo.php?workbook=18_15.xlsx&amp;sheet=U0&amp;row=92&amp;col=7&amp;number=0.596&amp;sourceID=14","0.596")</f>
        <v>0.596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HYPERLINK("http://141.218.60.56/~jnz1568/getInfo.php?workbook=18_15.xlsx&amp;sheet=U0&amp;row=93&amp;col=6&amp;number=3.9&amp;sourceID=14","3.9")</f>
        <v>3.9</v>
      </c>
      <c r="G93" s="4" t="str">
        <f>HYPERLINK("http://141.218.60.56/~jnz1568/getInfo.php?workbook=18_15.xlsx&amp;sheet=U0&amp;row=93&amp;col=7&amp;number=0.595&amp;sourceID=14","0.595")</f>
        <v>0.595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HYPERLINK("http://141.218.60.56/~jnz1568/getInfo.php?workbook=18_15.xlsx&amp;sheet=U0&amp;row=94&amp;col=6&amp;number=4&amp;sourceID=14","4")</f>
        <v>4</v>
      </c>
      <c r="G94" s="4" t="str">
        <f>HYPERLINK("http://141.218.60.56/~jnz1568/getInfo.php?workbook=18_15.xlsx&amp;sheet=U0&amp;row=94&amp;col=7&amp;number=0.599&amp;sourceID=14","0.599")</f>
        <v>0.599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HYPERLINK("http://141.218.60.56/~jnz1568/getInfo.php?workbook=18_15.xlsx&amp;sheet=U0&amp;row=95&amp;col=6&amp;number=4.1&amp;sourceID=14","4.1")</f>
        <v>4.1</v>
      </c>
      <c r="G95" s="4" t="str">
        <f>HYPERLINK("http://141.218.60.56/~jnz1568/getInfo.php?workbook=18_15.xlsx&amp;sheet=U0&amp;row=95&amp;col=7&amp;number=0.608&amp;sourceID=14","0.608")</f>
        <v>0.608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HYPERLINK("http://141.218.60.56/~jnz1568/getInfo.php?workbook=18_15.xlsx&amp;sheet=U0&amp;row=96&amp;col=6&amp;number=4.2&amp;sourceID=14","4.2")</f>
        <v>4.2</v>
      </c>
      <c r="G96" s="4" t="str">
        <f>HYPERLINK("http://141.218.60.56/~jnz1568/getInfo.php?workbook=18_15.xlsx&amp;sheet=U0&amp;row=96&amp;col=7&amp;number=0.616&amp;sourceID=14","0.616")</f>
        <v>0.616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HYPERLINK("http://141.218.60.56/~jnz1568/getInfo.php?workbook=18_15.xlsx&amp;sheet=U0&amp;row=97&amp;col=6&amp;number=4.3&amp;sourceID=14","4.3")</f>
        <v>4.3</v>
      </c>
      <c r="G97" s="4" t="str">
        <f>HYPERLINK("http://141.218.60.56/~jnz1568/getInfo.php?workbook=18_15.xlsx&amp;sheet=U0&amp;row=97&amp;col=7&amp;number=0.624&amp;sourceID=14","0.624")</f>
        <v>0.624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HYPERLINK("http://141.218.60.56/~jnz1568/getInfo.php?workbook=18_15.xlsx&amp;sheet=U0&amp;row=98&amp;col=6&amp;number=4.4&amp;sourceID=14","4.4")</f>
        <v>4.4</v>
      </c>
      <c r="G98" s="4" t="str">
        <f>HYPERLINK("http://141.218.60.56/~jnz1568/getInfo.php?workbook=18_15.xlsx&amp;sheet=U0&amp;row=98&amp;col=7&amp;number=0.635&amp;sourceID=14","0.635")</f>
        <v>0.635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HYPERLINK("http://141.218.60.56/~jnz1568/getInfo.php?workbook=18_15.xlsx&amp;sheet=U0&amp;row=99&amp;col=6&amp;number=4.5&amp;sourceID=14","4.5")</f>
        <v>4.5</v>
      </c>
      <c r="G99" s="4" t="str">
        <f>HYPERLINK("http://141.218.60.56/~jnz1568/getInfo.php?workbook=18_15.xlsx&amp;sheet=U0&amp;row=99&amp;col=7&amp;number=0.651&amp;sourceID=14","0.651")</f>
        <v>0.651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HYPERLINK("http://141.218.60.56/~jnz1568/getInfo.php?workbook=18_15.xlsx&amp;sheet=U0&amp;row=100&amp;col=6&amp;number=4.6&amp;sourceID=14","4.6")</f>
        <v>4.6</v>
      </c>
      <c r="G100" s="4" t="str">
        <f>HYPERLINK("http://141.218.60.56/~jnz1568/getInfo.php?workbook=18_15.xlsx&amp;sheet=U0&amp;row=100&amp;col=7&amp;number=0.671&amp;sourceID=14","0.671")</f>
        <v>0.671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HYPERLINK("http://141.218.60.56/~jnz1568/getInfo.php?workbook=18_15.xlsx&amp;sheet=U0&amp;row=101&amp;col=6&amp;number=4.7&amp;sourceID=14","4.7")</f>
        <v>4.7</v>
      </c>
      <c r="G101" s="4" t="str">
        <f>HYPERLINK("http://141.218.60.56/~jnz1568/getInfo.php?workbook=18_15.xlsx&amp;sheet=U0&amp;row=101&amp;col=7&amp;number=0.695&amp;sourceID=14","0.695")</f>
        <v>0.695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HYPERLINK("http://141.218.60.56/~jnz1568/getInfo.php?workbook=18_15.xlsx&amp;sheet=U0&amp;row=102&amp;col=6&amp;number=4.8&amp;sourceID=14","4.8")</f>
        <v>4.8</v>
      </c>
      <c r="G102" s="4" t="str">
        <f>HYPERLINK("http://141.218.60.56/~jnz1568/getInfo.php?workbook=18_15.xlsx&amp;sheet=U0&amp;row=102&amp;col=7&amp;number=0.715&amp;sourceID=14","0.715")</f>
        <v>0.715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HYPERLINK("http://141.218.60.56/~jnz1568/getInfo.php?workbook=18_15.xlsx&amp;sheet=U0&amp;row=103&amp;col=6&amp;number=4.9&amp;sourceID=14","4.9")</f>
        <v>4.9</v>
      </c>
      <c r="G103" s="4" t="str">
        <f>HYPERLINK("http://141.218.60.56/~jnz1568/getInfo.php?workbook=18_15.xlsx&amp;sheet=U0&amp;row=103&amp;col=7&amp;number=0.726&amp;sourceID=14","0.726")</f>
        <v>0.726</v>
      </c>
    </row>
    <row r="104" spans="1:7">
      <c r="A104" s="3">
        <v>18</v>
      </c>
      <c r="B104" s="3">
        <v>15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HYPERLINK("http://141.218.60.56/~jnz1568/getInfo.php?workbook=18_15.xlsx&amp;sheet=U0&amp;row=104&amp;col=6&amp;number=3&amp;sourceID=14","3")</f>
        <v>3</v>
      </c>
      <c r="G104" s="4" t="str">
        <f>HYPERLINK("http://141.218.60.56/~jnz1568/getInfo.php?workbook=18_15.xlsx&amp;sheet=U0&amp;row=104&amp;col=7&amp;number=0.665&amp;sourceID=14","0.665")</f>
        <v>0.665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HYPERLINK("http://141.218.60.56/~jnz1568/getInfo.php?workbook=18_15.xlsx&amp;sheet=U0&amp;row=105&amp;col=6&amp;number=3.1&amp;sourceID=14","3.1")</f>
        <v>3.1</v>
      </c>
      <c r="G105" s="4" t="str">
        <f>HYPERLINK("http://141.218.60.56/~jnz1568/getInfo.php?workbook=18_15.xlsx&amp;sheet=U0&amp;row=105&amp;col=7&amp;number=0.659&amp;sourceID=14","0.659")</f>
        <v>0.659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HYPERLINK("http://141.218.60.56/~jnz1568/getInfo.php?workbook=18_15.xlsx&amp;sheet=U0&amp;row=106&amp;col=6&amp;number=3.2&amp;sourceID=14","3.2")</f>
        <v>3.2</v>
      </c>
      <c r="G106" s="4" t="str">
        <f>HYPERLINK("http://141.218.60.56/~jnz1568/getInfo.php?workbook=18_15.xlsx&amp;sheet=U0&amp;row=106&amp;col=7&amp;number=0.652&amp;sourceID=14","0.652")</f>
        <v>0.652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HYPERLINK("http://141.218.60.56/~jnz1568/getInfo.php?workbook=18_15.xlsx&amp;sheet=U0&amp;row=107&amp;col=6&amp;number=3.3&amp;sourceID=14","3.3")</f>
        <v>3.3</v>
      </c>
      <c r="G107" s="4" t="str">
        <f>HYPERLINK("http://141.218.60.56/~jnz1568/getInfo.php?workbook=18_15.xlsx&amp;sheet=U0&amp;row=107&amp;col=7&amp;number=0.644&amp;sourceID=14","0.644")</f>
        <v>0.644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HYPERLINK("http://141.218.60.56/~jnz1568/getInfo.php?workbook=18_15.xlsx&amp;sheet=U0&amp;row=108&amp;col=6&amp;number=3.4&amp;sourceID=14","3.4")</f>
        <v>3.4</v>
      </c>
      <c r="G108" s="4" t="str">
        <f>HYPERLINK("http://141.218.60.56/~jnz1568/getInfo.php?workbook=18_15.xlsx&amp;sheet=U0&amp;row=108&amp;col=7&amp;number=0.635&amp;sourceID=14","0.635")</f>
        <v>0.635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HYPERLINK("http://141.218.60.56/~jnz1568/getInfo.php?workbook=18_15.xlsx&amp;sheet=U0&amp;row=109&amp;col=6&amp;number=3.5&amp;sourceID=14","3.5")</f>
        <v>3.5</v>
      </c>
      <c r="G109" s="4" t="str">
        <f>HYPERLINK("http://141.218.60.56/~jnz1568/getInfo.php?workbook=18_15.xlsx&amp;sheet=U0&amp;row=109&amp;col=7&amp;number=0.624&amp;sourceID=14","0.624")</f>
        <v>0.624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HYPERLINK("http://141.218.60.56/~jnz1568/getInfo.php?workbook=18_15.xlsx&amp;sheet=U0&amp;row=110&amp;col=6&amp;number=3.6&amp;sourceID=14","3.6")</f>
        <v>3.6</v>
      </c>
      <c r="G110" s="4" t="str">
        <f>HYPERLINK("http://141.218.60.56/~jnz1568/getInfo.php?workbook=18_15.xlsx&amp;sheet=U0&amp;row=110&amp;col=7&amp;number=0.613&amp;sourceID=14","0.613")</f>
        <v>0.613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HYPERLINK("http://141.218.60.56/~jnz1568/getInfo.php?workbook=18_15.xlsx&amp;sheet=U0&amp;row=111&amp;col=6&amp;number=3.7&amp;sourceID=14","3.7")</f>
        <v>3.7</v>
      </c>
      <c r="G111" s="4" t="str">
        <f>HYPERLINK("http://141.218.60.56/~jnz1568/getInfo.php?workbook=18_15.xlsx&amp;sheet=U0&amp;row=111&amp;col=7&amp;number=0.603&amp;sourceID=14","0.603")</f>
        <v>0.603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HYPERLINK("http://141.218.60.56/~jnz1568/getInfo.php?workbook=18_15.xlsx&amp;sheet=U0&amp;row=112&amp;col=6&amp;number=3.8&amp;sourceID=14","3.8")</f>
        <v>3.8</v>
      </c>
      <c r="G112" s="4" t="str">
        <f>HYPERLINK("http://141.218.60.56/~jnz1568/getInfo.php?workbook=18_15.xlsx&amp;sheet=U0&amp;row=112&amp;col=7&amp;number=0.596&amp;sourceID=14","0.596")</f>
        <v>0.596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HYPERLINK("http://141.218.60.56/~jnz1568/getInfo.php?workbook=18_15.xlsx&amp;sheet=U0&amp;row=113&amp;col=6&amp;number=3.9&amp;sourceID=14","3.9")</f>
        <v>3.9</v>
      </c>
      <c r="G113" s="4" t="str">
        <f>HYPERLINK("http://141.218.60.56/~jnz1568/getInfo.php?workbook=18_15.xlsx&amp;sheet=U0&amp;row=113&amp;col=7&amp;number=0.595&amp;sourceID=14","0.595")</f>
        <v>0.595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HYPERLINK("http://141.218.60.56/~jnz1568/getInfo.php?workbook=18_15.xlsx&amp;sheet=U0&amp;row=114&amp;col=6&amp;number=4&amp;sourceID=14","4")</f>
        <v>4</v>
      </c>
      <c r="G114" s="4" t="str">
        <f>HYPERLINK("http://141.218.60.56/~jnz1568/getInfo.php?workbook=18_15.xlsx&amp;sheet=U0&amp;row=114&amp;col=7&amp;number=0.599&amp;sourceID=14","0.599")</f>
        <v>0.599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HYPERLINK("http://141.218.60.56/~jnz1568/getInfo.php?workbook=18_15.xlsx&amp;sheet=U0&amp;row=115&amp;col=6&amp;number=4.1&amp;sourceID=14","4.1")</f>
        <v>4.1</v>
      </c>
      <c r="G115" s="4" t="str">
        <f>HYPERLINK("http://141.218.60.56/~jnz1568/getInfo.php?workbook=18_15.xlsx&amp;sheet=U0&amp;row=115&amp;col=7&amp;number=0.608&amp;sourceID=14","0.608")</f>
        <v>0.608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HYPERLINK("http://141.218.60.56/~jnz1568/getInfo.php?workbook=18_15.xlsx&amp;sheet=U0&amp;row=116&amp;col=6&amp;number=4.2&amp;sourceID=14","4.2")</f>
        <v>4.2</v>
      </c>
      <c r="G116" s="4" t="str">
        <f>HYPERLINK("http://141.218.60.56/~jnz1568/getInfo.php?workbook=18_15.xlsx&amp;sheet=U0&amp;row=116&amp;col=7&amp;number=0.616&amp;sourceID=14","0.616")</f>
        <v>0.616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HYPERLINK("http://141.218.60.56/~jnz1568/getInfo.php?workbook=18_15.xlsx&amp;sheet=U0&amp;row=117&amp;col=6&amp;number=4.3&amp;sourceID=14","4.3")</f>
        <v>4.3</v>
      </c>
      <c r="G117" s="4" t="str">
        <f>HYPERLINK("http://141.218.60.56/~jnz1568/getInfo.php?workbook=18_15.xlsx&amp;sheet=U0&amp;row=117&amp;col=7&amp;number=0.624&amp;sourceID=14","0.624")</f>
        <v>0.624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HYPERLINK("http://141.218.60.56/~jnz1568/getInfo.php?workbook=18_15.xlsx&amp;sheet=U0&amp;row=118&amp;col=6&amp;number=4.4&amp;sourceID=14","4.4")</f>
        <v>4.4</v>
      </c>
      <c r="G118" s="4" t="str">
        <f>HYPERLINK("http://141.218.60.56/~jnz1568/getInfo.php?workbook=18_15.xlsx&amp;sheet=U0&amp;row=118&amp;col=7&amp;number=0.635&amp;sourceID=14","0.635")</f>
        <v>0.635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HYPERLINK("http://141.218.60.56/~jnz1568/getInfo.php?workbook=18_15.xlsx&amp;sheet=U0&amp;row=119&amp;col=6&amp;number=4.5&amp;sourceID=14","4.5")</f>
        <v>4.5</v>
      </c>
      <c r="G119" s="4" t="str">
        <f>HYPERLINK("http://141.218.60.56/~jnz1568/getInfo.php?workbook=18_15.xlsx&amp;sheet=U0&amp;row=119&amp;col=7&amp;number=0.651&amp;sourceID=14","0.651")</f>
        <v>0.651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HYPERLINK("http://141.218.60.56/~jnz1568/getInfo.php?workbook=18_15.xlsx&amp;sheet=U0&amp;row=120&amp;col=6&amp;number=4.6&amp;sourceID=14","4.6")</f>
        <v>4.6</v>
      </c>
      <c r="G120" s="4" t="str">
        <f>HYPERLINK("http://141.218.60.56/~jnz1568/getInfo.php?workbook=18_15.xlsx&amp;sheet=U0&amp;row=120&amp;col=7&amp;number=0.671&amp;sourceID=14","0.671")</f>
        <v>0.671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HYPERLINK("http://141.218.60.56/~jnz1568/getInfo.php?workbook=18_15.xlsx&amp;sheet=U0&amp;row=121&amp;col=6&amp;number=4.7&amp;sourceID=14","4.7")</f>
        <v>4.7</v>
      </c>
      <c r="G121" s="4" t="str">
        <f>HYPERLINK("http://141.218.60.56/~jnz1568/getInfo.php?workbook=18_15.xlsx&amp;sheet=U0&amp;row=121&amp;col=7&amp;number=0.695&amp;sourceID=14","0.695")</f>
        <v>0.695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HYPERLINK("http://141.218.60.56/~jnz1568/getInfo.php?workbook=18_15.xlsx&amp;sheet=U0&amp;row=122&amp;col=6&amp;number=4.8&amp;sourceID=14","4.8")</f>
        <v>4.8</v>
      </c>
      <c r="G122" s="4" t="str">
        <f>HYPERLINK("http://141.218.60.56/~jnz1568/getInfo.php?workbook=18_15.xlsx&amp;sheet=U0&amp;row=122&amp;col=7&amp;number=0.715&amp;sourceID=14","0.715")</f>
        <v>0.715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HYPERLINK("http://141.218.60.56/~jnz1568/getInfo.php?workbook=18_15.xlsx&amp;sheet=U0&amp;row=123&amp;col=6&amp;number=4.9&amp;sourceID=14","4.9")</f>
        <v>4.9</v>
      </c>
      <c r="G123" s="4" t="str">
        <f>HYPERLINK("http://141.218.60.56/~jnz1568/getInfo.php?workbook=18_15.xlsx&amp;sheet=U0&amp;row=123&amp;col=7&amp;number=0.726&amp;sourceID=14","0.726")</f>
        <v>0.726</v>
      </c>
    </row>
    <row r="124" spans="1:7">
      <c r="A124" s="3">
        <v>18</v>
      </c>
      <c r="B124" s="3">
        <v>15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HYPERLINK("http://141.218.60.56/~jnz1568/getInfo.php?workbook=18_15.xlsx&amp;sheet=U0&amp;row=124&amp;col=6&amp;number=3&amp;sourceID=14","3")</f>
        <v>3</v>
      </c>
      <c r="G124" s="4" t="str">
        <f>HYPERLINK("http://141.218.60.56/~jnz1568/getInfo.php?workbook=18_15.xlsx&amp;sheet=U0&amp;row=124&amp;col=7&amp;number=2&amp;sourceID=14","2")</f>
        <v>2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HYPERLINK("http://141.218.60.56/~jnz1568/getInfo.php?workbook=18_15.xlsx&amp;sheet=U0&amp;row=125&amp;col=6&amp;number=3.1&amp;sourceID=14","3.1")</f>
        <v>3.1</v>
      </c>
      <c r="G125" s="4" t="str">
        <f>HYPERLINK("http://141.218.60.56/~jnz1568/getInfo.php?workbook=18_15.xlsx&amp;sheet=U0&amp;row=125&amp;col=7&amp;number=1.98&amp;sourceID=14","1.98")</f>
        <v>1.98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HYPERLINK("http://141.218.60.56/~jnz1568/getInfo.php?workbook=18_15.xlsx&amp;sheet=U0&amp;row=126&amp;col=6&amp;number=3.2&amp;sourceID=14","3.2")</f>
        <v>3.2</v>
      </c>
      <c r="G126" s="4" t="str">
        <f>HYPERLINK("http://141.218.60.56/~jnz1568/getInfo.php?workbook=18_15.xlsx&amp;sheet=U0&amp;row=126&amp;col=7&amp;number=1.96&amp;sourceID=14","1.96")</f>
        <v>1.96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HYPERLINK("http://141.218.60.56/~jnz1568/getInfo.php?workbook=18_15.xlsx&amp;sheet=U0&amp;row=127&amp;col=6&amp;number=3.3&amp;sourceID=14","3.3")</f>
        <v>3.3</v>
      </c>
      <c r="G127" s="4" t="str">
        <f>HYPERLINK("http://141.218.60.56/~jnz1568/getInfo.php?workbook=18_15.xlsx&amp;sheet=U0&amp;row=127&amp;col=7&amp;number=1.93&amp;sourceID=14","1.93")</f>
        <v>1.93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HYPERLINK("http://141.218.60.56/~jnz1568/getInfo.php?workbook=18_15.xlsx&amp;sheet=U0&amp;row=128&amp;col=6&amp;number=3.4&amp;sourceID=14","3.4")</f>
        <v>3.4</v>
      </c>
      <c r="G128" s="4" t="str">
        <f>HYPERLINK("http://141.218.60.56/~jnz1568/getInfo.php?workbook=18_15.xlsx&amp;sheet=U0&amp;row=128&amp;col=7&amp;number=1.9&amp;sourceID=14","1.9")</f>
        <v>1.9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HYPERLINK("http://141.218.60.56/~jnz1568/getInfo.php?workbook=18_15.xlsx&amp;sheet=U0&amp;row=129&amp;col=6&amp;number=3.5&amp;sourceID=14","3.5")</f>
        <v>3.5</v>
      </c>
      <c r="G129" s="4" t="str">
        <f>HYPERLINK("http://141.218.60.56/~jnz1568/getInfo.php?workbook=18_15.xlsx&amp;sheet=U0&amp;row=129&amp;col=7&amp;number=1.87&amp;sourceID=14","1.87")</f>
        <v>1.87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HYPERLINK("http://141.218.60.56/~jnz1568/getInfo.php?workbook=18_15.xlsx&amp;sheet=U0&amp;row=130&amp;col=6&amp;number=3.6&amp;sourceID=14","3.6")</f>
        <v>3.6</v>
      </c>
      <c r="G130" s="4" t="str">
        <f>HYPERLINK("http://141.218.60.56/~jnz1568/getInfo.php?workbook=18_15.xlsx&amp;sheet=U0&amp;row=130&amp;col=7&amp;number=1.84&amp;sourceID=14","1.84")</f>
        <v>1.84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HYPERLINK("http://141.218.60.56/~jnz1568/getInfo.php?workbook=18_15.xlsx&amp;sheet=U0&amp;row=131&amp;col=6&amp;number=3.7&amp;sourceID=14","3.7")</f>
        <v>3.7</v>
      </c>
      <c r="G131" s="4" t="str">
        <f>HYPERLINK("http://141.218.60.56/~jnz1568/getInfo.php?workbook=18_15.xlsx&amp;sheet=U0&amp;row=131&amp;col=7&amp;number=1.81&amp;sourceID=14","1.81")</f>
        <v>1.81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HYPERLINK("http://141.218.60.56/~jnz1568/getInfo.php?workbook=18_15.xlsx&amp;sheet=U0&amp;row=132&amp;col=6&amp;number=3.8&amp;sourceID=14","3.8")</f>
        <v>3.8</v>
      </c>
      <c r="G132" s="4" t="str">
        <f>HYPERLINK("http://141.218.60.56/~jnz1568/getInfo.php?workbook=18_15.xlsx&amp;sheet=U0&amp;row=132&amp;col=7&amp;number=1.79&amp;sourceID=14","1.79")</f>
        <v>1.79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HYPERLINK("http://141.218.60.56/~jnz1568/getInfo.php?workbook=18_15.xlsx&amp;sheet=U0&amp;row=133&amp;col=6&amp;number=3.9&amp;sourceID=14","3.9")</f>
        <v>3.9</v>
      </c>
      <c r="G133" s="4" t="str">
        <f>HYPERLINK("http://141.218.60.56/~jnz1568/getInfo.php?workbook=18_15.xlsx&amp;sheet=U0&amp;row=133&amp;col=7&amp;number=1.79&amp;sourceID=14","1.79")</f>
        <v>1.79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HYPERLINK("http://141.218.60.56/~jnz1568/getInfo.php?workbook=18_15.xlsx&amp;sheet=U0&amp;row=134&amp;col=6&amp;number=4&amp;sourceID=14","4")</f>
        <v>4</v>
      </c>
      <c r="G134" s="4" t="str">
        <f>HYPERLINK("http://141.218.60.56/~jnz1568/getInfo.php?workbook=18_15.xlsx&amp;sheet=U0&amp;row=134&amp;col=7&amp;number=1.8&amp;sourceID=14","1.8")</f>
        <v>1.8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HYPERLINK("http://141.218.60.56/~jnz1568/getInfo.php?workbook=18_15.xlsx&amp;sheet=U0&amp;row=135&amp;col=6&amp;number=4.1&amp;sourceID=14","4.1")</f>
        <v>4.1</v>
      </c>
      <c r="G135" s="4" t="str">
        <f>HYPERLINK("http://141.218.60.56/~jnz1568/getInfo.php?workbook=18_15.xlsx&amp;sheet=U0&amp;row=135&amp;col=7&amp;number=1.82&amp;sourceID=14","1.82")</f>
        <v>1.82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HYPERLINK("http://141.218.60.56/~jnz1568/getInfo.php?workbook=18_15.xlsx&amp;sheet=U0&amp;row=136&amp;col=6&amp;number=4.2&amp;sourceID=14","4.2")</f>
        <v>4.2</v>
      </c>
      <c r="G136" s="4" t="str">
        <f>HYPERLINK("http://141.218.60.56/~jnz1568/getInfo.php?workbook=18_15.xlsx&amp;sheet=U0&amp;row=136&amp;col=7&amp;number=1.85&amp;sourceID=14","1.85")</f>
        <v>1.85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HYPERLINK("http://141.218.60.56/~jnz1568/getInfo.php?workbook=18_15.xlsx&amp;sheet=U0&amp;row=137&amp;col=6&amp;number=4.3&amp;sourceID=14","4.3")</f>
        <v>4.3</v>
      </c>
      <c r="G137" s="4" t="str">
        <f>HYPERLINK("http://141.218.60.56/~jnz1568/getInfo.php?workbook=18_15.xlsx&amp;sheet=U0&amp;row=137&amp;col=7&amp;number=1.87&amp;sourceID=14","1.87")</f>
        <v>1.87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HYPERLINK("http://141.218.60.56/~jnz1568/getInfo.php?workbook=18_15.xlsx&amp;sheet=U0&amp;row=138&amp;col=6&amp;number=4.4&amp;sourceID=14","4.4")</f>
        <v>4.4</v>
      </c>
      <c r="G138" s="4" t="str">
        <f>HYPERLINK("http://141.218.60.56/~jnz1568/getInfo.php?workbook=18_15.xlsx&amp;sheet=U0&amp;row=138&amp;col=7&amp;number=1.9&amp;sourceID=14","1.9")</f>
        <v>1.9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HYPERLINK("http://141.218.60.56/~jnz1568/getInfo.php?workbook=18_15.xlsx&amp;sheet=U0&amp;row=139&amp;col=6&amp;number=4.5&amp;sourceID=14","4.5")</f>
        <v>4.5</v>
      </c>
      <c r="G139" s="4" t="str">
        <f>HYPERLINK("http://141.218.60.56/~jnz1568/getInfo.php?workbook=18_15.xlsx&amp;sheet=U0&amp;row=139&amp;col=7&amp;number=1.95&amp;sourceID=14","1.95")</f>
        <v>1.95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HYPERLINK("http://141.218.60.56/~jnz1568/getInfo.php?workbook=18_15.xlsx&amp;sheet=U0&amp;row=140&amp;col=6&amp;number=4.6&amp;sourceID=14","4.6")</f>
        <v>4.6</v>
      </c>
      <c r="G140" s="4" t="str">
        <f>HYPERLINK("http://141.218.60.56/~jnz1568/getInfo.php?workbook=18_15.xlsx&amp;sheet=U0&amp;row=140&amp;col=7&amp;number=2.01&amp;sourceID=14","2.01")</f>
        <v>2.01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HYPERLINK("http://141.218.60.56/~jnz1568/getInfo.php?workbook=18_15.xlsx&amp;sheet=U0&amp;row=141&amp;col=6&amp;number=4.7&amp;sourceID=14","4.7")</f>
        <v>4.7</v>
      </c>
      <c r="G141" s="4" t="str">
        <f>HYPERLINK("http://141.218.60.56/~jnz1568/getInfo.php?workbook=18_15.xlsx&amp;sheet=U0&amp;row=141&amp;col=7&amp;number=2.08&amp;sourceID=14","2.08")</f>
        <v>2.08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HYPERLINK("http://141.218.60.56/~jnz1568/getInfo.php?workbook=18_15.xlsx&amp;sheet=U0&amp;row=142&amp;col=6&amp;number=4.8&amp;sourceID=14","4.8")</f>
        <v>4.8</v>
      </c>
      <c r="G142" s="4" t="str">
        <f>HYPERLINK("http://141.218.60.56/~jnz1568/getInfo.php?workbook=18_15.xlsx&amp;sheet=U0&amp;row=142&amp;col=7&amp;number=2.13&amp;sourceID=14","2.13")</f>
        <v>2.13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HYPERLINK("http://141.218.60.56/~jnz1568/getInfo.php?workbook=18_15.xlsx&amp;sheet=U0&amp;row=143&amp;col=6&amp;number=4.9&amp;sourceID=14","4.9")</f>
        <v>4.9</v>
      </c>
      <c r="G143" s="4" t="str">
        <f>HYPERLINK("http://141.218.60.56/~jnz1568/getInfo.php?workbook=18_15.xlsx&amp;sheet=U0&amp;row=143&amp;col=7&amp;number=2.17&amp;sourceID=14","2.17")</f>
        <v>2.17</v>
      </c>
    </row>
    <row r="144" spans="1:7">
      <c r="A144" s="3">
        <v>18</v>
      </c>
      <c r="B144" s="3">
        <v>15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HYPERLINK("http://141.218.60.56/~jnz1568/getInfo.php?workbook=18_15.xlsx&amp;sheet=U0&amp;row=144&amp;col=6&amp;number=3&amp;sourceID=14","3")</f>
        <v>3</v>
      </c>
      <c r="G144" s="4" t="str">
        <f>HYPERLINK("http://141.218.60.56/~jnz1568/getInfo.php?workbook=18_15.xlsx&amp;sheet=U0&amp;row=144&amp;col=7&amp;number=0.118&amp;sourceID=14","0.118")</f>
        <v>0.118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HYPERLINK("http://141.218.60.56/~jnz1568/getInfo.php?workbook=18_15.xlsx&amp;sheet=U0&amp;row=145&amp;col=6&amp;number=3.1&amp;sourceID=14","3.1")</f>
        <v>3.1</v>
      </c>
      <c r="G145" s="4" t="str">
        <f>HYPERLINK("http://141.218.60.56/~jnz1568/getInfo.php?workbook=18_15.xlsx&amp;sheet=U0&amp;row=145&amp;col=7&amp;number=0.121&amp;sourceID=14","0.121")</f>
        <v>0.121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HYPERLINK("http://141.218.60.56/~jnz1568/getInfo.php?workbook=18_15.xlsx&amp;sheet=U0&amp;row=146&amp;col=6&amp;number=3.2&amp;sourceID=14","3.2")</f>
        <v>3.2</v>
      </c>
      <c r="G146" s="4" t="str">
        <f>HYPERLINK("http://141.218.60.56/~jnz1568/getInfo.php?workbook=18_15.xlsx&amp;sheet=U0&amp;row=146&amp;col=7&amp;number=0.124&amp;sourceID=14","0.124")</f>
        <v>0.124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HYPERLINK("http://141.218.60.56/~jnz1568/getInfo.php?workbook=18_15.xlsx&amp;sheet=U0&amp;row=147&amp;col=6&amp;number=3.3&amp;sourceID=14","3.3")</f>
        <v>3.3</v>
      </c>
      <c r="G147" s="4" t="str">
        <f>HYPERLINK("http://141.218.60.56/~jnz1568/getInfo.php?workbook=18_15.xlsx&amp;sheet=U0&amp;row=147&amp;col=7&amp;number=0.128&amp;sourceID=14","0.128")</f>
        <v>0.128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HYPERLINK("http://141.218.60.56/~jnz1568/getInfo.php?workbook=18_15.xlsx&amp;sheet=U0&amp;row=148&amp;col=6&amp;number=3.4&amp;sourceID=14","3.4")</f>
        <v>3.4</v>
      </c>
      <c r="G148" s="4" t="str">
        <f>HYPERLINK("http://141.218.60.56/~jnz1568/getInfo.php?workbook=18_15.xlsx&amp;sheet=U0&amp;row=148&amp;col=7&amp;number=0.134&amp;sourceID=14","0.134")</f>
        <v>0.134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HYPERLINK("http://141.218.60.56/~jnz1568/getInfo.php?workbook=18_15.xlsx&amp;sheet=U0&amp;row=149&amp;col=6&amp;number=3.5&amp;sourceID=14","3.5")</f>
        <v>3.5</v>
      </c>
      <c r="G149" s="4" t="str">
        <f>HYPERLINK("http://141.218.60.56/~jnz1568/getInfo.php?workbook=18_15.xlsx&amp;sheet=U0&amp;row=149&amp;col=7&amp;number=0.14&amp;sourceID=14","0.14")</f>
        <v>0.14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HYPERLINK("http://141.218.60.56/~jnz1568/getInfo.php?workbook=18_15.xlsx&amp;sheet=U0&amp;row=150&amp;col=6&amp;number=3.6&amp;sourceID=14","3.6")</f>
        <v>3.6</v>
      </c>
      <c r="G150" s="4" t="str">
        <f>HYPERLINK("http://141.218.60.56/~jnz1568/getInfo.php?workbook=18_15.xlsx&amp;sheet=U0&amp;row=150&amp;col=7&amp;number=0.149&amp;sourceID=14","0.149")</f>
        <v>0.149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HYPERLINK("http://141.218.60.56/~jnz1568/getInfo.php?workbook=18_15.xlsx&amp;sheet=U0&amp;row=151&amp;col=6&amp;number=3.7&amp;sourceID=14","3.7")</f>
        <v>3.7</v>
      </c>
      <c r="G151" s="4" t="str">
        <f>HYPERLINK("http://141.218.60.56/~jnz1568/getInfo.php?workbook=18_15.xlsx&amp;sheet=U0&amp;row=151&amp;col=7&amp;number=0.16&amp;sourceID=14","0.16")</f>
        <v>0.16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HYPERLINK("http://141.218.60.56/~jnz1568/getInfo.php?workbook=18_15.xlsx&amp;sheet=U0&amp;row=152&amp;col=6&amp;number=3.8&amp;sourceID=14","3.8")</f>
        <v>3.8</v>
      </c>
      <c r="G152" s="4" t="str">
        <f>HYPERLINK("http://141.218.60.56/~jnz1568/getInfo.php?workbook=18_15.xlsx&amp;sheet=U0&amp;row=152&amp;col=7&amp;number=0.174&amp;sourceID=14","0.174")</f>
        <v>0.174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HYPERLINK("http://141.218.60.56/~jnz1568/getInfo.php?workbook=18_15.xlsx&amp;sheet=U0&amp;row=153&amp;col=6&amp;number=3.9&amp;sourceID=14","3.9")</f>
        <v>3.9</v>
      </c>
      <c r="G153" s="4" t="str">
        <f>HYPERLINK("http://141.218.60.56/~jnz1568/getInfo.php?workbook=18_15.xlsx&amp;sheet=U0&amp;row=153&amp;col=7&amp;number=0.192&amp;sourceID=14","0.192")</f>
        <v>0.192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HYPERLINK("http://141.218.60.56/~jnz1568/getInfo.php?workbook=18_15.xlsx&amp;sheet=U0&amp;row=154&amp;col=6&amp;number=4&amp;sourceID=14","4")</f>
        <v>4</v>
      </c>
      <c r="G154" s="4" t="str">
        <f>HYPERLINK("http://141.218.60.56/~jnz1568/getInfo.php?workbook=18_15.xlsx&amp;sheet=U0&amp;row=154&amp;col=7&amp;number=0.214&amp;sourceID=14","0.214")</f>
        <v>0.214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HYPERLINK("http://141.218.60.56/~jnz1568/getInfo.php?workbook=18_15.xlsx&amp;sheet=U0&amp;row=155&amp;col=6&amp;number=4.1&amp;sourceID=14","4.1")</f>
        <v>4.1</v>
      </c>
      <c r="G155" s="4" t="str">
        <f>HYPERLINK("http://141.218.60.56/~jnz1568/getInfo.php?workbook=18_15.xlsx&amp;sheet=U0&amp;row=155&amp;col=7&amp;number=0.236&amp;sourceID=14","0.236")</f>
        <v>0.236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HYPERLINK("http://141.218.60.56/~jnz1568/getInfo.php?workbook=18_15.xlsx&amp;sheet=U0&amp;row=156&amp;col=6&amp;number=4.2&amp;sourceID=14","4.2")</f>
        <v>4.2</v>
      </c>
      <c r="G156" s="4" t="str">
        <f>HYPERLINK("http://141.218.60.56/~jnz1568/getInfo.php?workbook=18_15.xlsx&amp;sheet=U0&amp;row=156&amp;col=7&amp;number=0.254&amp;sourceID=14","0.254")</f>
        <v>0.254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HYPERLINK("http://141.218.60.56/~jnz1568/getInfo.php?workbook=18_15.xlsx&amp;sheet=U0&amp;row=157&amp;col=6&amp;number=4.3&amp;sourceID=14","4.3")</f>
        <v>4.3</v>
      </c>
      <c r="G157" s="4" t="str">
        <f>HYPERLINK("http://141.218.60.56/~jnz1568/getInfo.php?workbook=18_15.xlsx&amp;sheet=U0&amp;row=157&amp;col=7&amp;number=0.265&amp;sourceID=14","0.265")</f>
        <v>0.265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HYPERLINK("http://141.218.60.56/~jnz1568/getInfo.php?workbook=18_15.xlsx&amp;sheet=U0&amp;row=158&amp;col=6&amp;number=4.4&amp;sourceID=14","4.4")</f>
        <v>4.4</v>
      </c>
      <c r="G158" s="4" t="str">
        <f>HYPERLINK("http://141.218.60.56/~jnz1568/getInfo.php?workbook=18_15.xlsx&amp;sheet=U0&amp;row=158&amp;col=7&amp;number=0.269&amp;sourceID=14","0.269")</f>
        <v>0.269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HYPERLINK("http://141.218.60.56/~jnz1568/getInfo.php?workbook=18_15.xlsx&amp;sheet=U0&amp;row=159&amp;col=6&amp;number=4.5&amp;sourceID=14","4.5")</f>
        <v>4.5</v>
      </c>
      <c r="G159" s="4" t="str">
        <f>HYPERLINK("http://141.218.60.56/~jnz1568/getInfo.php?workbook=18_15.xlsx&amp;sheet=U0&amp;row=159&amp;col=7&amp;number=0.267&amp;sourceID=14","0.267")</f>
        <v>0.267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HYPERLINK("http://141.218.60.56/~jnz1568/getInfo.php?workbook=18_15.xlsx&amp;sheet=U0&amp;row=160&amp;col=6&amp;number=4.6&amp;sourceID=14","4.6")</f>
        <v>4.6</v>
      </c>
      <c r="G160" s="4" t="str">
        <f>HYPERLINK("http://141.218.60.56/~jnz1568/getInfo.php?workbook=18_15.xlsx&amp;sheet=U0&amp;row=160&amp;col=7&amp;number=0.26&amp;sourceID=14","0.26")</f>
        <v>0.26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HYPERLINK("http://141.218.60.56/~jnz1568/getInfo.php?workbook=18_15.xlsx&amp;sheet=U0&amp;row=161&amp;col=6&amp;number=4.7&amp;sourceID=14","4.7")</f>
        <v>4.7</v>
      </c>
      <c r="G161" s="4" t="str">
        <f>HYPERLINK("http://141.218.60.56/~jnz1568/getInfo.php?workbook=18_15.xlsx&amp;sheet=U0&amp;row=161&amp;col=7&amp;number=0.25&amp;sourceID=14","0.25")</f>
        <v>0.25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HYPERLINK("http://141.218.60.56/~jnz1568/getInfo.php?workbook=18_15.xlsx&amp;sheet=U0&amp;row=162&amp;col=6&amp;number=4.8&amp;sourceID=14","4.8")</f>
        <v>4.8</v>
      </c>
      <c r="G162" s="4" t="str">
        <f>HYPERLINK("http://141.218.60.56/~jnz1568/getInfo.php?workbook=18_15.xlsx&amp;sheet=U0&amp;row=162&amp;col=7&amp;number=0.236&amp;sourceID=14","0.236")</f>
        <v>0.236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HYPERLINK("http://141.218.60.56/~jnz1568/getInfo.php?workbook=18_15.xlsx&amp;sheet=U0&amp;row=163&amp;col=6&amp;number=4.9&amp;sourceID=14","4.9")</f>
        <v>4.9</v>
      </c>
      <c r="G163" s="4" t="str">
        <f>HYPERLINK("http://141.218.60.56/~jnz1568/getInfo.php?workbook=18_15.xlsx&amp;sheet=U0&amp;row=163&amp;col=7&amp;number=0.219&amp;sourceID=14","0.219")</f>
        <v>0.219</v>
      </c>
    </row>
    <row r="164" spans="1:7">
      <c r="A164" s="3">
        <v>18</v>
      </c>
      <c r="B164" s="3">
        <v>15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HYPERLINK("http://141.218.60.56/~jnz1568/getInfo.php?workbook=18_15.xlsx&amp;sheet=U0&amp;row=164&amp;col=6&amp;number=3&amp;sourceID=14","3")</f>
        <v>3</v>
      </c>
      <c r="G164" s="4" t="str">
        <f>HYPERLINK("http://141.218.60.56/~jnz1568/getInfo.php?workbook=18_15.xlsx&amp;sheet=U0&amp;row=164&amp;col=7&amp;number=0.177&amp;sourceID=14","0.177")</f>
        <v>0.177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HYPERLINK("http://141.218.60.56/~jnz1568/getInfo.php?workbook=18_15.xlsx&amp;sheet=U0&amp;row=165&amp;col=6&amp;number=3.1&amp;sourceID=14","3.1")</f>
        <v>3.1</v>
      </c>
      <c r="G165" s="4" t="str">
        <f>HYPERLINK("http://141.218.60.56/~jnz1568/getInfo.php?workbook=18_15.xlsx&amp;sheet=U0&amp;row=165&amp;col=7&amp;number=0.181&amp;sourceID=14","0.181")</f>
        <v>0.181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HYPERLINK("http://141.218.60.56/~jnz1568/getInfo.php?workbook=18_15.xlsx&amp;sheet=U0&amp;row=166&amp;col=6&amp;number=3.2&amp;sourceID=14","3.2")</f>
        <v>3.2</v>
      </c>
      <c r="G166" s="4" t="str">
        <f>HYPERLINK("http://141.218.60.56/~jnz1568/getInfo.php?workbook=18_15.xlsx&amp;sheet=U0&amp;row=166&amp;col=7&amp;number=0.186&amp;sourceID=14","0.186")</f>
        <v>0.186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HYPERLINK("http://141.218.60.56/~jnz1568/getInfo.php?workbook=18_15.xlsx&amp;sheet=U0&amp;row=167&amp;col=6&amp;number=3.3&amp;sourceID=14","3.3")</f>
        <v>3.3</v>
      </c>
      <c r="G167" s="4" t="str">
        <f>HYPERLINK("http://141.218.60.56/~jnz1568/getInfo.php?workbook=18_15.xlsx&amp;sheet=U0&amp;row=167&amp;col=7&amp;number=0.193&amp;sourceID=14","0.193")</f>
        <v>0.193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HYPERLINK("http://141.218.60.56/~jnz1568/getInfo.php?workbook=18_15.xlsx&amp;sheet=U0&amp;row=168&amp;col=6&amp;number=3.4&amp;sourceID=14","3.4")</f>
        <v>3.4</v>
      </c>
      <c r="G168" s="4" t="str">
        <f>HYPERLINK("http://141.218.60.56/~jnz1568/getInfo.php?workbook=18_15.xlsx&amp;sheet=U0&amp;row=168&amp;col=7&amp;number=0.2&amp;sourceID=14","0.2")</f>
        <v>0.2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HYPERLINK("http://141.218.60.56/~jnz1568/getInfo.php?workbook=18_15.xlsx&amp;sheet=U0&amp;row=169&amp;col=6&amp;number=3.5&amp;sourceID=14","3.5")</f>
        <v>3.5</v>
      </c>
      <c r="G169" s="4" t="str">
        <f>HYPERLINK("http://141.218.60.56/~jnz1568/getInfo.php?workbook=18_15.xlsx&amp;sheet=U0&amp;row=169&amp;col=7&amp;number=0.21&amp;sourceID=14","0.21")</f>
        <v>0.21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HYPERLINK("http://141.218.60.56/~jnz1568/getInfo.php?workbook=18_15.xlsx&amp;sheet=U0&amp;row=170&amp;col=6&amp;number=3.6&amp;sourceID=14","3.6")</f>
        <v>3.6</v>
      </c>
      <c r="G170" s="4" t="str">
        <f>HYPERLINK("http://141.218.60.56/~jnz1568/getInfo.php?workbook=18_15.xlsx&amp;sheet=U0&amp;row=170&amp;col=7&amp;number=0.223&amp;sourceID=14","0.223")</f>
        <v>0.223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HYPERLINK("http://141.218.60.56/~jnz1568/getInfo.php?workbook=18_15.xlsx&amp;sheet=U0&amp;row=171&amp;col=6&amp;number=3.7&amp;sourceID=14","3.7")</f>
        <v>3.7</v>
      </c>
      <c r="G171" s="4" t="str">
        <f>HYPERLINK("http://141.218.60.56/~jnz1568/getInfo.php?workbook=18_15.xlsx&amp;sheet=U0&amp;row=171&amp;col=7&amp;number=0.239&amp;sourceID=14","0.239")</f>
        <v>0.239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HYPERLINK("http://141.218.60.56/~jnz1568/getInfo.php?workbook=18_15.xlsx&amp;sheet=U0&amp;row=172&amp;col=6&amp;number=3.8&amp;sourceID=14","3.8")</f>
        <v>3.8</v>
      </c>
      <c r="G172" s="4" t="str">
        <f>HYPERLINK("http://141.218.60.56/~jnz1568/getInfo.php?workbook=18_15.xlsx&amp;sheet=U0&amp;row=172&amp;col=7&amp;number=0.261&amp;sourceID=14","0.261")</f>
        <v>0.261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HYPERLINK("http://141.218.60.56/~jnz1568/getInfo.php?workbook=18_15.xlsx&amp;sheet=U0&amp;row=173&amp;col=6&amp;number=3.9&amp;sourceID=14","3.9")</f>
        <v>3.9</v>
      </c>
      <c r="G173" s="4" t="str">
        <f>HYPERLINK("http://141.218.60.56/~jnz1568/getInfo.php?workbook=18_15.xlsx&amp;sheet=U0&amp;row=173&amp;col=7&amp;number=0.288&amp;sourceID=14","0.288")</f>
        <v>0.288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HYPERLINK("http://141.218.60.56/~jnz1568/getInfo.php?workbook=18_15.xlsx&amp;sheet=U0&amp;row=174&amp;col=6&amp;number=4&amp;sourceID=14","4")</f>
        <v>4</v>
      </c>
      <c r="G174" s="4" t="str">
        <f>HYPERLINK("http://141.218.60.56/~jnz1568/getInfo.php?workbook=18_15.xlsx&amp;sheet=U0&amp;row=174&amp;col=7&amp;number=0.32&amp;sourceID=14","0.32")</f>
        <v>0.32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HYPERLINK("http://141.218.60.56/~jnz1568/getInfo.php?workbook=18_15.xlsx&amp;sheet=U0&amp;row=175&amp;col=6&amp;number=4.1&amp;sourceID=14","4.1")</f>
        <v>4.1</v>
      </c>
      <c r="G175" s="4" t="str">
        <f>HYPERLINK("http://141.218.60.56/~jnz1568/getInfo.php?workbook=18_15.xlsx&amp;sheet=U0&amp;row=175&amp;col=7&amp;number=0.354&amp;sourceID=14","0.354")</f>
        <v>0.354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HYPERLINK("http://141.218.60.56/~jnz1568/getInfo.php?workbook=18_15.xlsx&amp;sheet=U0&amp;row=176&amp;col=6&amp;number=4.2&amp;sourceID=14","4.2")</f>
        <v>4.2</v>
      </c>
      <c r="G176" s="4" t="str">
        <f>HYPERLINK("http://141.218.60.56/~jnz1568/getInfo.php?workbook=18_15.xlsx&amp;sheet=U0&amp;row=176&amp;col=7&amp;number=0.382&amp;sourceID=14","0.382")</f>
        <v>0.382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HYPERLINK("http://141.218.60.56/~jnz1568/getInfo.php?workbook=18_15.xlsx&amp;sheet=U0&amp;row=177&amp;col=6&amp;number=4.3&amp;sourceID=14","4.3")</f>
        <v>4.3</v>
      </c>
      <c r="G177" s="4" t="str">
        <f>HYPERLINK("http://141.218.60.56/~jnz1568/getInfo.php?workbook=18_15.xlsx&amp;sheet=U0&amp;row=177&amp;col=7&amp;number=0.398&amp;sourceID=14","0.398")</f>
        <v>0.398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HYPERLINK("http://141.218.60.56/~jnz1568/getInfo.php?workbook=18_15.xlsx&amp;sheet=U0&amp;row=178&amp;col=6&amp;number=4.4&amp;sourceID=14","4.4")</f>
        <v>4.4</v>
      </c>
      <c r="G178" s="4" t="str">
        <f>HYPERLINK("http://141.218.60.56/~jnz1568/getInfo.php?workbook=18_15.xlsx&amp;sheet=U0&amp;row=178&amp;col=7&amp;number=0.402&amp;sourceID=14","0.402")</f>
        <v>0.402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HYPERLINK("http://141.218.60.56/~jnz1568/getInfo.php?workbook=18_15.xlsx&amp;sheet=U0&amp;row=179&amp;col=6&amp;number=4.5&amp;sourceID=14","4.5")</f>
        <v>4.5</v>
      </c>
      <c r="G179" s="4" t="str">
        <f>HYPERLINK("http://141.218.60.56/~jnz1568/getInfo.php?workbook=18_15.xlsx&amp;sheet=U0&amp;row=179&amp;col=7&amp;number=0.399&amp;sourceID=14","0.399")</f>
        <v>0.399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HYPERLINK("http://141.218.60.56/~jnz1568/getInfo.php?workbook=18_15.xlsx&amp;sheet=U0&amp;row=180&amp;col=6&amp;number=4.6&amp;sourceID=14","4.6")</f>
        <v>4.6</v>
      </c>
      <c r="G180" s="4" t="str">
        <f>HYPERLINK("http://141.218.60.56/~jnz1568/getInfo.php?workbook=18_15.xlsx&amp;sheet=U0&amp;row=180&amp;col=7&amp;number=0.388&amp;sourceID=14","0.388")</f>
        <v>0.388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HYPERLINK("http://141.218.60.56/~jnz1568/getInfo.php?workbook=18_15.xlsx&amp;sheet=U0&amp;row=181&amp;col=6&amp;number=4.7&amp;sourceID=14","4.7")</f>
        <v>4.7</v>
      </c>
      <c r="G181" s="4" t="str">
        <f>HYPERLINK("http://141.218.60.56/~jnz1568/getInfo.php?workbook=18_15.xlsx&amp;sheet=U0&amp;row=181&amp;col=7&amp;number=0.371&amp;sourceID=14","0.371")</f>
        <v>0.371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HYPERLINK("http://141.218.60.56/~jnz1568/getInfo.php?workbook=18_15.xlsx&amp;sheet=U0&amp;row=182&amp;col=6&amp;number=4.8&amp;sourceID=14","4.8")</f>
        <v>4.8</v>
      </c>
      <c r="G182" s="4" t="str">
        <f>HYPERLINK("http://141.218.60.56/~jnz1568/getInfo.php?workbook=18_15.xlsx&amp;sheet=U0&amp;row=182&amp;col=7&amp;number=0.348&amp;sourceID=14","0.348")</f>
        <v>0.348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HYPERLINK("http://141.218.60.56/~jnz1568/getInfo.php?workbook=18_15.xlsx&amp;sheet=U0&amp;row=183&amp;col=6&amp;number=4.9&amp;sourceID=14","4.9")</f>
        <v>4.9</v>
      </c>
      <c r="G183" s="4" t="str">
        <f>HYPERLINK("http://141.218.60.56/~jnz1568/getInfo.php?workbook=18_15.xlsx&amp;sheet=U0&amp;row=183&amp;col=7&amp;number=0.321&amp;sourceID=14","0.321")</f>
        <v>0.321</v>
      </c>
    </row>
    <row r="184" spans="1:7">
      <c r="A184" s="3">
        <v>18</v>
      </c>
      <c r="B184" s="3">
        <v>15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HYPERLINK("http://141.218.60.56/~jnz1568/getInfo.php?workbook=18_15.xlsx&amp;sheet=U0&amp;row=184&amp;col=6&amp;number=3&amp;sourceID=14","3")</f>
        <v>3</v>
      </c>
      <c r="G184" s="4" t="str">
        <f>HYPERLINK("http://141.218.60.56/~jnz1568/getInfo.php?workbook=18_15.xlsx&amp;sheet=U0&amp;row=184&amp;col=7&amp;number=0.322&amp;sourceID=14","0.322")</f>
        <v>0.322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HYPERLINK("http://141.218.60.56/~jnz1568/getInfo.php?workbook=18_15.xlsx&amp;sheet=U0&amp;row=185&amp;col=6&amp;number=3.1&amp;sourceID=14","3.1")</f>
        <v>3.1</v>
      </c>
      <c r="G185" s="4" t="str">
        <f>HYPERLINK("http://141.218.60.56/~jnz1568/getInfo.php?workbook=18_15.xlsx&amp;sheet=U0&amp;row=185&amp;col=7&amp;number=0.321&amp;sourceID=14","0.321")</f>
        <v>0.321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HYPERLINK("http://141.218.60.56/~jnz1568/getInfo.php?workbook=18_15.xlsx&amp;sheet=U0&amp;row=186&amp;col=6&amp;number=3.2&amp;sourceID=14","3.2")</f>
        <v>3.2</v>
      </c>
      <c r="G186" s="4" t="str">
        <f>HYPERLINK("http://141.218.60.56/~jnz1568/getInfo.php?workbook=18_15.xlsx&amp;sheet=U0&amp;row=186&amp;col=7&amp;number=0.321&amp;sourceID=14","0.321")</f>
        <v>0.321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HYPERLINK("http://141.218.60.56/~jnz1568/getInfo.php?workbook=18_15.xlsx&amp;sheet=U0&amp;row=187&amp;col=6&amp;number=3.3&amp;sourceID=14","3.3")</f>
        <v>3.3</v>
      </c>
      <c r="G187" s="4" t="str">
        <f>HYPERLINK("http://141.218.60.56/~jnz1568/getInfo.php?workbook=18_15.xlsx&amp;sheet=U0&amp;row=187&amp;col=7&amp;number=0.32&amp;sourceID=14","0.32")</f>
        <v>0.32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HYPERLINK("http://141.218.60.56/~jnz1568/getInfo.php?workbook=18_15.xlsx&amp;sheet=U0&amp;row=188&amp;col=6&amp;number=3.4&amp;sourceID=14","3.4")</f>
        <v>3.4</v>
      </c>
      <c r="G188" s="4" t="str">
        <f>HYPERLINK("http://141.218.60.56/~jnz1568/getInfo.php?workbook=18_15.xlsx&amp;sheet=U0&amp;row=188&amp;col=7&amp;number=0.319&amp;sourceID=14","0.319")</f>
        <v>0.319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HYPERLINK("http://141.218.60.56/~jnz1568/getInfo.php?workbook=18_15.xlsx&amp;sheet=U0&amp;row=189&amp;col=6&amp;number=3.5&amp;sourceID=14","3.5")</f>
        <v>3.5</v>
      </c>
      <c r="G189" s="4" t="str">
        <f>HYPERLINK("http://141.218.60.56/~jnz1568/getInfo.php?workbook=18_15.xlsx&amp;sheet=U0&amp;row=189&amp;col=7&amp;number=0.318&amp;sourceID=14","0.318")</f>
        <v>0.318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HYPERLINK("http://141.218.60.56/~jnz1568/getInfo.php?workbook=18_15.xlsx&amp;sheet=U0&amp;row=190&amp;col=6&amp;number=3.6&amp;sourceID=14","3.6")</f>
        <v>3.6</v>
      </c>
      <c r="G190" s="4" t="str">
        <f>HYPERLINK("http://141.218.60.56/~jnz1568/getInfo.php?workbook=18_15.xlsx&amp;sheet=U0&amp;row=190&amp;col=7&amp;number=0.316&amp;sourceID=14","0.316")</f>
        <v>0.316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HYPERLINK("http://141.218.60.56/~jnz1568/getInfo.php?workbook=18_15.xlsx&amp;sheet=U0&amp;row=191&amp;col=6&amp;number=3.7&amp;sourceID=14","3.7")</f>
        <v>3.7</v>
      </c>
      <c r="G191" s="4" t="str">
        <f>HYPERLINK("http://141.218.60.56/~jnz1568/getInfo.php?workbook=18_15.xlsx&amp;sheet=U0&amp;row=191&amp;col=7&amp;number=0.315&amp;sourceID=14","0.315")</f>
        <v>0.315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HYPERLINK("http://141.218.60.56/~jnz1568/getInfo.php?workbook=18_15.xlsx&amp;sheet=U0&amp;row=192&amp;col=6&amp;number=3.8&amp;sourceID=14","3.8")</f>
        <v>3.8</v>
      </c>
      <c r="G192" s="4" t="str">
        <f>HYPERLINK("http://141.218.60.56/~jnz1568/getInfo.php?workbook=18_15.xlsx&amp;sheet=U0&amp;row=192&amp;col=7&amp;number=0.313&amp;sourceID=14","0.313")</f>
        <v>0.313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HYPERLINK("http://141.218.60.56/~jnz1568/getInfo.php?workbook=18_15.xlsx&amp;sheet=U0&amp;row=193&amp;col=6&amp;number=3.9&amp;sourceID=14","3.9")</f>
        <v>3.9</v>
      </c>
      <c r="G193" s="4" t="str">
        <f>HYPERLINK("http://141.218.60.56/~jnz1568/getInfo.php?workbook=18_15.xlsx&amp;sheet=U0&amp;row=193&amp;col=7&amp;number=0.311&amp;sourceID=14","0.311")</f>
        <v>0.311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HYPERLINK("http://141.218.60.56/~jnz1568/getInfo.php?workbook=18_15.xlsx&amp;sheet=U0&amp;row=194&amp;col=6&amp;number=4&amp;sourceID=14","4")</f>
        <v>4</v>
      </c>
      <c r="G194" s="4" t="str">
        <f>HYPERLINK("http://141.218.60.56/~jnz1568/getInfo.php?workbook=18_15.xlsx&amp;sheet=U0&amp;row=194&amp;col=7&amp;number=0.309&amp;sourceID=14","0.309")</f>
        <v>0.309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HYPERLINK("http://141.218.60.56/~jnz1568/getInfo.php?workbook=18_15.xlsx&amp;sheet=U0&amp;row=195&amp;col=6&amp;number=4.1&amp;sourceID=14","4.1")</f>
        <v>4.1</v>
      </c>
      <c r="G195" s="4" t="str">
        <f>HYPERLINK("http://141.218.60.56/~jnz1568/getInfo.php?workbook=18_15.xlsx&amp;sheet=U0&amp;row=195&amp;col=7&amp;number=0.309&amp;sourceID=14","0.309")</f>
        <v>0.309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HYPERLINK("http://141.218.60.56/~jnz1568/getInfo.php?workbook=18_15.xlsx&amp;sheet=U0&amp;row=196&amp;col=6&amp;number=4.2&amp;sourceID=14","4.2")</f>
        <v>4.2</v>
      </c>
      <c r="G196" s="4" t="str">
        <f>HYPERLINK("http://141.218.60.56/~jnz1568/getInfo.php?workbook=18_15.xlsx&amp;sheet=U0&amp;row=196&amp;col=7&amp;number=0.309&amp;sourceID=14","0.309")</f>
        <v>0.309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HYPERLINK("http://141.218.60.56/~jnz1568/getInfo.php?workbook=18_15.xlsx&amp;sheet=U0&amp;row=197&amp;col=6&amp;number=4.3&amp;sourceID=14","4.3")</f>
        <v>4.3</v>
      </c>
      <c r="G197" s="4" t="str">
        <f>HYPERLINK("http://141.218.60.56/~jnz1568/getInfo.php?workbook=18_15.xlsx&amp;sheet=U0&amp;row=197&amp;col=7&amp;number=0.31&amp;sourceID=14","0.31")</f>
        <v>0.31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HYPERLINK("http://141.218.60.56/~jnz1568/getInfo.php?workbook=18_15.xlsx&amp;sheet=U0&amp;row=198&amp;col=6&amp;number=4.4&amp;sourceID=14","4.4")</f>
        <v>4.4</v>
      </c>
      <c r="G198" s="4" t="str">
        <f>HYPERLINK("http://141.218.60.56/~jnz1568/getInfo.php?workbook=18_15.xlsx&amp;sheet=U0&amp;row=198&amp;col=7&amp;number=0.311&amp;sourceID=14","0.311")</f>
        <v>0.311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HYPERLINK("http://141.218.60.56/~jnz1568/getInfo.php?workbook=18_15.xlsx&amp;sheet=U0&amp;row=199&amp;col=6&amp;number=4.5&amp;sourceID=14","4.5")</f>
        <v>4.5</v>
      </c>
      <c r="G199" s="4" t="str">
        <f>HYPERLINK("http://141.218.60.56/~jnz1568/getInfo.php?workbook=18_15.xlsx&amp;sheet=U0&amp;row=199&amp;col=7&amp;number=0.311&amp;sourceID=14","0.311")</f>
        <v>0.311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HYPERLINK("http://141.218.60.56/~jnz1568/getInfo.php?workbook=18_15.xlsx&amp;sheet=U0&amp;row=200&amp;col=6&amp;number=4.6&amp;sourceID=14","4.6")</f>
        <v>4.6</v>
      </c>
      <c r="G200" s="4" t="str">
        <f>HYPERLINK("http://141.218.60.56/~jnz1568/getInfo.php?workbook=18_15.xlsx&amp;sheet=U0&amp;row=200&amp;col=7&amp;number=0.31&amp;sourceID=14","0.31")</f>
        <v>0.31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HYPERLINK("http://141.218.60.56/~jnz1568/getInfo.php?workbook=18_15.xlsx&amp;sheet=U0&amp;row=201&amp;col=6&amp;number=4.7&amp;sourceID=14","4.7")</f>
        <v>4.7</v>
      </c>
      <c r="G201" s="4" t="str">
        <f>HYPERLINK("http://141.218.60.56/~jnz1568/getInfo.php?workbook=18_15.xlsx&amp;sheet=U0&amp;row=201&amp;col=7&amp;number=0.307&amp;sourceID=14","0.307")</f>
        <v>0.307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HYPERLINK("http://141.218.60.56/~jnz1568/getInfo.php?workbook=18_15.xlsx&amp;sheet=U0&amp;row=202&amp;col=6&amp;number=4.8&amp;sourceID=14","4.8")</f>
        <v>4.8</v>
      </c>
      <c r="G202" s="4" t="str">
        <f>HYPERLINK("http://141.218.60.56/~jnz1568/getInfo.php?workbook=18_15.xlsx&amp;sheet=U0&amp;row=202&amp;col=7&amp;number=0.302&amp;sourceID=14","0.302")</f>
        <v>0.302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HYPERLINK("http://141.218.60.56/~jnz1568/getInfo.php?workbook=18_15.xlsx&amp;sheet=U0&amp;row=203&amp;col=6&amp;number=4.9&amp;sourceID=14","4.9")</f>
        <v>4.9</v>
      </c>
      <c r="G203" s="4" t="str">
        <f>HYPERLINK("http://141.218.60.56/~jnz1568/getInfo.php?workbook=18_15.xlsx&amp;sheet=U0&amp;row=203&amp;col=7&amp;number=0.295&amp;sourceID=14","0.295")</f>
        <v>0.295</v>
      </c>
    </row>
    <row r="204" spans="1:7">
      <c r="A204" s="3">
        <v>18</v>
      </c>
      <c r="B204" s="3">
        <v>15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HYPERLINK("http://141.218.60.56/~jnz1568/getInfo.php?workbook=18_15.xlsx&amp;sheet=U0&amp;row=204&amp;col=6&amp;number=3&amp;sourceID=14","3")</f>
        <v>3</v>
      </c>
      <c r="G204" s="4" t="str">
        <f>HYPERLINK("http://141.218.60.56/~jnz1568/getInfo.php?workbook=18_15.xlsx&amp;sheet=U0&amp;row=204&amp;col=7&amp;number=0.65&amp;sourceID=14","0.65")</f>
        <v>0.65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HYPERLINK("http://141.218.60.56/~jnz1568/getInfo.php?workbook=18_15.xlsx&amp;sheet=U0&amp;row=205&amp;col=6&amp;number=3.1&amp;sourceID=14","3.1")</f>
        <v>3.1</v>
      </c>
      <c r="G205" s="4" t="str">
        <f>HYPERLINK("http://141.218.60.56/~jnz1568/getInfo.php?workbook=18_15.xlsx&amp;sheet=U0&amp;row=205&amp;col=7&amp;number=0.648&amp;sourceID=14","0.648")</f>
        <v>0.648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HYPERLINK("http://141.218.60.56/~jnz1568/getInfo.php?workbook=18_15.xlsx&amp;sheet=U0&amp;row=206&amp;col=6&amp;number=3.2&amp;sourceID=14","3.2")</f>
        <v>3.2</v>
      </c>
      <c r="G206" s="4" t="str">
        <f>HYPERLINK("http://141.218.60.56/~jnz1568/getInfo.php?workbook=18_15.xlsx&amp;sheet=U0&amp;row=206&amp;col=7&amp;number=0.646&amp;sourceID=14","0.646")</f>
        <v>0.646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HYPERLINK("http://141.218.60.56/~jnz1568/getInfo.php?workbook=18_15.xlsx&amp;sheet=U0&amp;row=207&amp;col=6&amp;number=3.3&amp;sourceID=14","3.3")</f>
        <v>3.3</v>
      </c>
      <c r="G207" s="4" t="str">
        <f>HYPERLINK("http://141.218.60.56/~jnz1568/getInfo.php?workbook=18_15.xlsx&amp;sheet=U0&amp;row=207&amp;col=7&amp;number=0.643&amp;sourceID=14","0.643")</f>
        <v>0.643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HYPERLINK("http://141.218.60.56/~jnz1568/getInfo.php?workbook=18_15.xlsx&amp;sheet=U0&amp;row=208&amp;col=6&amp;number=3.4&amp;sourceID=14","3.4")</f>
        <v>3.4</v>
      </c>
      <c r="G208" s="4" t="str">
        <f>HYPERLINK("http://141.218.60.56/~jnz1568/getInfo.php?workbook=18_15.xlsx&amp;sheet=U0&amp;row=208&amp;col=7&amp;number=0.64&amp;sourceID=14","0.64")</f>
        <v>0.64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HYPERLINK("http://141.218.60.56/~jnz1568/getInfo.php?workbook=18_15.xlsx&amp;sheet=U0&amp;row=209&amp;col=6&amp;number=3.5&amp;sourceID=14","3.5")</f>
        <v>3.5</v>
      </c>
      <c r="G209" s="4" t="str">
        <f>HYPERLINK("http://141.218.60.56/~jnz1568/getInfo.php?workbook=18_15.xlsx&amp;sheet=U0&amp;row=209&amp;col=7&amp;number=0.637&amp;sourceID=14","0.637")</f>
        <v>0.637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HYPERLINK("http://141.218.60.56/~jnz1568/getInfo.php?workbook=18_15.xlsx&amp;sheet=U0&amp;row=210&amp;col=6&amp;number=3.6&amp;sourceID=14","3.6")</f>
        <v>3.6</v>
      </c>
      <c r="G210" s="4" t="str">
        <f>HYPERLINK("http://141.218.60.56/~jnz1568/getInfo.php?workbook=18_15.xlsx&amp;sheet=U0&amp;row=210&amp;col=7&amp;number=0.632&amp;sourceID=14","0.632")</f>
        <v>0.632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HYPERLINK("http://141.218.60.56/~jnz1568/getInfo.php?workbook=18_15.xlsx&amp;sheet=U0&amp;row=211&amp;col=6&amp;number=3.7&amp;sourceID=14","3.7")</f>
        <v>3.7</v>
      </c>
      <c r="G211" s="4" t="str">
        <f>HYPERLINK("http://141.218.60.56/~jnz1568/getInfo.php?workbook=18_15.xlsx&amp;sheet=U0&amp;row=211&amp;col=7&amp;number=0.628&amp;sourceID=14","0.628")</f>
        <v>0.628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HYPERLINK("http://141.218.60.56/~jnz1568/getInfo.php?workbook=18_15.xlsx&amp;sheet=U0&amp;row=212&amp;col=6&amp;number=3.8&amp;sourceID=14","3.8")</f>
        <v>3.8</v>
      </c>
      <c r="G212" s="4" t="str">
        <f>HYPERLINK("http://141.218.60.56/~jnz1568/getInfo.php?workbook=18_15.xlsx&amp;sheet=U0&amp;row=212&amp;col=7&amp;number=0.623&amp;sourceID=14","0.623")</f>
        <v>0.623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HYPERLINK("http://141.218.60.56/~jnz1568/getInfo.php?workbook=18_15.xlsx&amp;sheet=U0&amp;row=213&amp;col=6&amp;number=3.9&amp;sourceID=14","3.9")</f>
        <v>3.9</v>
      </c>
      <c r="G213" s="4" t="str">
        <f>HYPERLINK("http://141.218.60.56/~jnz1568/getInfo.php?workbook=18_15.xlsx&amp;sheet=U0&amp;row=213&amp;col=7&amp;number=0.62&amp;sourceID=14","0.62")</f>
        <v>0.62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HYPERLINK("http://141.218.60.56/~jnz1568/getInfo.php?workbook=18_15.xlsx&amp;sheet=U0&amp;row=214&amp;col=6&amp;number=4&amp;sourceID=14","4")</f>
        <v>4</v>
      </c>
      <c r="G214" s="4" t="str">
        <f>HYPERLINK("http://141.218.60.56/~jnz1568/getInfo.php?workbook=18_15.xlsx&amp;sheet=U0&amp;row=214&amp;col=7&amp;number=0.618&amp;sourceID=14","0.618")</f>
        <v>0.618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HYPERLINK("http://141.218.60.56/~jnz1568/getInfo.php?workbook=18_15.xlsx&amp;sheet=U0&amp;row=215&amp;col=6&amp;number=4.1&amp;sourceID=14","4.1")</f>
        <v>4.1</v>
      </c>
      <c r="G215" s="4" t="str">
        <f>HYPERLINK("http://141.218.60.56/~jnz1568/getInfo.php?workbook=18_15.xlsx&amp;sheet=U0&amp;row=215&amp;col=7&amp;number=0.618&amp;sourceID=14","0.618")</f>
        <v>0.618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HYPERLINK("http://141.218.60.56/~jnz1568/getInfo.php?workbook=18_15.xlsx&amp;sheet=U0&amp;row=216&amp;col=6&amp;number=4.2&amp;sourceID=14","4.2")</f>
        <v>4.2</v>
      </c>
      <c r="G216" s="4" t="str">
        <f>HYPERLINK("http://141.218.60.56/~jnz1568/getInfo.php?workbook=18_15.xlsx&amp;sheet=U0&amp;row=216&amp;col=7&amp;number=0.62&amp;sourceID=14","0.62")</f>
        <v>0.62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HYPERLINK("http://141.218.60.56/~jnz1568/getInfo.php?workbook=18_15.xlsx&amp;sheet=U0&amp;row=217&amp;col=6&amp;number=4.3&amp;sourceID=14","4.3")</f>
        <v>4.3</v>
      </c>
      <c r="G217" s="4" t="str">
        <f>HYPERLINK("http://141.218.60.56/~jnz1568/getInfo.php?workbook=18_15.xlsx&amp;sheet=U0&amp;row=217&amp;col=7&amp;number=0.621&amp;sourceID=14","0.621")</f>
        <v>0.621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HYPERLINK("http://141.218.60.56/~jnz1568/getInfo.php?workbook=18_15.xlsx&amp;sheet=U0&amp;row=218&amp;col=6&amp;number=4.4&amp;sourceID=14","4.4")</f>
        <v>4.4</v>
      </c>
      <c r="G218" s="4" t="str">
        <f>HYPERLINK("http://141.218.60.56/~jnz1568/getInfo.php?workbook=18_15.xlsx&amp;sheet=U0&amp;row=218&amp;col=7&amp;number=0.621&amp;sourceID=14","0.621")</f>
        <v>0.621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HYPERLINK("http://141.218.60.56/~jnz1568/getInfo.php?workbook=18_15.xlsx&amp;sheet=U0&amp;row=219&amp;col=6&amp;number=4.5&amp;sourceID=14","4.5")</f>
        <v>4.5</v>
      </c>
      <c r="G219" s="4" t="str">
        <f>HYPERLINK("http://141.218.60.56/~jnz1568/getInfo.php?workbook=18_15.xlsx&amp;sheet=U0&amp;row=219&amp;col=7&amp;number=0.618&amp;sourceID=14","0.618")</f>
        <v>0.618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HYPERLINK("http://141.218.60.56/~jnz1568/getInfo.php?workbook=18_15.xlsx&amp;sheet=U0&amp;row=220&amp;col=6&amp;number=4.6&amp;sourceID=14","4.6")</f>
        <v>4.6</v>
      </c>
      <c r="G220" s="4" t="str">
        <f>HYPERLINK("http://141.218.60.56/~jnz1568/getInfo.php?workbook=18_15.xlsx&amp;sheet=U0&amp;row=220&amp;col=7&amp;number=0.613&amp;sourceID=14","0.613")</f>
        <v>0.613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HYPERLINK("http://141.218.60.56/~jnz1568/getInfo.php?workbook=18_15.xlsx&amp;sheet=U0&amp;row=221&amp;col=6&amp;number=4.7&amp;sourceID=14","4.7")</f>
        <v>4.7</v>
      </c>
      <c r="G221" s="4" t="str">
        <f>HYPERLINK("http://141.218.60.56/~jnz1568/getInfo.php?workbook=18_15.xlsx&amp;sheet=U0&amp;row=221&amp;col=7&amp;number=0.606&amp;sourceID=14","0.606")</f>
        <v>0.606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HYPERLINK("http://141.218.60.56/~jnz1568/getInfo.php?workbook=18_15.xlsx&amp;sheet=U0&amp;row=222&amp;col=6&amp;number=4.8&amp;sourceID=14","4.8")</f>
        <v>4.8</v>
      </c>
      <c r="G222" s="4" t="str">
        <f>HYPERLINK("http://141.218.60.56/~jnz1568/getInfo.php?workbook=18_15.xlsx&amp;sheet=U0&amp;row=222&amp;col=7&amp;number=0.596&amp;sourceID=14","0.596")</f>
        <v>0.596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HYPERLINK("http://141.218.60.56/~jnz1568/getInfo.php?workbook=18_15.xlsx&amp;sheet=U0&amp;row=223&amp;col=6&amp;number=4.9&amp;sourceID=14","4.9")</f>
        <v>4.9</v>
      </c>
      <c r="G223" s="4" t="str">
        <f>HYPERLINK("http://141.218.60.56/~jnz1568/getInfo.php?workbook=18_15.xlsx&amp;sheet=U0&amp;row=223&amp;col=7&amp;number=0.577&amp;sourceID=14","0.577")</f>
        <v>0.577</v>
      </c>
    </row>
    <row r="224" spans="1:7">
      <c r="A224" s="3">
        <v>18</v>
      </c>
      <c r="B224" s="3">
        <v>15</v>
      </c>
      <c r="C224" s="3">
        <v>1</v>
      </c>
      <c r="D224" s="3">
        <v>14</v>
      </c>
      <c r="E224" s="3">
        <v>1</v>
      </c>
      <c r="F224" s="4" t="str">
        <f>HYPERLINK("http://141.218.60.56/~jnz1568/getInfo.php?workbook=18_15.xlsx&amp;sheet=U0&amp;row=224&amp;col=6&amp;number=3&amp;sourceID=14","3")</f>
        <v>3</v>
      </c>
      <c r="G224" s="4" t="str">
        <f>HYPERLINK("http://141.218.60.56/~jnz1568/getInfo.php?workbook=18_15.xlsx&amp;sheet=U0&amp;row=224&amp;col=7&amp;number=0.361&amp;sourceID=14","0.361")</f>
        <v>0.361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HYPERLINK("http://141.218.60.56/~jnz1568/getInfo.php?workbook=18_15.xlsx&amp;sheet=U0&amp;row=225&amp;col=6&amp;number=3.1&amp;sourceID=14","3.1")</f>
        <v>3.1</v>
      </c>
      <c r="G225" s="4" t="str">
        <f>HYPERLINK("http://141.218.60.56/~jnz1568/getInfo.php?workbook=18_15.xlsx&amp;sheet=U0&amp;row=225&amp;col=7&amp;number=0.372&amp;sourceID=14","0.372")</f>
        <v>0.372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HYPERLINK("http://141.218.60.56/~jnz1568/getInfo.php?workbook=18_15.xlsx&amp;sheet=U0&amp;row=226&amp;col=6&amp;number=3.2&amp;sourceID=14","3.2")</f>
        <v>3.2</v>
      </c>
      <c r="G226" s="4" t="str">
        <f>HYPERLINK("http://141.218.60.56/~jnz1568/getInfo.php?workbook=18_15.xlsx&amp;sheet=U0&amp;row=226&amp;col=7&amp;number=0.385&amp;sourceID=14","0.385")</f>
        <v>0.385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HYPERLINK("http://141.218.60.56/~jnz1568/getInfo.php?workbook=18_15.xlsx&amp;sheet=U0&amp;row=227&amp;col=6&amp;number=3.3&amp;sourceID=14","3.3")</f>
        <v>3.3</v>
      </c>
      <c r="G227" s="4" t="str">
        <f>HYPERLINK("http://141.218.60.56/~jnz1568/getInfo.php?workbook=18_15.xlsx&amp;sheet=U0&amp;row=227&amp;col=7&amp;number=0.401&amp;sourceID=14","0.401")</f>
        <v>0.401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HYPERLINK("http://141.218.60.56/~jnz1568/getInfo.php?workbook=18_15.xlsx&amp;sheet=U0&amp;row=228&amp;col=6&amp;number=3.4&amp;sourceID=14","3.4")</f>
        <v>3.4</v>
      </c>
      <c r="G228" s="4" t="str">
        <f>HYPERLINK("http://141.218.60.56/~jnz1568/getInfo.php?workbook=18_15.xlsx&amp;sheet=U0&amp;row=228&amp;col=7&amp;number=0.421&amp;sourceID=14","0.421")</f>
        <v>0.421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HYPERLINK("http://141.218.60.56/~jnz1568/getInfo.php?workbook=18_15.xlsx&amp;sheet=U0&amp;row=229&amp;col=6&amp;number=3.5&amp;sourceID=14","3.5")</f>
        <v>3.5</v>
      </c>
      <c r="G229" s="4" t="str">
        <f>HYPERLINK("http://141.218.60.56/~jnz1568/getInfo.php?workbook=18_15.xlsx&amp;sheet=U0&amp;row=229&amp;col=7&amp;number=0.446&amp;sourceID=14","0.446")</f>
        <v>0.446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HYPERLINK("http://141.218.60.56/~jnz1568/getInfo.php?workbook=18_15.xlsx&amp;sheet=U0&amp;row=230&amp;col=6&amp;number=3.6&amp;sourceID=14","3.6")</f>
        <v>3.6</v>
      </c>
      <c r="G230" s="4" t="str">
        <f>HYPERLINK("http://141.218.60.56/~jnz1568/getInfo.php?workbook=18_15.xlsx&amp;sheet=U0&amp;row=230&amp;col=7&amp;number=0.475&amp;sourceID=14","0.475")</f>
        <v>0.475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HYPERLINK("http://141.218.60.56/~jnz1568/getInfo.php?workbook=18_15.xlsx&amp;sheet=U0&amp;row=231&amp;col=6&amp;number=3.7&amp;sourceID=14","3.7")</f>
        <v>3.7</v>
      </c>
      <c r="G231" s="4" t="str">
        <f>HYPERLINK("http://141.218.60.56/~jnz1568/getInfo.php?workbook=18_15.xlsx&amp;sheet=U0&amp;row=231&amp;col=7&amp;number=0.511&amp;sourceID=14","0.511")</f>
        <v>0.511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HYPERLINK("http://141.218.60.56/~jnz1568/getInfo.php?workbook=18_15.xlsx&amp;sheet=U0&amp;row=232&amp;col=6&amp;number=3.8&amp;sourceID=14","3.8")</f>
        <v>3.8</v>
      </c>
      <c r="G232" s="4" t="str">
        <f>HYPERLINK("http://141.218.60.56/~jnz1568/getInfo.php?workbook=18_15.xlsx&amp;sheet=U0&amp;row=232&amp;col=7&amp;number=0.552&amp;sourceID=14","0.552")</f>
        <v>0.552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HYPERLINK("http://141.218.60.56/~jnz1568/getInfo.php?workbook=18_15.xlsx&amp;sheet=U0&amp;row=233&amp;col=6&amp;number=3.9&amp;sourceID=14","3.9")</f>
        <v>3.9</v>
      </c>
      <c r="G233" s="4" t="str">
        <f>HYPERLINK("http://141.218.60.56/~jnz1568/getInfo.php?workbook=18_15.xlsx&amp;sheet=U0&amp;row=233&amp;col=7&amp;number=0.6&amp;sourceID=14","0.6")</f>
        <v>0.6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HYPERLINK("http://141.218.60.56/~jnz1568/getInfo.php?workbook=18_15.xlsx&amp;sheet=U0&amp;row=234&amp;col=6&amp;number=4&amp;sourceID=14","4")</f>
        <v>4</v>
      </c>
      <c r="G234" s="4" t="str">
        <f>HYPERLINK("http://141.218.60.56/~jnz1568/getInfo.php?workbook=18_15.xlsx&amp;sheet=U0&amp;row=234&amp;col=7&amp;number=0.652&amp;sourceID=14","0.652")</f>
        <v>0.652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HYPERLINK("http://141.218.60.56/~jnz1568/getInfo.php?workbook=18_15.xlsx&amp;sheet=U0&amp;row=235&amp;col=6&amp;number=4.1&amp;sourceID=14","4.1")</f>
        <v>4.1</v>
      </c>
      <c r="G235" s="4" t="str">
        <f>HYPERLINK("http://141.218.60.56/~jnz1568/getInfo.php?workbook=18_15.xlsx&amp;sheet=U0&amp;row=235&amp;col=7&amp;number=0.706&amp;sourceID=14","0.706")</f>
        <v>0.706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HYPERLINK("http://141.218.60.56/~jnz1568/getInfo.php?workbook=18_15.xlsx&amp;sheet=U0&amp;row=236&amp;col=6&amp;number=4.2&amp;sourceID=14","4.2")</f>
        <v>4.2</v>
      </c>
      <c r="G236" s="4" t="str">
        <f>HYPERLINK("http://141.218.60.56/~jnz1568/getInfo.php?workbook=18_15.xlsx&amp;sheet=U0&amp;row=236&amp;col=7&amp;number=0.756&amp;sourceID=14","0.756")</f>
        <v>0.756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HYPERLINK("http://141.218.60.56/~jnz1568/getInfo.php?workbook=18_15.xlsx&amp;sheet=U0&amp;row=237&amp;col=6&amp;number=4.3&amp;sourceID=14","4.3")</f>
        <v>4.3</v>
      </c>
      <c r="G237" s="4" t="str">
        <f>HYPERLINK("http://141.218.60.56/~jnz1568/getInfo.php?workbook=18_15.xlsx&amp;sheet=U0&amp;row=237&amp;col=7&amp;number=0.796&amp;sourceID=14","0.796")</f>
        <v>0.796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HYPERLINK("http://141.218.60.56/~jnz1568/getInfo.php?workbook=18_15.xlsx&amp;sheet=U0&amp;row=238&amp;col=6&amp;number=4.4&amp;sourceID=14","4.4")</f>
        <v>4.4</v>
      </c>
      <c r="G238" s="4" t="str">
        <f>HYPERLINK("http://141.218.60.56/~jnz1568/getInfo.php?workbook=18_15.xlsx&amp;sheet=U0&amp;row=238&amp;col=7&amp;number=0.815&amp;sourceID=14","0.815")</f>
        <v>0.815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HYPERLINK("http://141.218.60.56/~jnz1568/getInfo.php?workbook=18_15.xlsx&amp;sheet=U0&amp;row=239&amp;col=6&amp;number=4.5&amp;sourceID=14","4.5")</f>
        <v>4.5</v>
      </c>
      <c r="G239" s="4" t="str">
        <f>HYPERLINK("http://141.218.60.56/~jnz1568/getInfo.php?workbook=18_15.xlsx&amp;sheet=U0&amp;row=239&amp;col=7&amp;number=0.811&amp;sourceID=14","0.811")</f>
        <v>0.811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HYPERLINK("http://141.218.60.56/~jnz1568/getInfo.php?workbook=18_15.xlsx&amp;sheet=U0&amp;row=240&amp;col=6&amp;number=4.6&amp;sourceID=14","4.6")</f>
        <v>4.6</v>
      </c>
      <c r="G240" s="4" t="str">
        <f>HYPERLINK("http://141.218.60.56/~jnz1568/getInfo.php?workbook=18_15.xlsx&amp;sheet=U0&amp;row=240&amp;col=7&amp;number=0.787&amp;sourceID=14","0.787")</f>
        <v>0.787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HYPERLINK("http://141.218.60.56/~jnz1568/getInfo.php?workbook=18_15.xlsx&amp;sheet=U0&amp;row=241&amp;col=6&amp;number=4.7&amp;sourceID=14","4.7")</f>
        <v>4.7</v>
      </c>
      <c r="G241" s="4" t="str">
        <f>HYPERLINK("http://141.218.60.56/~jnz1568/getInfo.php?workbook=18_15.xlsx&amp;sheet=U0&amp;row=241&amp;col=7&amp;number=0.747&amp;sourceID=14","0.747")</f>
        <v>0.747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HYPERLINK("http://141.218.60.56/~jnz1568/getInfo.php?workbook=18_15.xlsx&amp;sheet=U0&amp;row=242&amp;col=6&amp;number=4.8&amp;sourceID=14","4.8")</f>
        <v>4.8</v>
      </c>
      <c r="G242" s="4" t="str">
        <f>HYPERLINK("http://141.218.60.56/~jnz1568/getInfo.php?workbook=18_15.xlsx&amp;sheet=U0&amp;row=242&amp;col=7&amp;number=0.695&amp;sourceID=14","0.695")</f>
        <v>0.695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HYPERLINK("http://141.218.60.56/~jnz1568/getInfo.php?workbook=18_15.xlsx&amp;sheet=U0&amp;row=243&amp;col=6&amp;number=4.9&amp;sourceID=14","4.9")</f>
        <v>4.9</v>
      </c>
      <c r="G243" s="4" t="str">
        <f>HYPERLINK("http://141.218.60.56/~jnz1568/getInfo.php?workbook=18_15.xlsx&amp;sheet=U0&amp;row=243&amp;col=7&amp;number=0.636&amp;sourceID=14","0.636")</f>
        <v>0.636</v>
      </c>
    </row>
    <row r="244" spans="1:7">
      <c r="A244" s="3">
        <v>18</v>
      </c>
      <c r="B244" s="3">
        <v>15</v>
      </c>
      <c r="C244" s="3">
        <v>1</v>
      </c>
      <c r="D244" s="3">
        <v>15</v>
      </c>
      <c r="E244" s="3">
        <v>1</v>
      </c>
      <c r="F244" s="4" t="str">
        <f>HYPERLINK("http://141.218.60.56/~jnz1568/getInfo.php?workbook=18_15.xlsx&amp;sheet=U0&amp;row=244&amp;col=6&amp;number=3&amp;sourceID=14","3")</f>
        <v>3</v>
      </c>
      <c r="G244" s="4" t="str">
        <f>HYPERLINK("http://141.218.60.56/~jnz1568/getInfo.php?workbook=18_15.xlsx&amp;sheet=U0&amp;row=244&amp;col=7&amp;number=0.54&amp;sourceID=14","0.54")</f>
        <v>0.54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HYPERLINK("http://141.218.60.56/~jnz1568/getInfo.php?workbook=18_15.xlsx&amp;sheet=U0&amp;row=245&amp;col=6&amp;number=3.1&amp;sourceID=14","3.1")</f>
        <v>3.1</v>
      </c>
      <c r="G245" s="4" t="str">
        <f>HYPERLINK("http://141.218.60.56/~jnz1568/getInfo.php?workbook=18_15.xlsx&amp;sheet=U0&amp;row=245&amp;col=7&amp;number=0.556&amp;sourceID=14","0.556")</f>
        <v>0.556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HYPERLINK("http://141.218.60.56/~jnz1568/getInfo.php?workbook=18_15.xlsx&amp;sheet=U0&amp;row=246&amp;col=6&amp;number=3.2&amp;sourceID=14","3.2")</f>
        <v>3.2</v>
      </c>
      <c r="G246" s="4" t="str">
        <f>HYPERLINK("http://141.218.60.56/~jnz1568/getInfo.php?workbook=18_15.xlsx&amp;sheet=U0&amp;row=246&amp;col=7&amp;number=0.576&amp;sourceID=14","0.576")</f>
        <v>0.576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HYPERLINK("http://141.218.60.56/~jnz1568/getInfo.php?workbook=18_15.xlsx&amp;sheet=U0&amp;row=247&amp;col=6&amp;number=3.3&amp;sourceID=14","3.3")</f>
        <v>3.3</v>
      </c>
      <c r="G247" s="4" t="str">
        <f>HYPERLINK("http://141.218.60.56/~jnz1568/getInfo.php?workbook=18_15.xlsx&amp;sheet=U0&amp;row=247&amp;col=7&amp;number=0.601&amp;sourceID=14","0.601")</f>
        <v>0.601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HYPERLINK("http://141.218.60.56/~jnz1568/getInfo.php?workbook=18_15.xlsx&amp;sheet=U0&amp;row=248&amp;col=6&amp;number=3.4&amp;sourceID=14","3.4")</f>
        <v>3.4</v>
      </c>
      <c r="G248" s="4" t="str">
        <f>HYPERLINK("http://141.218.60.56/~jnz1568/getInfo.php?workbook=18_15.xlsx&amp;sheet=U0&amp;row=248&amp;col=7&amp;number=0.631&amp;sourceID=14","0.631")</f>
        <v>0.631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HYPERLINK("http://141.218.60.56/~jnz1568/getInfo.php?workbook=18_15.xlsx&amp;sheet=U0&amp;row=249&amp;col=6&amp;number=3.5&amp;sourceID=14","3.5")</f>
        <v>3.5</v>
      </c>
      <c r="G249" s="4" t="str">
        <f>HYPERLINK("http://141.218.60.56/~jnz1568/getInfo.php?workbook=18_15.xlsx&amp;sheet=U0&amp;row=249&amp;col=7&amp;number=0.669&amp;sourceID=14","0.669")</f>
        <v>0.669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HYPERLINK("http://141.218.60.56/~jnz1568/getInfo.php?workbook=18_15.xlsx&amp;sheet=U0&amp;row=250&amp;col=6&amp;number=3.6&amp;sourceID=14","3.6")</f>
        <v>3.6</v>
      </c>
      <c r="G250" s="4" t="str">
        <f>HYPERLINK("http://141.218.60.56/~jnz1568/getInfo.php?workbook=18_15.xlsx&amp;sheet=U0&amp;row=250&amp;col=7&amp;number=0.713&amp;sourceID=14","0.713")</f>
        <v>0.713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HYPERLINK("http://141.218.60.56/~jnz1568/getInfo.php?workbook=18_15.xlsx&amp;sheet=U0&amp;row=251&amp;col=6&amp;number=3.7&amp;sourceID=14","3.7")</f>
        <v>3.7</v>
      </c>
      <c r="G251" s="4" t="str">
        <f>HYPERLINK("http://141.218.60.56/~jnz1568/getInfo.php?workbook=18_15.xlsx&amp;sheet=U0&amp;row=251&amp;col=7&amp;number=0.767&amp;sourceID=14","0.767")</f>
        <v>0.767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HYPERLINK("http://141.218.60.56/~jnz1568/getInfo.php?workbook=18_15.xlsx&amp;sheet=U0&amp;row=252&amp;col=6&amp;number=3.8&amp;sourceID=14","3.8")</f>
        <v>3.8</v>
      </c>
      <c r="G252" s="4" t="str">
        <f>HYPERLINK("http://141.218.60.56/~jnz1568/getInfo.php?workbook=18_15.xlsx&amp;sheet=U0&amp;row=252&amp;col=7&amp;number=0.829&amp;sourceID=14","0.829")</f>
        <v>0.829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HYPERLINK("http://141.218.60.56/~jnz1568/getInfo.php?workbook=18_15.xlsx&amp;sheet=U0&amp;row=253&amp;col=6&amp;number=3.9&amp;sourceID=14","3.9")</f>
        <v>3.9</v>
      </c>
      <c r="G253" s="4" t="str">
        <f>HYPERLINK("http://141.218.60.56/~jnz1568/getInfo.php?workbook=18_15.xlsx&amp;sheet=U0&amp;row=253&amp;col=7&amp;number=0.9&amp;sourceID=14","0.9")</f>
        <v>0.9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HYPERLINK("http://141.218.60.56/~jnz1568/getInfo.php?workbook=18_15.xlsx&amp;sheet=U0&amp;row=254&amp;col=6&amp;number=4&amp;sourceID=14","4")</f>
        <v>4</v>
      </c>
      <c r="G254" s="4" t="str">
        <f>HYPERLINK("http://141.218.60.56/~jnz1568/getInfo.php?workbook=18_15.xlsx&amp;sheet=U0&amp;row=254&amp;col=7&amp;number=0.978&amp;sourceID=14","0.978")</f>
        <v>0.978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HYPERLINK("http://141.218.60.56/~jnz1568/getInfo.php?workbook=18_15.xlsx&amp;sheet=U0&amp;row=255&amp;col=6&amp;number=4.1&amp;sourceID=14","4.1")</f>
        <v>4.1</v>
      </c>
      <c r="G255" s="4" t="str">
        <f>HYPERLINK("http://141.218.60.56/~jnz1568/getInfo.php?workbook=18_15.xlsx&amp;sheet=U0&amp;row=255&amp;col=7&amp;number=1.06&amp;sourceID=14","1.06")</f>
        <v>1.06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HYPERLINK("http://141.218.60.56/~jnz1568/getInfo.php?workbook=18_15.xlsx&amp;sheet=U0&amp;row=256&amp;col=6&amp;number=4.2&amp;sourceID=14","4.2")</f>
        <v>4.2</v>
      </c>
      <c r="G256" s="4" t="str">
        <f>HYPERLINK("http://141.218.60.56/~jnz1568/getInfo.php?workbook=18_15.xlsx&amp;sheet=U0&amp;row=256&amp;col=7&amp;number=1.13&amp;sourceID=14","1.13")</f>
        <v>1.13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HYPERLINK("http://141.218.60.56/~jnz1568/getInfo.php?workbook=18_15.xlsx&amp;sheet=U0&amp;row=257&amp;col=6&amp;number=4.3&amp;sourceID=14","4.3")</f>
        <v>4.3</v>
      </c>
      <c r="G257" s="4" t="str">
        <f>HYPERLINK("http://141.218.60.56/~jnz1568/getInfo.php?workbook=18_15.xlsx&amp;sheet=U0&amp;row=257&amp;col=7&amp;number=1.19&amp;sourceID=14","1.19")</f>
        <v>1.19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HYPERLINK("http://141.218.60.56/~jnz1568/getInfo.php?workbook=18_15.xlsx&amp;sheet=U0&amp;row=258&amp;col=6&amp;number=4.4&amp;sourceID=14","4.4")</f>
        <v>4.4</v>
      </c>
      <c r="G258" s="4" t="str">
        <f>HYPERLINK("http://141.218.60.56/~jnz1568/getInfo.php?workbook=18_15.xlsx&amp;sheet=U0&amp;row=258&amp;col=7&amp;number=1.22&amp;sourceID=14","1.22")</f>
        <v>1.22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HYPERLINK("http://141.218.60.56/~jnz1568/getInfo.php?workbook=18_15.xlsx&amp;sheet=U0&amp;row=259&amp;col=6&amp;number=4.5&amp;sourceID=14","4.5")</f>
        <v>4.5</v>
      </c>
      <c r="G259" s="4" t="str">
        <f>HYPERLINK("http://141.218.60.56/~jnz1568/getInfo.php?workbook=18_15.xlsx&amp;sheet=U0&amp;row=259&amp;col=7&amp;number=1.22&amp;sourceID=14","1.22")</f>
        <v>1.22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HYPERLINK("http://141.218.60.56/~jnz1568/getInfo.php?workbook=18_15.xlsx&amp;sheet=U0&amp;row=260&amp;col=6&amp;number=4.6&amp;sourceID=14","4.6")</f>
        <v>4.6</v>
      </c>
      <c r="G260" s="4" t="str">
        <f>HYPERLINK("http://141.218.60.56/~jnz1568/getInfo.php?workbook=18_15.xlsx&amp;sheet=U0&amp;row=260&amp;col=7&amp;number=1.18&amp;sourceID=14","1.18")</f>
        <v>1.18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HYPERLINK("http://141.218.60.56/~jnz1568/getInfo.php?workbook=18_15.xlsx&amp;sheet=U0&amp;row=261&amp;col=6&amp;number=4.7&amp;sourceID=14","4.7")</f>
        <v>4.7</v>
      </c>
      <c r="G261" s="4" t="str">
        <f>HYPERLINK("http://141.218.60.56/~jnz1568/getInfo.php?workbook=18_15.xlsx&amp;sheet=U0&amp;row=261&amp;col=7&amp;number=1.12&amp;sourceID=14","1.12")</f>
        <v>1.12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HYPERLINK("http://141.218.60.56/~jnz1568/getInfo.php?workbook=18_15.xlsx&amp;sheet=U0&amp;row=262&amp;col=6&amp;number=4.8&amp;sourceID=14","4.8")</f>
        <v>4.8</v>
      </c>
      <c r="G262" s="4" t="str">
        <f>HYPERLINK("http://141.218.60.56/~jnz1568/getInfo.php?workbook=18_15.xlsx&amp;sheet=U0&amp;row=262&amp;col=7&amp;number=1.04&amp;sourceID=14","1.04")</f>
        <v>1.04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HYPERLINK("http://141.218.60.56/~jnz1568/getInfo.php?workbook=18_15.xlsx&amp;sheet=U0&amp;row=263&amp;col=6&amp;number=4.9&amp;sourceID=14","4.9")</f>
        <v>4.9</v>
      </c>
      <c r="G263" s="4" t="str">
        <f>HYPERLINK("http://141.218.60.56/~jnz1568/getInfo.php?workbook=18_15.xlsx&amp;sheet=U0&amp;row=263&amp;col=7&amp;number=0.958&amp;sourceID=14","0.958")</f>
        <v>0.958</v>
      </c>
    </row>
    <row r="264" spans="1:7">
      <c r="A264" s="3">
        <v>18</v>
      </c>
      <c r="B264" s="3">
        <v>15</v>
      </c>
      <c r="C264" s="3">
        <v>1</v>
      </c>
      <c r="D264" s="3">
        <v>16</v>
      </c>
      <c r="E264" s="3">
        <v>1</v>
      </c>
      <c r="F264" s="4" t="str">
        <f>HYPERLINK("http://141.218.60.56/~jnz1568/getInfo.php?workbook=18_15.xlsx&amp;sheet=U0&amp;row=264&amp;col=6&amp;number=3&amp;sourceID=14","3")</f>
        <v>3</v>
      </c>
      <c r="G264" s="4" t="str">
        <f>HYPERLINK("http://141.218.60.56/~jnz1568/getInfo.php?workbook=18_15.xlsx&amp;sheet=U0&amp;row=264&amp;col=7&amp;number=0.663&amp;sourceID=14","0.663")</f>
        <v>0.663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HYPERLINK("http://141.218.60.56/~jnz1568/getInfo.php?workbook=18_15.xlsx&amp;sheet=U0&amp;row=265&amp;col=6&amp;number=3.1&amp;sourceID=14","3.1")</f>
        <v>3.1</v>
      </c>
      <c r="G265" s="4" t="str">
        <f>HYPERLINK("http://141.218.60.56/~jnz1568/getInfo.php?workbook=18_15.xlsx&amp;sheet=U0&amp;row=265&amp;col=7&amp;number=0.696&amp;sourceID=14","0.696")</f>
        <v>0.696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HYPERLINK("http://141.218.60.56/~jnz1568/getInfo.php?workbook=18_15.xlsx&amp;sheet=U0&amp;row=266&amp;col=6&amp;number=3.2&amp;sourceID=14","3.2")</f>
        <v>3.2</v>
      </c>
      <c r="G266" s="4" t="str">
        <f>HYPERLINK("http://141.218.60.56/~jnz1568/getInfo.php?workbook=18_15.xlsx&amp;sheet=U0&amp;row=266&amp;col=7&amp;number=0.736&amp;sourceID=14","0.736")</f>
        <v>0.736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HYPERLINK("http://141.218.60.56/~jnz1568/getInfo.php?workbook=18_15.xlsx&amp;sheet=U0&amp;row=267&amp;col=6&amp;number=3.3&amp;sourceID=14","3.3")</f>
        <v>3.3</v>
      </c>
      <c r="G267" s="4" t="str">
        <f>HYPERLINK("http://141.218.60.56/~jnz1568/getInfo.php?workbook=18_15.xlsx&amp;sheet=U0&amp;row=267&amp;col=7&amp;number=0.784&amp;sourceID=14","0.784")</f>
        <v>0.784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HYPERLINK("http://141.218.60.56/~jnz1568/getInfo.php?workbook=18_15.xlsx&amp;sheet=U0&amp;row=268&amp;col=6&amp;number=3.4&amp;sourceID=14","3.4")</f>
        <v>3.4</v>
      </c>
      <c r="G268" s="4" t="str">
        <f>HYPERLINK("http://141.218.60.56/~jnz1568/getInfo.php?workbook=18_15.xlsx&amp;sheet=U0&amp;row=268&amp;col=7&amp;number=0.84&amp;sourceID=14","0.84")</f>
        <v>0.84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HYPERLINK("http://141.218.60.56/~jnz1568/getInfo.php?workbook=18_15.xlsx&amp;sheet=U0&amp;row=269&amp;col=6&amp;number=3.5&amp;sourceID=14","3.5")</f>
        <v>3.5</v>
      </c>
      <c r="G269" s="4" t="str">
        <f>HYPERLINK("http://141.218.60.56/~jnz1568/getInfo.php?workbook=18_15.xlsx&amp;sheet=U0&amp;row=269&amp;col=7&amp;number=0.903&amp;sourceID=14","0.903")</f>
        <v>0.903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HYPERLINK("http://141.218.60.56/~jnz1568/getInfo.php?workbook=18_15.xlsx&amp;sheet=U0&amp;row=270&amp;col=6&amp;number=3.6&amp;sourceID=14","3.6")</f>
        <v>3.6</v>
      </c>
      <c r="G270" s="4" t="str">
        <f>HYPERLINK("http://141.218.60.56/~jnz1568/getInfo.php?workbook=18_15.xlsx&amp;sheet=U0&amp;row=270&amp;col=7&amp;number=0.97&amp;sourceID=14","0.97")</f>
        <v>0.97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HYPERLINK("http://141.218.60.56/~jnz1568/getInfo.php?workbook=18_15.xlsx&amp;sheet=U0&amp;row=271&amp;col=6&amp;number=3.7&amp;sourceID=14","3.7")</f>
        <v>3.7</v>
      </c>
      <c r="G271" s="4" t="str">
        <f>HYPERLINK("http://141.218.60.56/~jnz1568/getInfo.php?workbook=18_15.xlsx&amp;sheet=U0&amp;row=271&amp;col=7&amp;number=1.04&amp;sourceID=14","1.04")</f>
        <v>1.04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HYPERLINK("http://141.218.60.56/~jnz1568/getInfo.php?workbook=18_15.xlsx&amp;sheet=U0&amp;row=272&amp;col=6&amp;number=3.8&amp;sourceID=14","3.8")</f>
        <v>3.8</v>
      </c>
      <c r="G272" s="4" t="str">
        <f>HYPERLINK("http://141.218.60.56/~jnz1568/getInfo.php?workbook=18_15.xlsx&amp;sheet=U0&amp;row=272&amp;col=7&amp;number=1.11&amp;sourceID=14","1.11")</f>
        <v>1.11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HYPERLINK("http://141.218.60.56/~jnz1568/getInfo.php?workbook=18_15.xlsx&amp;sheet=U0&amp;row=273&amp;col=6&amp;number=3.9&amp;sourceID=14","3.9")</f>
        <v>3.9</v>
      </c>
      <c r="G273" s="4" t="str">
        <f>HYPERLINK("http://141.218.60.56/~jnz1568/getInfo.php?workbook=18_15.xlsx&amp;sheet=U0&amp;row=273&amp;col=7&amp;number=1.19&amp;sourceID=14","1.19")</f>
        <v>1.19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HYPERLINK("http://141.218.60.56/~jnz1568/getInfo.php?workbook=18_15.xlsx&amp;sheet=U0&amp;row=274&amp;col=6&amp;number=4&amp;sourceID=14","4")</f>
        <v>4</v>
      </c>
      <c r="G274" s="4" t="str">
        <f>HYPERLINK("http://141.218.60.56/~jnz1568/getInfo.php?workbook=18_15.xlsx&amp;sheet=U0&amp;row=274&amp;col=7&amp;number=1.29&amp;sourceID=14","1.29")</f>
        <v>1.29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HYPERLINK("http://141.218.60.56/~jnz1568/getInfo.php?workbook=18_15.xlsx&amp;sheet=U0&amp;row=275&amp;col=6&amp;number=4.1&amp;sourceID=14","4.1")</f>
        <v>4.1</v>
      </c>
      <c r="G275" s="4" t="str">
        <f>HYPERLINK("http://141.218.60.56/~jnz1568/getInfo.php?workbook=18_15.xlsx&amp;sheet=U0&amp;row=275&amp;col=7&amp;number=1.41&amp;sourceID=14","1.41")</f>
        <v>1.41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HYPERLINK("http://141.218.60.56/~jnz1568/getInfo.php?workbook=18_15.xlsx&amp;sheet=U0&amp;row=276&amp;col=6&amp;number=4.2&amp;sourceID=14","4.2")</f>
        <v>4.2</v>
      </c>
      <c r="G276" s="4" t="str">
        <f>HYPERLINK("http://141.218.60.56/~jnz1568/getInfo.php?workbook=18_15.xlsx&amp;sheet=U0&amp;row=276&amp;col=7&amp;number=1.52&amp;sourceID=14","1.52")</f>
        <v>1.52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HYPERLINK("http://141.218.60.56/~jnz1568/getInfo.php?workbook=18_15.xlsx&amp;sheet=U0&amp;row=277&amp;col=6&amp;number=4.3&amp;sourceID=14","4.3")</f>
        <v>4.3</v>
      </c>
      <c r="G277" s="4" t="str">
        <f>HYPERLINK("http://141.218.60.56/~jnz1568/getInfo.php?workbook=18_15.xlsx&amp;sheet=U0&amp;row=277&amp;col=7&amp;number=1.59&amp;sourceID=14","1.59")</f>
        <v>1.59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HYPERLINK("http://141.218.60.56/~jnz1568/getInfo.php?workbook=18_15.xlsx&amp;sheet=U0&amp;row=278&amp;col=6&amp;number=4.4&amp;sourceID=14","4.4")</f>
        <v>4.4</v>
      </c>
      <c r="G278" s="4" t="str">
        <f>HYPERLINK("http://141.218.60.56/~jnz1568/getInfo.php?workbook=18_15.xlsx&amp;sheet=U0&amp;row=278&amp;col=7&amp;number=1.63&amp;sourceID=14","1.63")</f>
        <v>1.63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HYPERLINK("http://141.218.60.56/~jnz1568/getInfo.php?workbook=18_15.xlsx&amp;sheet=U0&amp;row=279&amp;col=6&amp;number=4.5&amp;sourceID=14","4.5")</f>
        <v>4.5</v>
      </c>
      <c r="G279" s="4" t="str">
        <f>HYPERLINK("http://141.218.60.56/~jnz1568/getInfo.php?workbook=18_15.xlsx&amp;sheet=U0&amp;row=279&amp;col=7&amp;number=1.62&amp;sourceID=14","1.62")</f>
        <v>1.62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HYPERLINK("http://141.218.60.56/~jnz1568/getInfo.php?workbook=18_15.xlsx&amp;sheet=U0&amp;row=280&amp;col=6&amp;number=4.6&amp;sourceID=14","4.6")</f>
        <v>4.6</v>
      </c>
      <c r="G280" s="4" t="str">
        <f>HYPERLINK("http://141.218.60.56/~jnz1568/getInfo.php?workbook=18_15.xlsx&amp;sheet=U0&amp;row=280&amp;col=7&amp;number=1.57&amp;sourceID=14","1.57")</f>
        <v>1.57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HYPERLINK("http://141.218.60.56/~jnz1568/getInfo.php?workbook=18_15.xlsx&amp;sheet=U0&amp;row=281&amp;col=6&amp;number=4.7&amp;sourceID=14","4.7")</f>
        <v>4.7</v>
      </c>
      <c r="G281" s="4" t="str">
        <f>HYPERLINK("http://141.218.60.56/~jnz1568/getInfo.php?workbook=18_15.xlsx&amp;sheet=U0&amp;row=281&amp;col=7&amp;number=1.49&amp;sourceID=14","1.49")</f>
        <v>1.49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HYPERLINK("http://141.218.60.56/~jnz1568/getInfo.php?workbook=18_15.xlsx&amp;sheet=U0&amp;row=282&amp;col=6&amp;number=4.8&amp;sourceID=14","4.8")</f>
        <v>4.8</v>
      </c>
      <c r="G282" s="4" t="str">
        <f>HYPERLINK("http://141.218.60.56/~jnz1568/getInfo.php?workbook=18_15.xlsx&amp;sheet=U0&amp;row=282&amp;col=7&amp;number=1.37&amp;sourceID=14","1.37")</f>
        <v>1.37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HYPERLINK("http://141.218.60.56/~jnz1568/getInfo.php?workbook=18_15.xlsx&amp;sheet=U0&amp;row=283&amp;col=6&amp;number=4.9&amp;sourceID=14","4.9")</f>
        <v>4.9</v>
      </c>
      <c r="G283" s="4" t="str">
        <f>HYPERLINK("http://141.218.60.56/~jnz1568/getInfo.php?workbook=18_15.xlsx&amp;sheet=U0&amp;row=283&amp;col=7&amp;number=1.26&amp;sourceID=14","1.26")</f>
        <v>1.26</v>
      </c>
    </row>
    <row r="284" spans="1:7">
      <c r="A284" s="3">
        <v>18</v>
      </c>
      <c r="B284" s="3">
        <v>15</v>
      </c>
      <c r="C284" s="3">
        <v>1</v>
      </c>
      <c r="D284" s="3">
        <v>17</v>
      </c>
      <c r="E284" s="3">
        <v>1</v>
      </c>
      <c r="F284" s="4" t="str">
        <f>HYPERLINK("http://141.218.60.56/~jnz1568/getInfo.php?workbook=18_15.xlsx&amp;sheet=U0&amp;row=284&amp;col=6&amp;number=3&amp;sourceID=14","3")</f>
        <v>3</v>
      </c>
      <c r="G284" s="4" t="str">
        <f>HYPERLINK("http://141.218.60.56/~jnz1568/getInfo.php?workbook=18_15.xlsx&amp;sheet=U0&amp;row=284&amp;col=7&amp;number=0.829&amp;sourceID=14","0.829")</f>
        <v>0.829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HYPERLINK("http://141.218.60.56/~jnz1568/getInfo.php?workbook=18_15.xlsx&amp;sheet=U0&amp;row=285&amp;col=6&amp;number=3.1&amp;sourceID=14","3.1")</f>
        <v>3.1</v>
      </c>
      <c r="G285" s="4" t="str">
        <f>HYPERLINK("http://141.218.60.56/~jnz1568/getInfo.php?workbook=18_15.xlsx&amp;sheet=U0&amp;row=285&amp;col=7&amp;number=0.87&amp;sourceID=14","0.87")</f>
        <v>0.87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HYPERLINK("http://141.218.60.56/~jnz1568/getInfo.php?workbook=18_15.xlsx&amp;sheet=U0&amp;row=286&amp;col=6&amp;number=3.2&amp;sourceID=14","3.2")</f>
        <v>3.2</v>
      </c>
      <c r="G286" s="4" t="str">
        <f>HYPERLINK("http://141.218.60.56/~jnz1568/getInfo.php?workbook=18_15.xlsx&amp;sheet=U0&amp;row=286&amp;col=7&amp;number=0.92&amp;sourceID=14","0.92")</f>
        <v>0.92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HYPERLINK("http://141.218.60.56/~jnz1568/getInfo.php?workbook=18_15.xlsx&amp;sheet=U0&amp;row=287&amp;col=6&amp;number=3.3&amp;sourceID=14","3.3")</f>
        <v>3.3</v>
      </c>
      <c r="G287" s="4" t="str">
        <f>HYPERLINK("http://141.218.60.56/~jnz1568/getInfo.php?workbook=18_15.xlsx&amp;sheet=U0&amp;row=287&amp;col=7&amp;number=0.98&amp;sourceID=14","0.98")</f>
        <v>0.98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HYPERLINK("http://141.218.60.56/~jnz1568/getInfo.php?workbook=18_15.xlsx&amp;sheet=U0&amp;row=288&amp;col=6&amp;number=3.4&amp;sourceID=14","3.4")</f>
        <v>3.4</v>
      </c>
      <c r="G288" s="4" t="str">
        <f>HYPERLINK("http://141.218.60.56/~jnz1568/getInfo.php?workbook=18_15.xlsx&amp;sheet=U0&amp;row=288&amp;col=7&amp;number=1.05&amp;sourceID=14","1.05")</f>
        <v>1.05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HYPERLINK("http://141.218.60.56/~jnz1568/getInfo.php?workbook=18_15.xlsx&amp;sheet=U0&amp;row=289&amp;col=6&amp;number=3.5&amp;sourceID=14","3.5")</f>
        <v>3.5</v>
      </c>
      <c r="G289" s="4" t="str">
        <f>HYPERLINK("http://141.218.60.56/~jnz1568/getInfo.php?workbook=18_15.xlsx&amp;sheet=U0&amp;row=289&amp;col=7&amp;number=1.13&amp;sourceID=14","1.13")</f>
        <v>1.13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HYPERLINK("http://141.218.60.56/~jnz1568/getInfo.php?workbook=18_15.xlsx&amp;sheet=U0&amp;row=290&amp;col=6&amp;number=3.6&amp;sourceID=14","3.6")</f>
        <v>3.6</v>
      </c>
      <c r="G290" s="4" t="str">
        <f>HYPERLINK("http://141.218.60.56/~jnz1568/getInfo.php?workbook=18_15.xlsx&amp;sheet=U0&amp;row=290&amp;col=7&amp;number=1.21&amp;sourceID=14","1.21")</f>
        <v>1.21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HYPERLINK("http://141.218.60.56/~jnz1568/getInfo.php?workbook=18_15.xlsx&amp;sheet=U0&amp;row=291&amp;col=6&amp;number=3.7&amp;sourceID=14","3.7")</f>
        <v>3.7</v>
      </c>
      <c r="G291" s="4" t="str">
        <f>HYPERLINK("http://141.218.60.56/~jnz1568/getInfo.php?workbook=18_15.xlsx&amp;sheet=U0&amp;row=291&amp;col=7&amp;number=1.3&amp;sourceID=14","1.3")</f>
        <v>1.3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HYPERLINK("http://141.218.60.56/~jnz1568/getInfo.php?workbook=18_15.xlsx&amp;sheet=U0&amp;row=292&amp;col=6&amp;number=3.8&amp;sourceID=14","3.8")</f>
        <v>3.8</v>
      </c>
      <c r="G292" s="4" t="str">
        <f>HYPERLINK("http://141.218.60.56/~jnz1568/getInfo.php?workbook=18_15.xlsx&amp;sheet=U0&amp;row=292&amp;col=7&amp;number=1.39&amp;sourceID=14","1.39")</f>
        <v>1.39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HYPERLINK("http://141.218.60.56/~jnz1568/getInfo.php?workbook=18_15.xlsx&amp;sheet=U0&amp;row=293&amp;col=6&amp;number=3.9&amp;sourceID=14","3.9")</f>
        <v>3.9</v>
      </c>
      <c r="G293" s="4" t="str">
        <f>HYPERLINK("http://141.218.60.56/~jnz1568/getInfo.php?workbook=18_15.xlsx&amp;sheet=U0&amp;row=293&amp;col=7&amp;number=1.49&amp;sourceID=14","1.49")</f>
        <v>1.49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HYPERLINK("http://141.218.60.56/~jnz1568/getInfo.php?workbook=18_15.xlsx&amp;sheet=U0&amp;row=294&amp;col=6&amp;number=4&amp;sourceID=14","4")</f>
        <v>4</v>
      </c>
      <c r="G294" s="4" t="str">
        <f>HYPERLINK("http://141.218.60.56/~jnz1568/getInfo.php?workbook=18_15.xlsx&amp;sheet=U0&amp;row=294&amp;col=7&amp;number=1.61&amp;sourceID=14","1.61")</f>
        <v>1.61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HYPERLINK("http://141.218.60.56/~jnz1568/getInfo.php?workbook=18_15.xlsx&amp;sheet=U0&amp;row=295&amp;col=6&amp;number=4.1&amp;sourceID=14","4.1")</f>
        <v>4.1</v>
      </c>
      <c r="G295" s="4" t="str">
        <f>HYPERLINK("http://141.218.60.56/~jnz1568/getInfo.php?workbook=18_15.xlsx&amp;sheet=U0&amp;row=295&amp;col=7&amp;number=1.76&amp;sourceID=14","1.76")</f>
        <v>1.76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HYPERLINK("http://141.218.60.56/~jnz1568/getInfo.php?workbook=18_15.xlsx&amp;sheet=U0&amp;row=296&amp;col=6&amp;number=4.2&amp;sourceID=14","4.2")</f>
        <v>4.2</v>
      </c>
      <c r="G296" s="4" t="str">
        <f>HYPERLINK("http://141.218.60.56/~jnz1568/getInfo.php?workbook=18_15.xlsx&amp;sheet=U0&amp;row=296&amp;col=7&amp;number=1.9&amp;sourceID=14","1.9")</f>
        <v>1.9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HYPERLINK("http://141.218.60.56/~jnz1568/getInfo.php?workbook=18_15.xlsx&amp;sheet=U0&amp;row=297&amp;col=6&amp;number=4.3&amp;sourceID=14","4.3")</f>
        <v>4.3</v>
      </c>
      <c r="G297" s="4" t="str">
        <f>HYPERLINK("http://141.218.60.56/~jnz1568/getInfo.php?workbook=18_15.xlsx&amp;sheet=U0&amp;row=297&amp;col=7&amp;number=1.99&amp;sourceID=14","1.99")</f>
        <v>1.99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HYPERLINK("http://141.218.60.56/~jnz1568/getInfo.php?workbook=18_15.xlsx&amp;sheet=U0&amp;row=298&amp;col=6&amp;number=4.4&amp;sourceID=14","4.4")</f>
        <v>4.4</v>
      </c>
      <c r="G298" s="4" t="str">
        <f>HYPERLINK("http://141.218.60.56/~jnz1568/getInfo.php?workbook=18_15.xlsx&amp;sheet=U0&amp;row=298&amp;col=7&amp;number=2.03&amp;sourceID=14","2.03")</f>
        <v>2.03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HYPERLINK("http://141.218.60.56/~jnz1568/getInfo.php?workbook=18_15.xlsx&amp;sheet=U0&amp;row=299&amp;col=6&amp;number=4.5&amp;sourceID=14","4.5")</f>
        <v>4.5</v>
      </c>
      <c r="G299" s="4" t="str">
        <f>HYPERLINK("http://141.218.60.56/~jnz1568/getInfo.php?workbook=18_15.xlsx&amp;sheet=U0&amp;row=299&amp;col=7&amp;number=2.03&amp;sourceID=14","2.03")</f>
        <v>2.03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HYPERLINK("http://141.218.60.56/~jnz1568/getInfo.php?workbook=18_15.xlsx&amp;sheet=U0&amp;row=300&amp;col=6&amp;number=4.6&amp;sourceID=14","4.6")</f>
        <v>4.6</v>
      </c>
      <c r="G300" s="4" t="str">
        <f>HYPERLINK("http://141.218.60.56/~jnz1568/getInfo.php?workbook=18_15.xlsx&amp;sheet=U0&amp;row=300&amp;col=7&amp;number=1.97&amp;sourceID=14","1.97")</f>
        <v>1.97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HYPERLINK("http://141.218.60.56/~jnz1568/getInfo.php?workbook=18_15.xlsx&amp;sheet=U0&amp;row=301&amp;col=6&amp;number=4.7&amp;sourceID=14","4.7")</f>
        <v>4.7</v>
      </c>
      <c r="G301" s="4" t="str">
        <f>HYPERLINK("http://141.218.60.56/~jnz1568/getInfo.php?workbook=18_15.xlsx&amp;sheet=U0&amp;row=301&amp;col=7&amp;number=1.87&amp;sourceID=14","1.87")</f>
        <v>1.87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HYPERLINK("http://141.218.60.56/~jnz1568/getInfo.php?workbook=18_15.xlsx&amp;sheet=U0&amp;row=302&amp;col=6&amp;number=4.8&amp;sourceID=14","4.8")</f>
        <v>4.8</v>
      </c>
      <c r="G302" s="4" t="str">
        <f>HYPERLINK("http://141.218.60.56/~jnz1568/getInfo.php?workbook=18_15.xlsx&amp;sheet=U0&amp;row=302&amp;col=7&amp;number=1.73&amp;sourceID=14","1.73")</f>
        <v>1.73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HYPERLINK("http://141.218.60.56/~jnz1568/getInfo.php?workbook=18_15.xlsx&amp;sheet=U0&amp;row=303&amp;col=6&amp;number=4.9&amp;sourceID=14","4.9")</f>
        <v>4.9</v>
      </c>
      <c r="G303" s="4" t="str">
        <f>HYPERLINK("http://141.218.60.56/~jnz1568/getInfo.php?workbook=18_15.xlsx&amp;sheet=U0&amp;row=303&amp;col=7&amp;number=1.59&amp;sourceID=14","1.59")</f>
        <v>1.59</v>
      </c>
    </row>
    <row r="304" spans="1:7">
      <c r="A304" s="3">
        <v>18</v>
      </c>
      <c r="B304" s="3">
        <v>15</v>
      </c>
      <c r="C304" s="3">
        <v>1</v>
      </c>
      <c r="D304" s="3">
        <v>18</v>
      </c>
      <c r="E304" s="3">
        <v>1</v>
      </c>
      <c r="F304" s="4" t="str">
        <f>HYPERLINK("http://141.218.60.56/~jnz1568/getInfo.php?workbook=18_15.xlsx&amp;sheet=U0&amp;row=304&amp;col=6&amp;number=3&amp;sourceID=14","3")</f>
        <v>3</v>
      </c>
      <c r="G304" s="4" t="str">
        <f>HYPERLINK("http://141.218.60.56/~jnz1568/getInfo.php?workbook=18_15.xlsx&amp;sheet=U0&amp;row=304&amp;col=7&amp;number=0.0806&amp;sourceID=14","0.0806")</f>
        <v>0.0806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HYPERLINK("http://141.218.60.56/~jnz1568/getInfo.php?workbook=18_15.xlsx&amp;sheet=U0&amp;row=305&amp;col=6&amp;number=3.1&amp;sourceID=14","3.1")</f>
        <v>3.1</v>
      </c>
      <c r="G305" s="4" t="str">
        <f>HYPERLINK("http://141.218.60.56/~jnz1568/getInfo.php?workbook=18_15.xlsx&amp;sheet=U0&amp;row=305&amp;col=7&amp;number=0.0815&amp;sourceID=14","0.0815")</f>
        <v>0.0815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HYPERLINK("http://141.218.60.56/~jnz1568/getInfo.php?workbook=18_15.xlsx&amp;sheet=U0&amp;row=306&amp;col=6&amp;number=3.2&amp;sourceID=14","3.2")</f>
        <v>3.2</v>
      </c>
      <c r="G306" s="4" t="str">
        <f>HYPERLINK("http://141.218.60.56/~jnz1568/getInfo.php?workbook=18_15.xlsx&amp;sheet=U0&amp;row=306&amp;col=7&amp;number=0.0837&amp;sourceID=14","0.0837")</f>
        <v>0.0837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HYPERLINK("http://141.218.60.56/~jnz1568/getInfo.php?workbook=18_15.xlsx&amp;sheet=U0&amp;row=307&amp;col=6&amp;number=3.3&amp;sourceID=14","3.3")</f>
        <v>3.3</v>
      </c>
      <c r="G307" s="4" t="str">
        <f>HYPERLINK("http://141.218.60.56/~jnz1568/getInfo.php?workbook=18_15.xlsx&amp;sheet=U0&amp;row=307&amp;col=7&amp;number=0.0883&amp;sourceID=14","0.0883")</f>
        <v>0.0883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HYPERLINK("http://141.218.60.56/~jnz1568/getInfo.php?workbook=18_15.xlsx&amp;sheet=U0&amp;row=308&amp;col=6&amp;number=3.4&amp;sourceID=14","3.4")</f>
        <v>3.4</v>
      </c>
      <c r="G308" s="4" t="str">
        <f>HYPERLINK("http://141.218.60.56/~jnz1568/getInfo.php?workbook=18_15.xlsx&amp;sheet=U0&amp;row=308&amp;col=7&amp;number=0.0975&amp;sourceID=14","0.0975")</f>
        <v>0.0975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HYPERLINK("http://141.218.60.56/~jnz1568/getInfo.php?workbook=18_15.xlsx&amp;sheet=U0&amp;row=309&amp;col=6&amp;number=3.5&amp;sourceID=14","3.5")</f>
        <v>3.5</v>
      </c>
      <c r="G309" s="4" t="str">
        <f>HYPERLINK("http://141.218.60.56/~jnz1568/getInfo.php?workbook=18_15.xlsx&amp;sheet=U0&amp;row=309&amp;col=7&amp;number=0.115&amp;sourceID=14","0.115")</f>
        <v>0.115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HYPERLINK("http://141.218.60.56/~jnz1568/getInfo.php?workbook=18_15.xlsx&amp;sheet=U0&amp;row=310&amp;col=6&amp;number=3.6&amp;sourceID=14","3.6")</f>
        <v>3.6</v>
      </c>
      <c r="G310" s="4" t="str">
        <f>HYPERLINK("http://141.218.60.56/~jnz1568/getInfo.php?workbook=18_15.xlsx&amp;sheet=U0&amp;row=310&amp;col=7&amp;number=0.147&amp;sourceID=14","0.147")</f>
        <v>0.147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HYPERLINK("http://141.218.60.56/~jnz1568/getInfo.php?workbook=18_15.xlsx&amp;sheet=U0&amp;row=311&amp;col=6&amp;number=3.7&amp;sourceID=14","3.7")</f>
        <v>3.7</v>
      </c>
      <c r="G311" s="4" t="str">
        <f>HYPERLINK("http://141.218.60.56/~jnz1568/getInfo.php?workbook=18_15.xlsx&amp;sheet=U0&amp;row=311&amp;col=7&amp;number=0.203&amp;sourceID=14","0.203")</f>
        <v>0.203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HYPERLINK("http://141.218.60.56/~jnz1568/getInfo.php?workbook=18_15.xlsx&amp;sheet=U0&amp;row=312&amp;col=6&amp;number=3.8&amp;sourceID=14","3.8")</f>
        <v>3.8</v>
      </c>
      <c r="G312" s="4" t="str">
        <f>HYPERLINK("http://141.218.60.56/~jnz1568/getInfo.php?workbook=18_15.xlsx&amp;sheet=U0&amp;row=312&amp;col=7&amp;number=0.286&amp;sourceID=14","0.286")</f>
        <v>0.286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HYPERLINK("http://141.218.60.56/~jnz1568/getInfo.php?workbook=18_15.xlsx&amp;sheet=U0&amp;row=313&amp;col=6&amp;number=3.9&amp;sourceID=14","3.9")</f>
        <v>3.9</v>
      </c>
      <c r="G313" s="4" t="str">
        <f>HYPERLINK("http://141.218.60.56/~jnz1568/getInfo.php?workbook=18_15.xlsx&amp;sheet=U0&amp;row=313&amp;col=7&amp;number=0.393&amp;sourceID=14","0.393")</f>
        <v>0.393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HYPERLINK("http://141.218.60.56/~jnz1568/getInfo.php?workbook=18_15.xlsx&amp;sheet=U0&amp;row=314&amp;col=6&amp;number=4&amp;sourceID=14","4")</f>
        <v>4</v>
      </c>
      <c r="G314" s="4" t="str">
        <f>HYPERLINK("http://141.218.60.56/~jnz1568/getInfo.php?workbook=18_15.xlsx&amp;sheet=U0&amp;row=314&amp;col=7&amp;number=0.51&amp;sourceID=14","0.51")</f>
        <v>0.51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HYPERLINK("http://141.218.60.56/~jnz1568/getInfo.php?workbook=18_15.xlsx&amp;sheet=U0&amp;row=315&amp;col=6&amp;number=4.1&amp;sourceID=14","4.1")</f>
        <v>4.1</v>
      </c>
      <c r="G315" s="4" t="str">
        <f>HYPERLINK("http://141.218.60.56/~jnz1568/getInfo.php?workbook=18_15.xlsx&amp;sheet=U0&amp;row=315&amp;col=7&amp;number=0.62&amp;sourceID=14","0.62")</f>
        <v>0.62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HYPERLINK("http://141.218.60.56/~jnz1568/getInfo.php?workbook=18_15.xlsx&amp;sheet=U0&amp;row=316&amp;col=6&amp;number=4.2&amp;sourceID=14","4.2")</f>
        <v>4.2</v>
      </c>
      <c r="G316" s="4" t="str">
        <f>HYPERLINK("http://141.218.60.56/~jnz1568/getInfo.php?workbook=18_15.xlsx&amp;sheet=U0&amp;row=316&amp;col=7&amp;number=0.708&amp;sourceID=14","0.708")</f>
        <v>0.708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HYPERLINK("http://141.218.60.56/~jnz1568/getInfo.php?workbook=18_15.xlsx&amp;sheet=U0&amp;row=317&amp;col=6&amp;number=4.3&amp;sourceID=14","4.3")</f>
        <v>4.3</v>
      </c>
      <c r="G317" s="4" t="str">
        <f>HYPERLINK("http://141.218.60.56/~jnz1568/getInfo.php?workbook=18_15.xlsx&amp;sheet=U0&amp;row=317&amp;col=7&amp;number=0.758&amp;sourceID=14","0.758")</f>
        <v>0.758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HYPERLINK("http://141.218.60.56/~jnz1568/getInfo.php?workbook=18_15.xlsx&amp;sheet=U0&amp;row=318&amp;col=6&amp;number=4.4&amp;sourceID=14","4.4")</f>
        <v>4.4</v>
      </c>
      <c r="G318" s="4" t="str">
        <f>HYPERLINK("http://141.218.60.56/~jnz1568/getInfo.php?workbook=18_15.xlsx&amp;sheet=U0&amp;row=318&amp;col=7&amp;number=0.77&amp;sourceID=14","0.77")</f>
        <v>0.77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HYPERLINK("http://141.218.60.56/~jnz1568/getInfo.php?workbook=18_15.xlsx&amp;sheet=U0&amp;row=319&amp;col=6&amp;number=4.5&amp;sourceID=14","4.5")</f>
        <v>4.5</v>
      </c>
      <c r="G319" s="4" t="str">
        <f>HYPERLINK("http://141.218.60.56/~jnz1568/getInfo.php?workbook=18_15.xlsx&amp;sheet=U0&amp;row=319&amp;col=7&amp;number=0.753&amp;sourceID=14","0.753")</f>
        <v>0.753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HYPERLINK("http://141.218.60.56/~jnz1568/getInfo.php?workbook=18_15.xlsx&amp;sheet=U0&amp;row=320&amp;col=6&amp;number=4.6&amp;sourceID=14","4.6")</f>
        <v>4.6</v>
      </c>
      <c r="G320" s="4" t="str">
        <f>HYPERLINK("http://141.218.60.56/~jnz1568/getInfo.php?workbook=18_15.xlsx&amp;sheet=U0&amp;row=320&amp;col=7&amp;number=0.714&amp;sourceID=14","0.714")</f>
        <v>0.714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HYPERLINK("http://141.218.60.56/~jnz1568/getInfo.php?workbook=18_15.xlsx&amp;sheet=U0&amp;row=321&amp;col=6&amp;number=4.7&amp;sourceID=14","4.7")</f>
        <v>4.7</v>
      </c>
      <c r="G321" s="4" t="str">
        <f>HYPERLINK("http://141.218.60.56/~jnz1568/getInfo.php?workbook=18_15.xlsx&amp;sheet=U0&amp;row=321&amp;col=7&amp;number=0.657&amp;sourceID=14","0.657")</f>
        <v>0.657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HYPERLINK("http://141.218.60.56/~jnz1568/getInfo.php?workbook=18_15.xlsx&amp;sheet=U0&amp;row=322&amp;col=6&amp;number=4.8&amp;sourceID=14","4.8")</f>
        <v>4.8</v>
      </c>
      <c r="G322" s="4" t="str">
        <f>HYPERLINK("http://141.218.60.56/~jnz1568/getInfo.php?workbook=18_15.xlsx&amp;sheet=U0&amp;row=322&amp;col=7&amp;number=0.591&amp;sourceID=14","0.591")</f>
        <v>0.591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HYPERLINK("http://141.218.60.56/~jnz1568/getInfo.php?workbook=18_15.xlsx&amp;sheet=U0&amp;row=323&amp;col=6&amp;number=4.9&amp;sourceID=14","4.9")</f>
        <v>4.9</v>
      </c>
      <c r="G323" s="4" t="str">
        <f>HYPERLINK("http://141.218.60.56/~jnz1568/getInfo.php?workbook=18_15.xlsx&amp;sheet=U0&amp;row=323&amp;col=7&amp;number=0.524&amp;sourceID=14","0.524")</f>
        <v>0.524</v>
      </c>
    </row>
    <row r="324" spans="1:7">
      <c r="A324" s="3">
        <v>18</v>
      </c>
      <c r="B324" s="3">
        <v>15</v>
      </c>
      <c r="C324" s="3">
        <v>1</v>
      </c>
      <c r="D324" s="3">
        <v>19</v>
      </c>
      <c r="E324" s="3">
        <v>1</v>
      </c>
      <c r="F324" s="4" t="str">
        <f>HYPERLINK("http://141.218.60.56/~jnz1568/getInfo.php?workbook=18_15.xlsx&amp;sheet=U0&amp;row=324&amp;col=6&amp;number=3&amp;sourceID=14","3")</f>
        <v>3</v>
      </c>
      <c r="G324" s="4" t="str">
        <f>HYPERLINK("http://141.218.60.56/~jnz1568/getInfo.php?workbook=18_15.xlsx&amp;sheet=U0&amp;row=324&amp;col=7&amp;number=0.161&amp;sourceID=14","0.161")</f>
        <v>0.161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HYPERLINK("http://141.218.60.56/~jnz1568/getInfo.php?workbook=18_15.xlsx&amp;sheet=U0&amp;row=325&amp;col=6&amp;number=3.1&amp;sourceID=14","3.1")</f>
        <v>3.1</v>
      </c>
      <c r="G325" s="4" t="str">
        <f>HYPERLINK("http://141.218.60.56/~jnz1568/getInfo.php?workbook=18_15.xlsx&amp;sheet=U0&amp;row=325&amp;col=7&amp;number=0.163&amp;sourceID=14","0.163")</f>
        <v>0.163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HYPERLINK("http://141.218.60.56/~jnz1568/getInfo.php?workbook=18_15.xlsx&amp;sheet=U0&amp;row=326&amp;col=6&amp;number=3.2&amp;sourceID=14","3.2")</f>
        <v>3.2</v>
      </c>
      <c r="G326" s="4" t="str">
        <f>HYPERLINK("http://141.218.60.56/~jnz1568/getInfo.php?workbook=18_15.xlsx&amp;sheet=U0&amp;row=326&amp;col=7&amp;number=0.167&amp;sourceID=14","0.167")</f>
        <v>0.167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HYPERLINK("http://141.218.60.56/~jnz1568/getInfo.php?workbook=18_15.xlsx&amp;sheet=U0&amp;row=327&amp;col=6&amp;number=3.3&amp;sourceID=14","3.3")</f>
        <v>3.3</v>
      </c>
      <c r="G327" s="4" t="str">
        <f>HYPERLINK("http://141.218.60.56/~jnz1568/getInfo.php?workbook=18_15.xlsx&amp;sheet=U0&amp;row=327&amp;col=7&amp;number=0.177&amp;sourceID=14","0.177")</f>
        <v>0.177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HYPERLINK("http://141.218.60.56/~jnz1568/getInfo.php?workbook=18_15.xlsx&amp;sheet=U0&amp;row=328&amp;col=6&amp;number=3.4&amp;sourceID=14","3.4")</f>
        <v>3.4</v>
      </c>
      <c r="G328" s="4" t="str">
        <f>HYPERLINK("http://141.218.60.56/~jnz1568/getInfo.php?workbook=18_15.xlsx&amp;sheet=U0&amp;row=328&amp;col=7&amp;number=0.195&amp;sourceID=14","0.195")</f>
        <v>0.195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HYPERLINK("http://141.218.60.56/~jnz1568/getInfo.php?workbook=18_15.xlsx&amp;sheet=U0&amp;row=329&amp;col=6&amp;number=3.5&amp;sourceID=14","3.5")</f>
        <v>3.5</v>
      </c>
      <c r="G329" s="4" t="str">
        <f>HYPERLINK("http://141.218.60.56/~jnz1568/getInfo.php?workbook=18_15.xlsx&amp;sheet=U0&amp;row=329&amp;col=7&amp;number=0.23&amp;sourceID=14","0.23")</f>
        <v>0.23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HYPERLINK("http://141.218.60.56/~jnz1568/getInfo.php?workbook=18_15.xlsx&amp;sheet=U0&amp;row=330&amp;col=6&amp;number=3.6&amp;sourceID=14","3.6")</f>
        <v>3.6</v>
      </c>
      <c r="G330" s="4" t="str">
        <f>HYPERLINK("http://141.218.60.56/~jnz1568/getInfo.php?workbook=18_15.xlsx&amp;sheet=U0&amp;row=330&amp;col=7&amp;number=0.295&amp;sourceID=14","0.295")</f>
        <v>0.295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HYPERLINK("http://141.218.60.56/~jnz1568/getInfo.php?workbook=18_15.xlsx&amp;sheet=U0&amp;row=331&amp;col=6&amp;number=3.7&amp;sourceID=14","3.7")</f>
        <v>3.7</v>
      </c>
      <c r="G331" s="4" t="str">
        <f>HYPERLINK("http://141.218.60.56/~jnz1568/getInfo.php?workbook=18_15.xlsx&amp;sheet=U0&amp;row=331&amp;col=7&amp;number=0.407&amp;sourceID=14","0.407")</f>
        <v>0.407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HYPERLINK("http://141.218.60.56/~jnz1568/getInfo.php?workbook=18_15.xlsx&amp;sheet=U0&amp;row=332&amp;col=6&amp;number=3.8&amp;sourceID=14","3.8")</f>
        <v>3.8</v>
      </c>
      <c r="G332" s="4" t="str">
        <f>HYPERLINK("http://141.218.60.56/~jnz1568/getInfo.php?workbook=18_15.xlsx&amp;sheet=U0&amp;row=332&amp;col=7&amp;number=0.573&amp;sourceID=14","0.573")</f>
        <v>0.573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HYPERLINK("http://141.218.60.56/~jnz1568/getInfo.php?workbook=18_15.xlsx&amp;sheet=U0&amp;row=333&amp;col=6&amp;number=3.9&amp;sourceID=14","3.9")</f>
        <v>3.9</v>
      </c>
      <c r="G333" s="4" t="str">
        <f>HYPERLINK("http://141.218.60.56/~jnz1568/getInfo.php?workbook=18_15.xlsx&amp;sheet=U0&amp;row=333&amp;col=7&amp;number=0.786&amp;sourceID=14","0.786")</f>
        <v>0.786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HYPERLINK("http://141.218.60.56/~jnz1568/getInfo.php?workbook=18_15.xlsx&amp;sheet=U0&amp;row=334&amp;col=6&amp;number=4&amp;sourceID=14","4")</f>
        <v>4</v>
      </c>
      <c r="G334" s="4" t="str">
        <f>HYPERLINK("http://141.218.60.56/~jnz1568/getInfo.php?workbook=18_15.xlsx&amp;sheet=U0&amp;row=334&amp;col=7&amp;number=1.02&amp;sourceID=14","1.02")</f>
        <v>1.02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HYPERLINK("http://141.218.60.56/~jnz1568/getInfo.php?workbook=18_15.xlsx&amp;sheet=U0&amp;row=335&amp;col=6&amp;number=4.1&amp;sourceID=14","4.1")</f>
        <v>4.1</v>
      </c>
      <c r="G335" s="4" t="str">
        <f>HYPERLINK("http://141.218.60.56/~jnz1568/getInfo.php?workbook=18_15.xlsx&amp;sheet=U0&amp;row=335&amp;col=7&amp;number=1.24&amp;sourceID=14","1.24")</f>
        <v>1.24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HYPERLINK("http://141.218.60.56/~jnz1568/getInfo.php?workbook=18_15.xlsx&amp;sheet=U0&amp;row=336&amp;col=6&amp;number=4.2&amp;sourceID=14","4.2")</f>
        <v>4.2</v>
      </c>
      <c r="G336" s="4" t="str">
        <f>HYPERLINK("http://141.218.60.56/~jnz1568/getInfo.php?workbook=18_15.xlsx&amp;sheet=U0&amp;row=336&amp;col=7&amp;number=1.42&amp;sourceID=14","1.42")</f>
        <v>1.42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HYPERLINK("http://141.218.60.56/~jnz1568/getInfo.php?workbook=18_15.xlsx&amp;sheet=U0&amp;row=337&amp;col=6&amp;number=4.3&amp;sourceID=14","4.3")</f>
        <v>4.3</v>
      </c>
      <c r="G337" s="4" t="str">
        <f>HYPERLINK("http://141.218.60.56/~jnz1568/getInfo.php?workbook=18_15.xlsx&amp;sheet=U0&amp;row=337&amp;col=7&amp;number=1.51&amp;sourceID=14","1.51")</f>
        <v>1.51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HYPERLINK("http://141.218.60.56/~jnz1568/getInfo.php?workbook=18_15.xlsx&amp;sheet=U0&amp;row=338&amp;col=6&amp;number=4.4&amp;sourceID=14","4.4")</f>
        <v>4.4</v>
      </c>
      <c r="G338" s="4" t="str">
        <f>HYPERLINK("http://141.218.60.56/~jnz1568/getInfo.php?workbook=18_15.xlsx&amp;sheet=U0&amp;row=338&amp;col=7&amp;number=1.54&amp;sourceID=14","1.54")</f>
        <v>1.54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HYPERLINK("http://141.218.60.56/~jnz1568/getInfo.php?workbook=18_15.xlsx&amp;sheet=U0&amp;row=339&amp;col=6&amp;number=4.5&amp;sourceID=14","4.5")</f>
        <v>4.5</v>
      </c>
      <c r="G339" s="4" t="str">
        <f>HYPERLINK("http://141.218.60.56/~jnz1568/getInfo.php?workbook=18_15.xlsx&amp;sheet=U0&amp;row=339&amp;col=7&amp;number=1.5&amp;sourceID=14","1.5")</f>
        <v>1.5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HYPERLINK("http://141.218.60.56/~jnz1568/getInfo.php?workbook=18_15.xlsx&amp;sheet=U0&amp;row=340&amp;col=6&amp;number=4.6&amp;sourceID=14","4.6")</f>
        <v>4.6</v>
      </c>
      <c r="G340" s="4" t="str">
        <f>HYPERLINK("http://141.218.60.56/~jnz1568/getInfo.php?workbook=18_15.xlsx&amp;sheet=U0&amp;row=340&amp;col=7&amp;number=1.42&amp;sourceID=14","1.42")</f>
        <v>1.42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HYPERLINK("http://141.218.60.56/~jnz1568/getInfo.php?workbook=18_15.xlsx&amp;sheet=U0&amp;row=341&amp;col=6&amp;number=4.7&amp;sourceID=14","4.7")</f>
        <v>4.7</v>
      </c>
      <c r="G341" s="4" t="str">
        <f>HYPERLINK("http://141.218.60.56/~jnz1568/getInfo.php?workbook=18_15.xlsx&amp;sheet=U0&amp;row=341&amp;col=7&amp;number=1.3&amp;sourceID=14","1.3")</f>
        <v>1.3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HYPERLINK("http://141.218.60.56/~jnz1568/getInfo.php?workbook=18_15.xlsx&amp;sheet=U0&amp;row=342&amp;col=6&amp;number=4.8&amp;sourceID=14","4.8")</f>
        <v>4.8</v>
      </c>
      <c r="G342" s="4" t="str">
        <f>HYPERLINK("http://141.218.60.56/~jnz1568/getInfo.php?workbook=18_15.xlsx&amp;sheet=U0&amp;row=342&amp;col=7&amp;number=1.16&amp;sourceID=14","1.16")</f>
        <v>1.16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HYPERLINK("http://141.218.60.56/~jnz1568/getInfo.php?workbook=18_15.xlsx&amp;sheet=U0&amp;row=343&amp;col=6&amp;number=4.9&amp;sourceID=14","4.9")</f>
        <v>4.9</v>
      </c>
      <c r="G343" s="4" t="str">
        <f>HYPERLINK("http://141.218.60.56/~jnz1568/getInfo.php?workbook=18_15.xlsx&amp;sheet=U0&amp;row=343&amp;col=7&amp;number=1.02&amp;sourceID=14","1.02")</f>
        <v>1.02</v>
      </c>
    </row>
    <row r="344" spans="1:7">
      <c r="A344" s="3">
        <v>18</v>
      </c>
      <c r="B344" s="3">
        <v>15</v>
      </c>
      <c r="C344" s="3">
        <v>1</v>
      </c>
      <c r="D344" s="3">
        <v>20</v>
      </c>
      <c r="E344" s="3">
        <v>1</v>
      </c>
      <c r="F344" s="4" t="str">
        <f>HYPERLINK("http://141.218.60.56/~jnz1568/getInfo.php?workbook=18_15.xlsx&amp;sheet=U0&amp;row=344&amp;col=6&amp;number=3&amp;sourceID=14","3")</f>
        <v>3</v>
      </c>
      <c r="G344" s="4" t="str">
        <f>HYPERLINK("http://141.218.60.56/~jnz1568/getInfo.php?workbook=18_15.xlsx&amp;sheet=U0&amp;row=344&amp;col=7&amp;number=0.242&amp;sourceID=14","0.242")</f>
        <v>0.242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HYPERLINK("http://141.218.60.56/~jnz1568/getInfo.php?workbook=18_15.xlsx&amp;sheet=U0&amp;row=345&amp;col=6&amp;number=3.1&amp;sourceID=14","3.1")</f>
        <v>3.1</v>
      </c>
      <c r="G345" s="4" t="str">
        <f>HYPERLINK("http://141.218.60.56/~jnz1568/getInfo.php?workbook=18_15.xlsx&amp;sheet=U0&amp;row=345&amp;col=7&amp;number=0.245&amp;sourceID=14","0.245")</f>
        <v>0.245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HYPERLINK("http://141.218.60.56/~jnz1568/getInfo.php?workbook=18_15.xlsx&amp;sheet=U0&amp;row=346&amp;col=6&amp;number=3.2&amp;sourceID=14","3.2")</f>
        <v>3.2</v>
      </c>
      <c r="G346" s="4" t="str">
        <f>HYPERLINK("http://141.218.60.56/~jnz1568/getInfo.php?workbook=18_15.xlsx&amp;sheet=U0&amp;row=346&amp;col=7&amp;number=0.251&amp;sourceID=14","0.251")</f>
        <v>0.251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HYPERLINK("http://141.218.60.56/~jnz1568/getInfo.php?workbook=18_15.xlsx&amp;sheet=U0&amp;row=347&amp;col=6&amp;number=3.3&amp;sourceID=14","3.3")</f>
        <v>3.3</v>
      </c>
      <c r="G347" s="4" t="str">
        <f>HYPERLINK("http://141.218.60.56/~jnz1568/getInfo.php?workbook=18_15.xlsx&amp;sheet=U0&amp;row=347&amp;col=7&amp;number=0.265&amp;sourceID=14","0.265")</f>
        <v>0.265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HYPERLINK("http://141.218.60.56/~jnz1568/getInfo.php?workbook=18_15.xlsx&amp;sheet=U0&amp;row=348&amp;col=6&amp;number=3.4&amp;sourceID=14","3.4")</f>
        <v>3.4</v>
      </c>
      <c r="G348" s="4" t="str">
        <f>HYPERLINK("http://141.218.60.56/~jnz1568/getInfo.php?workbook=18_15.xlsx&amp;sheet=U0&amp;row=348&amp;col=7&amp;number=0.292&amp;sourceID=14","0.292")</f>
        <v>0.292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HYPERLINK("http://141.218.60.56/~jnz1568/getInfo.php?workbook=18_15.xlsx&amp;sheet=U0&amp;row=349&amp;col=6&amp;number=3.5&amp;sourceID=14","3.5")</f>
        <v>3.5</v>
      </c>
      <c r="G349" s="4" t="str">
        <f>HYPERLINK("http://141.218.60.56/~jnz1568/getInfo.php?workbook=18_15.xlsx&amp;sheet=U0&amp;row=349&amp;col=7&amp;number=0.345&amp;sourceID=14","0.345")</f>
        <v>0.345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HYPERLINK("http://141.218.60.56/~jnz1568/getInfo.php?workbook=18_15.xlsx&amp;sheet=U0&amp;row=350&amp;col=6&amp;number=3.6&amp;sourceID=14","3.6")</f>
        <v>3.6</v>
      </c>
      <c r="G350" s="4" t="str">
        <f>HYPERLINK("http://141.218.60.56/~jnz1568/getInfo.php?workbook=18_15.xlsx&amp;sheet=U0&amp;row=350&amp;col=7&amp;number=0.442&amp;sourceID=14","0.442")</f>
        <v>0.442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HYPERLINK("http://141.218.60.56/~jnz1568/getInfo.php?workbook=18_15.xlsx&amp;sheet=U0&amp;row=351&amp;col=6&amp;number=3.7&amp;sourceID=14","3.7")</f>
        <v>3.7</v>
      </c>
      <c r="G351" s="4" t="str">
        <f>HYPERLINK("http://141.218.60.56/~jnz1568/getInfo.php?workbook=18_15.xlsx&amp;sheet=U0&amp;row=351&amp;col=7&amp;number=0.61&amp;sourceID=14","0.61")</f>
        <v>0.61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HYPERLINK("http://141.218.60.56/~jnz1568/getInfo.php?workbook=18_15.xlsx&amp;sheet=U0&amp;row=352&amp;col=6&amp;number=3.8&amp;sourceID=14","3.8")</f>
        <v>3.8</v>
      </c>
      <c r="G352" s="4" t="str">
        <f>HYPERLINK("http://141.218.60.56/~jnz1568/getInfo.php?workbook=18_15.xlsx&amp;sheet=U0&amp;row=352&amp;col=7&amp;number=0.859&amp;sourceID=14","0.859")</f>
        <v>0.859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HYPERLINK("http://141.218.60.56/~jnz1568/getInfo.php?workbook=18_15.xlsx&amp;sheet=U0&amp;row=353&amp;col=6&amp;number=3.9&amp;sourceID=14","3.9")</f>
        <v>3.9</v>
      </c>
      <c r="G353" s="4" t="str">
        <f>HYPERLINK("http://141.218.60.56/~jnz1568/getInfo.php?workbook=18_15.xlsx&amp;sheet=U0&amp;row=353&amp;col=7&amp;number=1.18&amp;sourceID=14","1.18")</f>
        <v>1.18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HYPERLINK("http://141.218.60.56/~jnz1568/getInfo.php?workbook=18_15.xlsx&amp;sheet=U0&amp;row=354&amp;col=6&amp;number=4&amp;sourceID=14","4")</f>
        <v>4</v>
      </c>
      <c r="G354" s="4" t="str">
        <f>HYPERLINK("http://141.218.60.56/~jnz1568/getInfo.php?workbook=18_15.xlsx&amp;sheet=U0&amp;row=354&amp;col=7&amp;number=1.53&amp;sourceID=14","1.53")</f>
        <v>1.53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HYPERLINK("http://141.218.60.56/~jnz1568/getInfo.php?workbook=18_15.xlsx&amp;sheet=U0&amp;row=355&amp;col=6&amp;number=4.1&amp;sourceID=14","4.1")</f>
        <v>4.1</v>
      </c>
      <c r="G355" s="4" t="str">
        <f>HYPERLINK("http://141.218.60.56/~jnz1568/getInfo.php?workbook=18_15.xlsx&amp;sheet=U0&amp;row=355&amp;col=7&amp;number=1.86&amp;sourceID=14","1.86")</f>
        <v>1.86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HYPERLINK("http://141.218.60.56/~jnz1568/getInfo.php?workbook=18_15.xlsx&amp;sheet=U0&amp;row=356&amp;col=6&amp;number=4.2&amp;sourceID=14","4.2")</f>
        <v>4.2</v>
      </c>
      <c r="G356" s="4" t="str">
        <f>HYPERLINK("http://141.218.60.56/~jnz1568/getInfo.php?workbook=18_15.xlsx&amp;sheet=U0&amp;row=356&amp;col=7&amp;number=2.12&amp;sourceID=14","2.12")</f>
        <v>2.12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HYPERLINK("http://141.218.60.56/~jnz1568/getInfo.php?workbook=18_15.xlsx&amp;sheet=U0&amp;row=357&amp;col=6&amp;number=4.3&amp;sourceID=14","4.3")</f>
        <v>4.3</v>
      </c>
      <c r="G357" s="4" t="str">
        <f>HYPERLINK("http://141.218.60.56/~jnz1568/getInfo.php?workbook=18_15.xlsx&amp;sheet=U0&amp;row=357&amp;col=7&amp;number=2.27&amp;sourceID=14","2.27")</f>
        <v>2.27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HYPERLINK("http://141.218.60.56/~jnz1568/getInfo.php?workbook=18_15.xlsx&amp;sheet=U0&amp;row=358&amp;col=6&amp;number=4.4&amp;sourceID=14","4.4")</f>
        <v>4.4</v>
      </c>
      <c r="G358" s="4" t="str">
        <f>HYPERLINK("http://141.218.60.56/~jnz1568/getInfo.php?workbook=18_15.xlsx&amp;sheet=U0&amp;row=358&amp;col=7&amp;number=2.31&amp;sourceID=14","2.31")</f>
        <v>2.31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HYPERLINK("http://141.218.60.56/~jnz1568/getInfo.php?workbook=18_15.xlsx&amp;sheet=U0&amp;row=359&amp;col=6&amp;number=4.5&amp;sourceID=14","4.5")</f>
        <v>4.5</v>
      </c>
      <c r="G359" s="4" t="str">
        <f>HYPERLINK("http://141.218.60.56/~jnz1568/getInfo.php?workbook=18_15.xlsx&amp;sheet=U0&amp;row=359&amp;col=7&amp;number=2.25&amp;sourceID=14","2.25")</f>
        <v>2.25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HYPERLINK("http://141.218.60.56/~jnz1568/getInfo.php?workbook=18_15.xlsx&amp;sheet=U0&amp;row=360&amp;col=6&amp;number=4.6&amp;sourceID=14","4.6")</f>
        <v>4.6</v>
      </c>
      <c r="G360" s="4" t="str">
        <f>HYPERLINK("http://141.218.60.56/~jnz1568/getInfo.php?workbook=18_15.xlsx&amp;sheet=U0&amp;row=360&amp;col=7&amp;number=2.13&amp;sourceID=14","2.13")</f>
        <v>2.13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HYPERLINK("http://141.218.60.56/~jnz1568/getInfo.php?workbook=18_15.xlsx&amp;sheet=U0&amp;row=361&amp;col=6&amp;number=4.7&amp;sourceID=14","4.7")</f>
        <v>4.7</v>
      </c>
      <c r="G361" s="4" t="str">
        <f>HYPERLINK("http://141.218.60.56/~jnz1568/getInfo.php?workbook=18_15.xlsx&amp;sheet=U0&amp;row=361&amp;col=7&amp;number=1.95&amp;sourceID=14","1.95")</f>
        <v>1.95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HYPERLINK("http://141.218.60.56/~jnz1568/getInfo.php?workbook=18_15.xlsx&amp;sheet=U0&amp;row=362&amp;col=6&amp;number=4.8&amp;sourceID=14","4.8")</f>
        <v>4.8</v>
      </c>
      <c r="G362" s="4" t="str">
        <f>HYPERLINK("http://141.218.60.56/~jnz1568/getInfo.php?workbook=18_15.xlsx&amp;sheet=U0&amp;row=362&amp;col=7&amp;number=1.75&amp;sourceID=14","1.75")</f>
        <v>1.75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HYPERLINK("http://141.218.60.56/~jnz1568/getInfo.php?workbook=18_15.xlsx&amp;sheet=U0&amp;row=363&amp;col=6&amp;number=4.9&amp;sourceID=14","4.9")</f>
        <v>4.9</v>
      </c>
      <c r="G363" s="4" t="str">
        <f>HYPERLINK("http://141.218.60.56/~jnz1568/getInfo.php?workbook=18_15.xlsx&amp;sheet=U0&amp;row=363&amp;col=7&amp;number=1.54&amp;sourceID=14","1.54")</f>
        <v>1.54</v>
      </c>
    </row>
    <row r="364" spans="1:7">
      <c r="A364" s="3">
        <v>18</v>
      </c>
      <c r="B364" s="3">
        <v>15</v>
      </c>
      <c r="C364" s="3">
        <v>1</v>
      </c>
      <c r="D364" s="3">
        <v>21</v>
      </c>
      <c r="E364" s="3">
        <v>1</v>
      </c>
      <c r="F364" s="4" t="str">
        <f>HYPERLINK("http://141.218.60.56/~jnz1568/getInfo.php?workbook=18_15.xlsx&amp;sheet=U0&amp;row=364&amp;col=6&amp;number=3&amp;sourceID=14","3")</f>
        <v>3</v>
      </c>
      <c r="G364" s="4" t="str">
        <f>HYPERLINK("http://141.218.60.56/~jnz1568/getInfo.php?workbook=18_15.xlsx&amp;sheet=U0&amp;row=364&amp;col=7&amp;number=0.322&amp;sourceID=14","0.322")</f>
        <v>0.322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HYPERLINK("http://141.218.60.56/~jnz1568/getInfo.php?workbook=18_15.xlsx&amp;sheet=U0&amp;row=365&amp;col=6&amp;number=3.1&amp;sourceID=14","3.1")</f>
        <v>3.1</v>
      </c>
      <c r="G365" s="4" t="str">
        <f>HYPERLINK("http://141.218.60.56/~jnz1568/getInfo.php?workbook=18_15.xlsx&amp;sheet=U0&amp;row=365&amp;col=7&amp;number=0.326&amp;sourceID=14","0.326")</f>
        <v>0.326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HYPERLINK("http://141.218.60.56/~jnz1568/getInfo.php?workbook=18_15.xlsx&amp;sheet=U0&amp;row=366&amp;col=6&amp;number=3.2&amp;sourceID=14","3.2")</f>
        <v>3.2</v>
      </c>
      <c r="G366" s="4" t="str">
        <f>HYPERLINK("http://141.218.60.56/~jnz1568/getInfo.php?workbook=18_15.xlsx&amp;sheet=U0&amp;row=366&amp;col=7&amp;number=0.335&amp;sourceID=14","0.335")</f>
        <v>0.335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HYPERLINK("http://141.218.60.56/~jnz1568/getInfo.php?workbook=18_15.xlsx&amp;sheet=U0&amp;row=367&amp;col=6&amp;number=3.3&amp;sourceID=14","3.3")</f>
        <v>3.3</v>
      </c>
      <c r="G367" s="4" t="str">
        <f>HYPERLINK("http://141.218.60.56/~jnz1568/getInfo.php?workbook=18_15.xlsx&amp;sheet=U0&amp;row=367&amp;col=7&amp;number=0.353&amp;sourceID=14","0.353")</f>
        <v>0.353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HYPERLINK("http://141.218.60.56/~jnz1568/getInfo.php?workbook=18_15.xlsx&amp;sheet=U0&amp;row=368&amp;col=6&amp;number=3.4&amp;sourceID=14","3.4")</f>
        <v>3.4</v>
      </c>
      <c r="G368" s="4" t="str">
        <f>HYPERLINK("http://141.218.60.56/~jnz1568/getInfo.php?workbook=18_15.xlsx&amp;sheet=U0&amp;row=368&amp;col=7&amp;number=0.39&amp;sourceID=14","0.39")</f>
        <v>0.39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HYPERLINK("http://141.218.60.56/~jnz1568/getInfo.php?workbook=18_15.xlsx&amp;sheet=U0&amp;row=369&amp;col=6&amp;number=3.5&amp;sourceID=14","3.5")</f>
        <v>3.5</v>
      </c>
      <c r="G369" s="4" t="str">
        <f>HYPERLINK("http://141.218.60.56/~jnz1568/getInfo.php?workbook=18_15.xlsx&amp;sheet=U0&amp;row=369&amp;col=7&amp;number=0.46&amp;sourceID=14","0.46")</f>
        <v>0.46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HYPERLINK("http://141.218.60.56/~jnz1568/getInfo.php?workbook=18_15.xlsx&amp;sheet=U0&amp;row=370&amp;col=6&amp;number=3.6&amp;sourceID=14","3.6")</f>
        <v>3.6</v>
      </c>
      <c r="G370" s="4" t="str">
        <f>HYPERLINK("http://141.218.60.56/~jnz1568/getInfo.php?workbook=18_15.xlsx&amp;sheet=U0&amp;row=370&amp;col=7&amp;number=0.59&amp;sourceID=14","0.59")</f>
        <v>0.59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HYPERLINK("http://141.218.60.56/~jnz1568/getInfo.php?workbook=18_15.xlsx&amp;sheet=U0&amp;row=371&amp;col=6&amp;number=3.7&amp;sourceID=14","3.7")</f>
        <v>3.7</v>
      </c>
      <c r="G371" s="4" t="str">
        <f>HYPERLINK("http://141.218.60.56/~jnz1568/getInfo.php?workbook=18_15.xlsx&amp;sheet=U0&amp;row=371&amp;col=7&amp;number=0.813&amp;sourceID=14","0.813")</f>
        <v>0.813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HYPERLINK("http://141.218.60.56/~jnz1568/getInfo.php?workbook=18_15.xlsx&amp;sheet=U0&amp;row=372&amp;col=6&amp;number=3.8&amp;sourceID=14","3.8")</f>
        <v>3.8</v>
      </c>
      <c r="G372" s="4" t="str">
        <f>HYPERLINK("http://141.218.60.56/~jnz1568/getInfo.php?workbook=18_15.xlsx&amp;sheet=U0&amp;row=372&amp;col=7&amp;number=1.15&amp;sourceID=14","1.15")</f>
        <v>1.15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HYPERLINK("http://141.218.60.56/~jnz1568/getInfo.php?workbook=18_15.xlsx&amp;sheet=U0&amp;row=373&amp;col=6&amp;number=3.9&amp;sourceID=14","3.9")</f>
        <v>3.9</v>
      </c>
      <c r="G373" s="4" t="str">
        <f>HYPERLINK("http://141.218.60.56/~jnz1568/getInfo.php?workbook=18_15.xlsx&amp;sheet=U0&amp;row=373&amp;col=7&amp;number=1.57&amp;sourceID=14","1.57")</f>
        <v>1.57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HYPERLINK("http://141.218.60.56/~jnz1568/getInfo.php?workbook=18_15.xlsx&amp;sheet=U0&amp;row=374&amp;col=6&amp;number=4&amp;sourceID=14","4")</f>
        <v>4</v>
      </c>
      <c r="G374" s="4" t="str">
        <f>HYPERLINK("http://141.218.60.56/~jnz1568/getInfo.php?workbook=18_15.xlsx&amp;sheet=U0&amp;row=374&amp;col=7&amp;number=2.04&amp;sourceID=14","2.04")</f>
        <v>2.04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HYPERLINK("http://141.218.60.56/~jnz1568/getInfo.php?workbook=18_15.xlsx&amp;sheet=U0&amp;row=375&amp;col=6&amp;number=4.1&amp;sourceID=14","4.1")</f>
        <v>4.1</v>
      </c>
      <c r="G375" s="4" t="str">
        <f>HYPERLINK("http://141.218.60.56/~jnz1568/getInfo.php?workbook=18_15.xlsx&amp;sheet=U0&amp;row=375&amp;col=7&amp;number=2.48&amp;sourceID=14","2.48")</f>
        <v>2.48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HYPERLINK("http://141.218.60.56/~jnz1568/getInfo.php?workbook=18_15.xlsx&amp;sheet=U0&amp;row=376&amp;col=6&amp;number=4.2&amp;sourceID=14","4.2")</f>
        <v>4.2</v>
      </c>
      <c r="G376" s="4" t="str">
        <f>HYPERLINK("http://141.218.60.56/~jnz1568/getInfo.php?workbook=18_15.xlsx&amp;sheet=U0&amp;row=376&amp;col=7&amp;number=2.83&amp;sourceID=14","2.83")</f>
        <v>2.83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HYPERLINK("http://141.218.60.56/~jnz1568/getInfo.php?workbook=18_15.xlsx&amp;sheet=U0&amp;row=377&amp;col=6&amp;number=4.3&amp;sourceID=14","4.3")</f>
        <v>4.3</v>
      </c>
      <c r="G377" s="4" t="str">
        <f>HYPERLINK("http://141.218.60.56/~jnz1568/getInfo.php?workbook=18_15.xlsx&amp;sheet=U0&amp;row=377&amp;col=7&amp;number=3.03&amp;sourceID=14","3.03")</f>
        <v>3.03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HYPERLINK("http://141.218.60.56/~jnz1568/getInfo.php?workbook=18_15.xlsx&amp;sheet=U0&amp;row=378&amp;col=6&amp;number=4.4&amp;sourceID=14","4.4")</f>
        <v>4.4</v>
      </c>
      <c r="G378" s="4" t="str">
        <f>HYPERLINK("http://141.218.60.56/~jnz1568/getInfo.php?workbook=18_15.xlsx&amp;sheet=U0&amp;row=378&amp;col=7&amp;number=3.08&amp;sourceID=14","3.08")</f>
        <v>3.08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HYPERLINK("http://141.218.60.56/~jnz1568/getInfo.php?workbook=18_15.xlsx&amp;sheet=U0&amp;row=379&amp;col=6&amp;number=4.5&amp;sourceID=14","4.5")</f>
        <v>4.5</v>
      </c>
      <c r="G379" s="4" t="str">
        <f>HYPERLINK("http://141.218.60.56/~jnz1568/getInfo.php?workbook=18_15.xlsx&amp;sheet=U0&amp;row=379&amp;col=7&amp;number=3.01&amp;sourceID=14","3.01")</f>
        <v>3.01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HYPERLINK("http://141.218.60.56/~jnz1568/getInfo.php?workbook=18_15.xlsx&amp;sheet=U0&amp;row=380&amp;col=6&amp;number=4.6&amp;sourceID=14","4.6")</f>
        <v>4.6</v>
      </c>
      <c r="G380" s="4" t="str">
        <f>HYPERLINK("http://141.218.60.56/~jnz1568/getInfo.php?workbook=18_15.xlsx&amp;sheet=U0&amp;row=380&amp;col=7&amp;number=2.85&amp;sourceID=14","2.85")</f>
        <v>2.85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HYPERLINK("http://141.218.60.56/~jnz1568/getInfo.php?workbook=18_15.xlsx&amp;sheet=U0&amp;row=381&amp;col=6&amp;number=4.7&amp;sourceID=14","4.7")</f>
        <v>4.7</v>
      </c>
      <c r="G381" s="4" t="str">
        <f>HYPERLINK("http://141.218.60.56/~jnz1568/getInfo.php?workbook=18_15.xlsx&amp;sheet=U0&amp;row=381&amp;col=7&amp;number=2.63&amp;sourceID=14","2.63")</f>
        <v>2.63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HYPERLINK("http://141.218.60.56/~jnz1568/getInfo.php?workbook=18_15.xlsx&amp;sheet=U0&amp;row=382&amp;col=6&amp;number=4.8&amp;sourceID=14","4.8")</f>
        <v>4.8</v>
      </c>
      <c r="G382" s="4" t="str">
        <f>HYPERLINK("http://141.218.60.56/~jnz1568/getInfo.php?workbook=18_15.xlsx&amp;sheet=U0&amp;row=382&amp;col=7&amp;number=2.36&amp;sourceID=14","2.36")</f>
        <v>2.36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HYPERLINK("http://141.218.60.56/~jnz1568/getInfo.php?workbook=18_15.xlsx&amp;sheet=U0&amp;row=383&amp;col=6&amp;number=4.9&amp;sourceID=14","4.9")</f>
        <v>4.9</v>
      </c>
      <c r="G383" s="4" t="str">
        <f>HYPERLINK("http://141.218.60.56/~jnz1568/getInfo.php?workbook=18_15.xlsx&amp;sheet=U0&amp;row=383&amp;col=7&amp;number=2.09&amp;sourceID=14","2.09")</f>
        <v>2.09</v>
      </c>
    </row>
    <row r="384" spans="1:7">
      <c r="A384" s="3">
        <v>18</v>
      </c>
      <c r="B384" s="3">
        <v>15</v>
      </c>
      <c r="C384" s="3">
        <v>1</v>
      </c>
      <c r="D384" s="3">
        <v>22</v>
      </c>
      <c r="E384" s="3">
        <v>1</v>
      </c>
      <c r="F384" s="4" t="str">
        <f>HYPERLINK("http://141.218.60.56/~jnz1568/getInfo.php?workbook=18_15.xlsx&amp;sheet=U0&amp;row=384&amp;col=6&amp;number=3&amp;sourceID=14","3")</f>
        <v>3</v>
      </c>
      <c r="G384" s="4" t="str">
        <f>HYPERLINK("http://141.218.60.56/~jnz1568/getInfo.php?workbook=18_15.xlsx&amp;sheet=U0&amp;row=384&amp;col=7&amp;number=0.204&amp;sourceID=14","0.204")</f>
        <v>0.204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HYPERLINK("http://141.218.60.56/~jnz1568/getInfo.php?workbook=18_15.xlsx&amp;sheet=U0&amp;row=385&amp;col=6&amp;number=3.1&amp;sourceID=14","3.1")</f>
        <v>3.1</v>
      </c>
      <c r="G385" s="4" t="str">
        <f>HYPERLINK("http://141.218.60.56/~jnz1568/getInfo.php?workbook=18_15.xlsx&amp;sheet=U0&amp;row=385&amp;col=7&amp;number=0.202&amp;sourceID=14","0.202")</f>
        <v>0.202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HYPERLINK("http://141.218.60.56/~jnz1568/getInfo.php?workbook=18_15.xlsx&amp;sheet=U0&amp;row=386&amp;col=6&amp;number=3.2&amp;sourceID=14","3.2")</f>
        <v>3.2</v>
      </c>
      <c r="G386" s="4" t="str">
        <f>HYPERLINK("http://141.218.60.56/~jnz1568/getInfo.php?workbook=18_15.xlsx&amp;sheet=U0&amp;row=386&amp;col=7&amp;number=0.2&amp;sourceID=14","0.2")</f>
        <v>0.2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HYPERLINK("http://141.218.60.56/~jnz1568/getInfo.php?workbook=18_15.xlsx&amp;sheet=U0&amp;row=387&amp;col=6&amp;number=3.3&amp;sourceID=14","3.3")</f>
        <v>3.3</v>
      </c>
      <c r="G387" s="4" t="str">
        <f>HYPERLINK("http://141.218.60.56/~jnz1568/getInfo.php?workbook=18_15.xlsx&amp;sheet=U0&amp;row=387&amp;col=7&amp;number=0.198&amp;sourceID=14","0.198")</f>
        <v>0.198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HYPERLINK("http://141.218.60.56/~jnz1568/getInfo.php?workbook=18_15.xlsx&amp;sheet=U0&amp;row=388&amp;col=6&amp;number=3.4&amp;sourceID=14","3.4")</f>
        <v>3.4</v>
      </c>
      <c r="G388" s="4" t="str">
        <f>HYPERLINK("http://141.218.60.56/~jnz1568/getInfo.php?workbook=18_15.xlsx&amp;sheet=U0&amp;row=388&amp;col=7&amp;number=0.195&amp;sourceID=14","0.195")</f>
        <v>0.195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HYPERLINK("http://141.218.60.56/~jnz1568/getInfo.php?workbook=18_15.xlsx&amp;sheet=U0&amp;row=389&amp;col=6&amp;number=3.5&amp;sourceID=14","3.5")</f>
        <v>3.5</v>
      </c>
      <c r="G389" s="4" t="str">
        <f>HYPERLINK("http://141.218.60.56/~jnz1568/getInfo.php?workbook=18_15.xlsx&amp;sheet=U0&amp;row=389&amp;col=7&amp;number=0.193&amp;sourceID=14","0.193")</f>
        <v>0.193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HYPERLINK("http://141.218.60.56/~jnz1568/getInfo.php?workbook=18_15.xlsx&amp;sheet=U0&amp;row=390&amp;col=6&amp;number=3.6&amp;sourceID=14","3.6")</f>
        <v>3.6</v>
      </c>
      <c r="G390" s="4" t="str">
        <f>HYPERLINK("http://141.218.60.56/~jnz1568/getInfo.php?workbook=18_15.xlsx&amp;sheet=U0&amp;row=390&amp;col=7&amp;number=0.192&amp;sourceID=14","0.192")</f>
        <v>0.192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HYPERLINK("http://141.218.60.56/~jnz1568/getInfo.php?workbook=18_15.xlsx&amp;sheet=U0&amp;row=391&amp;col=6&amp;number=3.7&amp;sourceID=14","3.7")</f>
        <v>3.7</v>
      </c>
      <c r="G391" s="4" t="str">
        <f>HYPERLINK("http://141.218.60.56/~jnz1568/getInfo.php?workbook=18_15.xlsx&amp;sheet=U0&amp;row=391&amp;col=7&amp;number=0.194&amp;sourceID=14","0.194")</f>
        <v>0.194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HYPERLINK("http://141.218.60.56/~jnz1568/getInfo.php?workbook=18_15.xlsx&amp;sheet=U0&amp;row=392&amp;col=6&amp;number=3.8&amp;sourceID=14","3.8")</f>
        <v>3.8</v>
      </c>
      <c r="G392" s="4" t="str">
        <f>HYPERLINK("http://141.218.60.56/~jnz1568/getInfo.php?workbook=18_15.xlsx&amp;sheet=U0&amp;row=392&amp;col=7&amp;number=0.201&amp;sourceID=14","0.201")</f>
        <v>0.201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HYPERLINK("http://141.218.60.56/~jnz1568/getInfo.php?workbook=18_15.xlsx&amp;sheet=U0&amp;row=393&amp;col=6&amp;number=3.9&amp;sourceID=14","3.9")</f>
        <v>3.9</v>
      </c>
      <c r="G393" s="4" t="str">
        <f>HYPERLINK("http://141.218.60.56/~jnz1568/getInfo.php?workbook=18_15.xlsx&amp;sheet=U0&amp;row=393&amp;col=7&amp;number=0.217&amp;sourceID=14","0.217")</f>
        <v>0.217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HYPERLINK("http://141.218.60.56/~jnz1568/getInfo.php?workbook=18_15.xlsx&amp;sheet=U0&amp;row=394&amp;col=6&amp;number=4&amp;sourceID=14","4")</f>
        <v>4</v>
      </c>
      <c r="G394" s="4" t="str">
        <f>HYPERLINK("http://141.218.60.56/~jnz1568/getInfo.php?workbook=18_15.xlsx&amp;sheet=U0&amp;row=394&amp;col=7&amp;number=0.243&amp;sourceID=14","0.243")</f>
        <v>0.243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HYPERLINK("http://141.218.60.56/~jnz1568/getInfo.php?workbook=18_15.xlsx&amp;sheet=U0&amp;row=395&amp;col=6&amp;number=4.1&amp;sourceID=14","4.1")</f>
        <v>4.1</v>
      </c>
      <c r="G395" s="4" t="str">
        <f>HYPERLINK("http://141.218.60.56/~jnz1568/getInfo.php?workbook=18_15.xlsx&amp;sheet=U0&amp;row=395&amp;col=7&amp;number=0.275&amp;sourceID=14","0.275")</f>
        <v>0.275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HYPERLINK("http://141.218.60.56/~jnz1568/getInfo.php?workbook=18_15.xlsx&amp;sheet=U0&amp;row=396&amp;col=6&amp;number=4.2&amp;sourceID=14","4.2")</f>
        <v>4.2</v>
      </c>
      <c r="G396" s="4" t="str">
        <f>HYPERLINK("http://141.218.60.56/~jnz1568/getInfo.php?workbook=18_15.xlsx&amp;sheet=U0&amp;row=396&amp;col=7&amp;number=0.308&amp;sourceID=14","0.308")</f>
        <v>0.308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HYPERLINK("http://141.218.60.56/~jnz1568/getInfo.php?workbook=18_15.xlsx&amp;sheet=U0&amp;row=397&amp;col=6&amp;number=4.3&amp;sourceID=14","4.3")</f>
        <v>4.3</v>
      </c>
      <c r="G397" s="4" t="str">
        <f>HYPERLINK("http://141.218.60.56/~jnz1568/getInfo.php?workbook=18_15.xlsx&amp;sheet=U0&amp;row=397&amp;col=7&amp;number=0.335&amp;sourceID=14","0.335")</f>
        <v>0.335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HYPERLINK("http://141.218.60.56/~jnz1568/getInfo.php?workbook=18_15.xlsx&amp;sheet=U0&amp;row=398&amp;col=6&amp;number=4.4&amp;sourceID=14","4.4")</f>
        <v>4.4</v>
      </c>
      <c r="G398" s="4" t="str">
        <f>HYPERLINK("http://141.218.60.56/~jnz1568/getInfo.php?workbook=18_15.xlsx&amp;sheet=U0&amp;row=398&amp;col=7&amp;number=0.357&amp;sourceID=14","0.357")</f>
        <v>0.357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HYPERLINK("http://141.218.60.56/~jnz1568/getInfo.php?workbook=18_15.xlsx&amp;sheet=U0&amp;row=399&amp;col=6&amp;number=4.5&amp;sourceID=14","4.5")</f>
        <v>4.5</v>
      </c>
      <c r="G399" s="4" t="str">
        <f>HYPERLINK("http://141.218.60.56/~jnz1568/getInfo.php?workbook=18_15.xlsx&amp;sheet=U0&amp;row=399&amp;col=7&amp;number=0.372&amp;sourceID=14","0.372")</f>
        <v>0.372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HYPERLINK("http://141.218.60.56/~jnz1568/getInfo.php?workbook=18_15.xlsx&amp;sheet=U0&amp;row=400&amp;col=6&amp;number=4.6&amp;sourceID=14","4.6")</f>
        <v>4.6</v>
      </c>
      <c r="G400" s="4" t="str">
        <f>HYPERLINK("http://141.218.60.56/~jnz1568/getInfo.php?workbook=18_15.xlsx&amp;sheet=U0&amp;row=400&amp;col=7&amp;number=0.379&amp;sourceID=14","0.379")</f>
        <v>0.379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HYPERLINK("http://141.218.60.56/~jnz1568/getInfo.php?workbook=18_15.xlsx&amp;sheet=U0&amp;row=401&amp;col=6&amp;number=4.7&amp;sourceID=14","4.7")</f>
        <v>4.7</v>
      </c>
      <c r="G401" s="4" t="str">
        <f>HYPERLINK("http://141.218.60.56/~jnz1568/getInfo.php?workbook=18_15.xlsx&amp;sheet=U0&amp;row=401&amp;col=7&amp;number=0.379&amp;sourceID=14","0.379")</f>
        <v>0.379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HYPERLINK("http://141.218.60.56/~jnz1568/getInfo.php?workbook=18_15.xlsx&amp;sheet=U0&amp;row=402&amp;col=6&amp;number=4.8&amp;sourceID=14","4.8")</f>
        <v>4.8</v>
      </c>
      <c r="G402" s="4" t="str">
        <f>HYPERLINK("http://141.218.60.56/~jnz1568/getInfo.php?workbook=18_15.xlsx&amp;sheet=U0&amp;row=402&amp;col=7&amp;number=0.373&amp;sourceID=14","0.373")</f>
        <v>0.373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HYPERLINK("http://141.218.60.56/~jnz1568/getInfo.php?workbook=18_15.xlsx&amp;sheet=U0&amp;row=403&amp;col=6&amp;number=4.9&amp;sourceID=14","4.9")</f>
        <v>4.9</v>
      </c>
      <c r="G403" s="4" t="str">
        <f>HYPERLINK("http://141.218.60.56/~jnz1568/getInfo.php?workbook=18_15.xlsx&amp;sheet=U0&amp;row=403&amp;col=7&amp;number=0.359&amp;sourceID=14","0.359")</f>
        <v>0.359</v>
      </c>
    </row>
    <row r="404" spans="1:7">
      <c r="A404" s="3">
        <v>18</v>
      </c>
      <c r="B404" s="3">
        <v>15</v>
      </c>
      <c r="C404" s="3">
        <v>1</v>
      </c>
      <c r="D404" s="3">
        <v>23</v>
      </c>
      <c r="E404" s="3">
        <v>1</v>
      </c>
      <c r="F404" s="4" t="str">
        <f>HYPERLINK("http://141.218.60.56/~jnz1568/getInfo.php?workbook=18_15.xlsx&amp;sheet=U0&amp;row=404&amp;col=6&amp;number=3&amp;sourceID=14","3")</f>
        <v>3</v>
      </c>
      <c r="G404" s="4" t="str">
        <f>HYPERLINK("http://141.218.60.56/~jnz1568/getInfo.php?workbook=18_15.xlsx&amp;sheet=U0&amp;row=404&amp;col=7&amp;number=0.272&amp;sourceID=14","0.272")</f>
        <v>0.272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HYPERLINK("http://141.218.60.56/~jnz1568/getInfo.php?workbook=18_15.xlsx&amp;sheet=U0&amp;row=405&amp;col=6&amp;number=3.1&amp;sourceID=14","3.1")</f>
        <v>3.1</v>
      </c>
      <c r="G405" s="4" t="str">
        <f>HYPERLINK("http://141.218.60.56/~jnz1568/getInfo.php?workbook=18_15.xlsx&amp;sheet=U0&amp;row=405&amp;col=7&amp;number=0.27&amp;sourceID=14","0.27")</f>
        <v>0.27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HYPERLINK("http://141.218.60.56/~jnz1568/getInfo.php?workbook=18_15.xlsx&amp;sheet=U0&amp;row=406&amp;col=6&amp;number=3.2&amp;sourceID=14","3.2")</f>
        <v>3.2</v>
      </c>
      <c r="G406" s="4" t="str">
        <f>HYPERLINK("http://141.218.60.56/~jnz1568/getInfo.php?workbook=18_15.xlsx&amp;sheet=U0&amp;row=406&amp;col=7&amp;number=0.267&amp;sourceID=14","0.267")</f>
        <v>0.267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HYPERLINK("http://141.218.60.56/~jnz1568/getInfo.php?workbook=18_15.xlsx&amp;sheet=U0&amp;row=407&amp;col=6&amp;number=3.3&amp;sourceID=14","3.3")</f>
        <v>3.3</v>
      </c>
      <c r="G407" s="4" t="str">
        <f>HYPERLINK("http://141.218.60.56/~jnz1568/getInfo.php?workbook=18_15.xlsx&amp;sheet=U0&amp;row=407&amp;col=7&amp;number=0.264&amp;sourceID=14","0.264")</f>
        <v>0.264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HYPERLINK("http://141.218.60.56/~jnz1568/getInfo.php?workbook=18_15.xlsx&amp;sheet=U0&amp;row=408&amp;col=6&amp;number=3.4&amp;sourceID=14","3.4")</f>
        <v>3.4</v>
      </c>
      <c r="G408" s="4" t="str">
        <f>HYPERLINK("http://141.218.60.56/~jnz1568/getInfo.php?workbook=18_15.xlsx&amp;sheet=U0&amp;row=408&amp;col=7&amp;number=0.26&amp;sourceID=14","0.26")</f>
        <v>0.26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HYPERLINK("http://141.218.60.56/~jnz1568/getInfo.php?workbook=18_15.xlsx&amp;sheet=U0&amp;row=409&amp;col=6&amp;number=3.5&amp;sourceID=14","3.5")</f>
        <v>3.5</v>
      </c>
      <c r="G409" s="4" t="str">
        <f>HYPERLINK("http://141.218.60.56/~jnz1568/getInfo.php?workbook=18_15.xlsx&amp;sheet=U0&amp;row=409&amp;col=7&amp;number=0.257&amp;sourceID=14","0.257")</f>
        <v>0.257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HYPERLINK("http://141.218.60.56/~jnz1568/getInfo.php?workbook=18_15.xlsx&amp;sheet=U0&amp;row=410&amp;col=6&amp;number=3.6&amp;sourceID=14","3.6")</f>
        <v>3.6</v>
      </c>
      <c r="G410" s="4" t="str">
        <f>HYPERLINK("http://141.218.60.56/~jnz1568/getInfo.php?workbook=18_15.xlsx&amp;sheet=U0&amp;row=410&amp;col=7&amp;number=0.256&amp;sourceID=14","0.256")</f>
        <v>0.256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HYPERLINK("http://141.218.60.56/~jnz1568/getInfo.php?workbook=18_15.xlsx&amp;sheet=U0&amp;row=411&amp;col=6&amp;number=3.7&amp;sourceID=14","3.7")</f>
        <v>3.7</v>
      </c>
      <c r="G411" s="4" t="str">
        <f>HYPERLINK("http://141.218.60.56/~jnz1568/getInfo.php?workbook=18_15.xlsx&amp;sheet=U0&amp;row=411&amp;col=7&amp;number=0.258&amp;sourceID=14","0.258")</f>
        <v>0.258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HYPERLINK("http://141.218.60.56/~jnz1568/getInfo.php?workbook=18_15.xlsx&amp;sheet=U0&amp;row=412&amp;col=6&amp;number=3.8&amp;sourceID=14","3.8")</f>
        <v>3.8</v>
      </c>
      <c r="G412" s="4" t="str">
        <f>HYPERLINK("http://141.218.60.56/~jnz1568/getInfo.php?workbook=18_15.xlsx&amp;sheet=U0&amp;row=412&amp;col=7&amp;number=0.268&amp;sourceID=14","0.268")</f>
        <v>0.268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HYPERLINK("http://141.218.60.56/~jnz1568/getInfo.php?workbook=18_15.xlsx&amp;sheet=U0&amp;row=413&amp;col=6&amp;number=3.9&amp;sourceID=14","3.9")</f>
        <v>3.9</v>
      </c>
      <c r="G413" s="4" t="str">
        <f>HYPERLINK("http://141.218.60.56/~jnz1568/getInfo.php?workbook=18_15.xlsx&amp;sheet=U0&amp;row=413&amp;col=7&amp;number=0.29&amp;sourceID=14","0.29")</f>
        <v>0.29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HYPERLINK("http://141.218.60.56/~jnz1568/getInfo.php?workbook=18_15.xlsx&amp;sheet=U0&amp;row=414&amp;col=6&amp;number=4&amp;sourceID=14","4")</f>
        <v>4</v>
      </c>
      <c r="G414" s="4" t="str">
        <f>HYPERLINK("http://141.218.60.56/~jnz1568/getInfo.php?workbook=18_15.xlsx&amp;sheet=U0&amp;row=414&amp;col=7&amp;number=0.324&amp;sourceID=14","0.324")</f>
        <v>0.324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HYPERLINK("http://141.218.60.56/~jnz1568/getInfo.php?workbook=18_15.xlsx&amp;sheet=U0&amp;row=415&amp;col=6&amp;number=4.1&amp;sourceID=14","4.1")</f>
        <v>4.1</v>
      </c>
      <c r="G415" s="4" t="str">
        <f>HYPERLINK("http://141.218.60.56/~jnz1568/getInfo.php?workbook=18_15.xlsx&amp;sheet=U0&amp;row=415&amp;col=7&amp;number=0.368&amp;sourceID=14","0.368")</f>
        <v>0.368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HYPERLINK("http://141.218.60.56/~jnz1568/getInfo.php?workbook=18_15.xlsx&amp;sheet=U0&amp;row=416&amp;col=6&amp;number=4.2&amp;sourceID=14","4.2")</f>
        <v>4.2</v>
      </c>
      <c r="G416" s="4" t="str">
        <f>HYPERLINK("http://141.218.60.56/~jnz1568/getInfo.php?workbook=18_15.xlsx&amp;sheet=U0&amp;row=416&amp;col=7&amp;number=0.413&amp;sourceID=14","0.413")</f>
        <v>0.413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HYPERLINK("http://141.218.60.56/~jnz1568/getInfo.php?workbook=18_15.xlsx&amp;sheet=U0&amp;row=417&amp;col=6&amp;number=4.3&amp;sourceID=14","4.3")</f>
        <v>4.3</v>
      </c>
      <c r="G417" s="4" t="str">
        <f>HYPERLINK("http://141.218.60.56/~jnz1568/getInfo.php?workbook=18_15.xlsx&amp;sheet=U0&amp;row=417&amp;col=7&amp;number=0.453&amp;sourceID=14","0.453")</f>
        <v>0.453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HYPERLINK("http://141.218.60.56/~jnz1568/getInfo.php?workbook=18_15.xlsx&amp;sheet=U0&amp;row=418&amp;col=6&amp;number=4.4&amp;sourceID=14","4.4")</f>
        <v>4.4</v>
      </c>
      <c r="G418" s="4" t="str">
        <f>HYPERLINK("http://141.218.60.56/~jnz1568/getInfo.php?workbook=18_15.xlsx&amp;sheet=U0&amp;row=418&amp;col=7&amp;number=0.486&amp;sourceID=14","0.486")</f>
        <v>0.486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HYPERLINK("http://141.218.60.56/~jnz1568/getInfo.php?workbook=18_15.xlsx&amp;sheet=U0&amp;row=419&amp;col=6&amp;number=4.5&amp;sourceID=14","4.5")</f>
        <v>4.5</v>
      </c>
      <c r="G419" s="4" t="str">
        <f>HYPERLINK("http://141.218.60.56/~jnz1568/getInfo.php?workbook=18_15.xlsx&amp;sheet=U0&amp;row=419&amp;col=7&amp;number=0.512&amp;sourceID=14","0.512")</f>
        <v>0.512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HYPERLINK("http://141.218.60.56/~jnz1568/getInfo.php?workbook=18_15.xlsx&amp;sheet=U0&amp;row=420&amp;col=6&amp;number=4.6&amp;sourceID=14","4.6")</f>
        <v>4.6</v>
      </c>
      <c r="G420" s="4" t="str">
        <f>HYPERLINK("http://141.218.60.56/~jnz1568/getInfo.php?workbook=18_15.xlsx&amp;sheet=U0&amp;row=420&amp;col=7&amp;number=0.527&amp;sourceID=14","0.527")</f>
        <v>0.527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HYPERLINK("http://141.218.60.56/~jnz1568/getInfo.php?workbook=18_15.xlsx&amp;sheet=U0&amp;row=421&amp;col=6&amp;number=4.7&amp;sourceID=14","4.7")</f>
        <v>4.7</v>
      </c>
      <c r="G421" s="4" t="str">
        <f>HYPERLINK("http://141.218.60.56/~jnz1568/getInfo.php?workbook=18_15.xlsx&amp;sheet=U0&amp;row=421&amp;col=7&amp;number=0.53&amp;sourceID=14","0.53")</f>
        <v>0.53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HYPERLINK("http://141.218.60.56/~jnz1568/getInfo.php?workbook=18_15.xlsx&amp;sheet=U0&amp;row=422&amp;col=6&amp;number=4.8&amp;sourceID=14","4.8")</f>
        <v>4.8</v>
      </c>
      <c r="G422" s="4" t="str">
        <f>HYPERLINK("http://141.218.60.56/~jnz1568/getInfo.php?workbook=18_15.xlsx&amp;sheet=U0&amp;row=422&amp;col=7&amp;number=0.52&amp;sourceID=14","0.52")</f>
        <v>0.52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HYPERLINK("http://141.218.60.56/~jnz1568/getInfo.php?workbook=18_15.xlsx&amp;sheet=U0&amp;row=423&amp;col=6&amp;number=4.9&amp;sourceID=14","4.9")</f>
        <v>4.9</v>
      </c>
      <c r="G423" s="4" t="str">
        <f>HYPERLINK("http://141.218.60.56/~jnz1568/getInfo.php?workbook=18_15.xlsx&amp;sheet=U0&amp;row=423&amp;col=7&amp;number=0.499&amp;sourceID=14","0.499")</f>
        <v>0.499</v>
      </c>
    </row>
    <row r="424" spans="1:7">
      <c r="A424" s="3">
        <v>18</v>
      </c>
      <c r="B424" s="3">
        <v>15</v>
      </c>
      <c r="C424" s="3">
        <v>1</v>
      </c>
      <c r="D424" s="3">
        <v>24</v>
      </c>
      <c r="E424" s="3">
        <v>1</v>
      </c>
      <c r="F424" s="4" t="str">
        <f>HYPERLINK("http://141.218.60.56/~jnz1568/getInfo.php?workbook=18_15.xlsx&amp;sheet=U0&amp;row=424&amp;col=6&amp;number=3&amp;sourceID=14","3")</f>
        <v>3</v>
      </c>
      <c r="G424" s="4" t="str">
        <f>HYPERLINK("http://141.218.60.56/~jnz1568/getInfo.php?workbook=18_15.xlsx&amp;sheet=U0&amp;row=424&amp;col=7&amp;number=0.0783&amp;sourceID=14","0.0783")</f>
        <v>0.0783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HYPERLINK("http://141.218.60.56/~jnz1568/getInfo.php?workbook=18_15.xlsx&amp;sheet=U0&amp;row=425&amp;col=6&amp;number=3.1&amp;sourceID=14","3.1")</f>
        <v>3.1</v>
      </c>
      <c r="G425" s="4" t="str">
        <f>HYPERLINK("http://141.218.60.56/~jnz1568/getInfo.php?workbook=18_15.xlsx&amp;sheet=U0&amp;row=425&amp;col=7&amp;number=0.0866&amp;sourceID=14","0.0866")</f>
        <v>0.0866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HYPERLINK("http://141.218.60.56/~jnz1568/getInfo.php?workbook=18_15.xlsx&amp;sheet=U0&amp;row=426&amp;col=6&amp;number=3.2&amp;sourceID=14","3.2")</f>
        <v>3.2</v>
      </c>
      <c r="G426" s="4" t="str">
        <f>HYPERLINK("http://141.218.60.56/~jnz1568/getInfo.php?workbook=18_15.xlsx&amp;sheet=U0&amp;row=426&amp;col=7&amp;number=0.0969&amp;sourceID=14","0.0969")</f>
        <v>0.0969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HYPERLINK("http://141.218.60.56/~jnz1568/getInfo.php?workbook=18_15.xlsx&amp;sheet=U0&amp;row=427&amp;col=6&amp;number=3.3&amp;sourceID=14","3.3")</f>
        <v>3.3</v>
      </c>
      <c r="G427" s="4" t="str">
        <f>HYPERLINK("http://141.218.60.56/~jnz1568/getInfo.php?workbook=18_15.xlsx&amp;sheet=U0&amp;row=427&amp;col=7&amp;number=0.11&amp;sourceID=14","0.11")</f>
        <v>0.11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HYPERLINK("http://141.218.60.56/~jnz1568/getInfo.php?workbook=18_15.xlsx&amp;sheet=U0&amp;row=428&amp;col=6&amp;number=3.4&amp;sourceID=14","3.4")</f>
        <v>3.4</v>
      </c>
      <c r="G428" s="4" t="str">
        <f>HYPERLINK("http://141.218.60.56/~jnz1568/getInfo.php?workbook=18_15.xlsx&amp;sheet=U0&amp;row=428&amp;col=7&amp;number=0.125&amp;sourceID=14","0.125")</f>
        <v>0.125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HYPERLINK("http://141.218.60.56/~jnz1568/getInfo.php?workbook=18_15.xlsx&amp;sheet=U0&amp;row=429&amp;col=6&amp;number=3.5&amp;sourceID=14","3.5")</f>
        <v>3.5</v>
      </c>
      <c r="G429" s="4" t="str">
        <f>HYPERLINK("http://141.218.60.56/~jnz1568/getInfo.php?workbook=18_15.xlsx&amp;sheet=U0&amp;row=429&amp;col=7&amp;number=0.144&amp;sourceID=14","0.144")</f>
        <v>0.144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HYPERLINK("http://141.218.60.56/~jnz1568/getInfo.php?workbook=18_15.xlsx&amp;sheet=U0&amp;row=430&amp;col=6&amp;number=3.6&amp;sourceID=14","3.6")</f>
        <v>3.6</v>
      </c>
      <c r="G430" s="4" t="str">
        <f>HYPERLINK("http://141.218.60.56/~jnz1568/getInfo.php?workbook=18_15.xlsx&amp;sheet=U0&amp;row=430&amp;col=7&amp;number=0.166&amp;sourceID=14","0.166")</f>
        <v>0.166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HYPERLINK("http://141.218.60.56/~jnz1568/getInfo.php?workbook=18_15.xlsx&amp;sheet=U0&amp;row=431&amp;col=6&amp;number=3.7&amp;sourceID=14","3.7")</f>
        <v>3.7</v>
      </c>
      <c r="G431" s="4" t="str">
        <f>HYPERLINK("http://141.218.60.56/~jnz1568/getInfo.php?workbook=18_15.xlsx&amp;sheet=U0&amp;row=431&amp;col=7&amp;number=0.191&amp;sourceID=14","0.191")</f>
        <v>0.191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HYPERLINK("http://141.218.60.56/~jnz1568/getInfo.php?workbook=18_15.xlsx&amp;sheet=U0&amp;row=432&amp;col=6&amp;number=3.8&amp;sourceID=14","3.8")</f>
        <v>3.8</v>
      </c>
      <c r="G432" s="4" t="str">
        <f>HYPERLINK("http://141.218.60.56/~jnz1568/getInfo.php?workbook=18_15.xlsx&amp;sheet=U0&amp;row=432&amp;col=7&amp;number=0.218&amp;sourceID=14","0.218")</f>
        <v>0.218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HYPERLINK("http://141.218.60.56/~jnz1568/getInfo.php?workbook=18_15.xlsx&amp;sheet=U0&amp;row=433&amp;col=6&amp;number=3.9&amp;sourceID=14","3.9")</f>
        <v>3.9</v>
      </c>
      <c r="G433" s="4" t="str">
        <f>HYPERLINK("http://141.218.60.56/~jnz1568/getInfo.php?workbook=18_15.xlsx&amp;sheet=U0&amp;row=433&amp;col=7&amp;number=0.245&amp;sourceID=14","0.245")</f>
        <v>0.245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HYPERLINK("http://141.218.60.56/~jnz1568/getInfo.php?workbook=18_15.xlsx&amp;sheet=U0&amp;row=434&amp;col=6&amp;number=4&amp;sourceID=14","4")</f>
        <v>4</v>
      </c>
      <c r="G434" s="4" t="str">
        <f>HYPERLINK("http://141.218.60.56/~jnz1568/getInfo.php?workbook=18_15.xlsx&amp;sheet=U0&amp;row=434&amp;col=7&amp;number=0.266&amp;sourceID=14","0.266")</f>
        <v>0.266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HYPERLINK("http://141.218.60.56/~jnz1568/getInfo.php?workbook=18_15.xlsx&amp;sheet=U0&amp;row=435&amp;col=6&amp;number=4.1&amp;sourceID=14","4.1")</f>
        <v>4.1</v>
      </c>
      <c r="G435" s="4" t="str">
        <f>HYPERLINK("http://141.218.60.56/~jnz1568/getInfo.php?workbook=18_15.xlsx&amp;sheet=U0&amp;row=435&amp;col=7&amp;number=0.278&amp;sourceID=14","0.278")</f>
        <v>0.278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HYPERLINK("http://141.218.60.56/~jnz1568/getInfo.php?workbook=18_15.xlsx&amp;sheet=U0&amp;row=436&amp;col=6&amp;number=4.2&amp;sourceID=14","4.2")</f>
        <v>4.2</v>
      </c>
      <c r="G436" s="4" t="str">
        <f>HYPERLINK("http://141.218.60.56/~jnz1568/getInfo.php?workbook=18_15.xlsx&amp;sheet=U0&amp;row=436&amp;col=7&amp;number=0.278&amp;sourceID=14","0.278")</f>
        <v>0.278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HYPERLINK("http://141.218.60.56/~jnz1568/getInfo.php?workbook=18_15.xlsx&amp;sheet=U0&amp;row=437&amp;col=6&amp;number=4.3&amp;sourceID=14","4.3")</f>
        <v>4.3</v>
      </c>
      <c r="G437" s="4" t="str">
        <f>HYPERLINK("http://141.218.60.56/~jnz1568/getInfo.php?workbook=18_15.xlsx&amp;sheet=U0&amp;row=437&amp;col=7&amp;number=0.27&amp;sourceID=14","0.27")</f>
        <v>0.27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HYPERLINK("http://141.218.60.56/~jnz1568/getInfo.php?workbook=18_15.xlsx&amp;sheet=U0&amp;row=438&amp;col=6&amp;number=4.4&amp;sourceID=14","4.4")</f>
        <v>4.4</v>
      </c>
      <c r="G438" s="4" t="str">
        <f>HYPERLINK("http://141.218.60.56/~jnz1568/getInfo.php?workbook=18_15.xlsx&amp;sheet=U0&amp;row=438&amp;col=7&amp;number=0.258&amp;sourceID=14","0.258")</f>
        <v>0.258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HYPERLINK("http://141.218.60.56/~jnz1568/getInfo.php?workbook=18_15.xlsx&amp;sheet=U0&amp;row=439&amp;col=6&amp;number=4.5&amp;sourceID=14","4.5")</f>
        <v>4.5</v>
      </c>
      <c r="G439" s="4" t="str">
        <f>HYPERLINK("http://141.218.60.56/~jnz1568/getInfo.php?workbook=18_15.xlsx&amp;sheet=U0&amp;row=439&amp;col=7&amp;number=0.246&amp;sourceID=14","0.246")</f>
        <v>0.246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HYPERLINK("http://141.218.60.56/~jnz1568/getInfo.php?workbook=18_15.xlsx&amp;sheet=U0&amp;row=440&amp;col=6&amp;number=4.6&amp;sourceID=14","4.6")</f>
        <v>4.6</v>
      </c>
      <c r="G440" s="4" t="str">
        <f>HYPERLINK("http://141.218.60.56/~jnz1568/getInfo.php?workbook=18_15.xlsx&amp;sheet=U0&amp;row=440&amp;col=7&amp;number=0.231&amp;sourceID=14","0.231")</f>
        <v>0.231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HYPERLINK("http://141.218.60.56/~jnz1568/getInfo.php?workbook=18_15.xlsx&amp;sheet=U0&amp;row=441&amp;col=6&amp;number=4.7&amp;sourceID=14","4.7")</f>
        <v>4.7</v>
      </c>
      <c r="G441" s="4" t="str">
        <f>HYPERLINK("http://141.218.60.56/~jnz1568/getInfo.php?workbook=18_15.xlsx&amp;sheet=U0&amp;row=441&amp;col=7&amp;number=0.212&amp;sourceID=14","0.212")</f>
        <v>0.212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HYPERLINK("http://141.218.60.56/~jnz1568/getInfo.php?workbook=18_15.xlsx&amp;sheet=U0&amp;row=442&amp;col=6&amp;number=4.8&amp;sourceID=14","4.8")</f>
        <v>4.8</v>
      </c>
      <c r="G442" s="4" t="str">
        <f>HYPERLINK("http://141.218.60.56/~jnz1568/getInfo.php?workbook=18_15.xlsx&amp;sheet=U0&amp;row=442&amp;col=7&amp;number=0.194&amp;sourceID=14","0.194")</f>
        <v>0.194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HYPERLINK("http://141.218.60.56/~jnz1568/getInfo.php?workbook=18_15.xlsx&amp;sheet=U0&amp;row=443&amp;col=6&amp;number=4.9&amp;sourceID=14","4.9")</f>
        <v>4.9</v>
      </c>
      <c r="G443" s="4" t="str">
        <f>HYPERLINK("http://141.218.60.56/~jnz1568/getInfo.php?workbook=18_15.xlsx&amp;sheet=U0&amp;row=443&amp;col=7&amp;number=0.177&amp;sourceID=14","0.177")</f>
        <v>0.177</v>
      </c>
    </row>
    <row r="444" spans="1:7">
      <c r="A444" s="3">
        <v>18</v>
      </c>
      <c r="B444" s="3">
        <v>15</v>
      </c>
      <c r="C444" s="3">
        <v>1</v>
      </c>
      <c r="D444" s="3">
        <v>25</v>
      </c>
      <c r="E444" s="3">
        <v>1</v>
      </c>
      <c r="F444" s="4" t="str">
        <f>HYPERLINK("http://141.218.60.56/~jnz1568/getInfo.php?workbook=18_15.xlsx&amp;sheet=U0&amp;row=444&amp;col=6&amp;number=3&amp;sourceID=14","3")</f>
        <v>3</v>
      </c>
      <c r="G444" s="4" t="str">
        <f>HYPERLINK("http://141.218.60.56/~jnz1568/getInfo.php?workbook=18_15.xlsx&amp;sheet=U0&amp;row=444&amp;col=7&amp;number=0.0979&amp;sourceID=14","0.0979")</f>
        <v>0.0979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HYPERLINK("http://141.218.60.56/~jnz1568/getInfo.php?workbook=18_15.xlsx&amp;sheet=U0&amp;row=445&amp;col=6&amp;number=3.1&amp;sourceID=14","3.1")</f>
        <v>3.1</v>
      </c>
      <c r="G445" s="4" t="str">
        <f>HYPERLINK("http://141.218.60.56/~jnz1568/getInfo.php?workbook=18_15.xlsx&amp;sheet=U0&amp;row=445&amp;col=7&amp;number=0.108&amp;sourceID=14","0.108")</f>
        <v>0.108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HYPERLINK("http://141.218.60.56/~jnz1568/getInfo.php?workbook=18_15.xlsx&amp;sheet=U0&amp;row=446&amp;col=6&amp;number=3.2&amp;sourceID=14","3.2")</f>
        <v>3.2</v>
      </c>
      <c r="G446" s="4" t="str">
        <f>HYPERLINK("http://141.218.60.56/~jnz1568/getInfo.php?workbook=18_15.xlsx&amp;sheet=U0&amp;row=446&amp;col=7&amp;number=0.121&amp;sourceID=14","0.121")</f>
        <v>0.121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HYPERLINK("http://141.218.60.56/~jnz1568/getInfo.php?workbook=18_15.xlsx&amp;sheet=U0&amp;row=447&amp;col=6&amp;number=3.3&amp;sourceID=14","3.3")</f>
        <v>3.3</v>
      </c>
      <c r="G447" s="4" t="str">
        <f>HYPERLINK("http://141.218.60.56/~jnz1568/getInfo.php?workbook=18_15.xlsx&amp;sheet=U0&amp;row=447&amp;col=7&amp;number=0.137&amp;sourceID=14","0.137")</f>
        <v>0.137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HYPERLINK("http://141.218.60.56/~jnz1568/getInfo.php?workbook=18_15.xlsx&amp;sheet=U0&amp;row=448&amp;col=6&amp;number=3.4&amp;sourceID=14","3.4")</f>
        <v>3.4</v>
      </c>
      <c r="G448" s="4" t="str">
        <f>HYPERLINK("http://141.218.60.56/~jnz1568/getInfo.php?workbook=18_15.xlsx&amp;sheet=U0&amp;row=448&amp;col=7&amp;number=0.156&amp;sourceID=14","0.156")</f>
        <v>0.156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HYPERLINK("http://141.218.60.56/~jnz1568/getInfo.php?workbook=18_15.xlsx&amp;sheet=U0&amp;row=449&amp;col=6&amp;number=3.5&amp;sourceID=14","3.5")</f>
        <v>3.5</v>
      </c>
      <c r="G449" s="4" t="str">
        <f>HYPERLINK("http://141.218.60.56/~jnz1568/getInfo.php?workbook=18_15.xlsx&amp;sheet=U0&amp;row=449&amp;col=7&amp;number=0.18&amp;sourceID=14","0.18")</f>
        <v>0.18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HYPERLINK("http://141.218.60.56/~jnz1568/getInfo.php?workbook=18_15.xlsx&amp;sheet=U0&amp;row=450&amp;col=6&amp;number=3.6&amp;sourceID=14","3.6")</f>
        <v>3.6</v>
      </c>
      <c r="G450" s="4" t="str">
        <f>HYPERLINK("http://141.218.60.56/~jnz1568/getInfo.php?workbook=18_15.xlsx&amp;sheet=U0&amp;row=450&amp;col=7&amp;number=0.207&amp;sourceID=14","0.207")</f>
        <v>0.207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HYPERLINK("http://141.218.60.56/~jnz1568/getInfo.php?workbook=18_15.xlsx&amp;sheet=U0&amp;row=451&amp;col=6&amp;number=3.7&amp;sourceID=14","3.7")</f>
        <v>3.7</v>
      </c>
      <c r="G451" s="4" t="str">
        <f>HYPERLINK("http://141.218.60.56/~jnz1568/getInfo.php?workbook=18_15.xlsx&amp;sheet=U0&amp;row=451&amp;col=7&amp;number=0.238&amp;sourceID=14","0.238")</f>
        <v>0.238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HYPERLINK("http://141.218.60.56/~jnz1568/getInfo.php?workbook=18_15.xlsx&amp;sheet=U0&amp;row=452&amp;col=6&amp;number=3.8&amp;sourceID=14","3.8")</f>
        <v>3.8</v>
      </c>
      <c r="G452" s="4" t="str">
        <f>HYPERLINK("http://141.218.60.56/~jnz1568/getInfo.php?workbook=18_15.xlsx&amp;sheet=U0&amp;row=452&amp;col=7&amp;number=0.272&amp;sourceID=14","0.272")</f>
        <v>0.272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HYPERLINK("http://141.218.60.56/~jnz1568/getInfo.php?workbook=18_15.xlsx&amp;sheet=U0&amp;row=453&amp;col=6&amp;number=3.9&amp;sourceID=14","3.9")</f>
        <v>3.9</v>
      </c>
      <c r="G453" s="4" t="str">
        <f>HYPERLINK("http://141.218.60.56/~jnz1568/getInfo.php?workbook=18_15.xlsx&amp;sheet=U0&amp;row=453&amp;col=7&amp;number=0.306&amp;sourceID=14","0.306")</f>
        <v>0.306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HYPERLINK("http://141.218.60.56/~jnz1568/getInfo.php?workbook=18_15.xlsx&amp;sheet=U0&amp;row=454&amp;col=6&amp;number=4&amp;sourceID=14","4")</f>
        <v>4</v>
      </c>
      <c r="G454" s="4" t="str">
        <f>HYPERLINK("http://141.218.60.56/~jnz1568/getInfo.php?workbook=18_15.xlsx&amp;sheet=U0&amp;row=454&amp;col=7&amp;number=0.333&amp;sourceID=14","0.333")</f>
        <v>0.333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HYPERLINK("http://141.218.60.56/~jnz1568/getInfo.php?workbook=18_15.xlsx&amp;sheet=U0&amp;row=455&amp;col=6&amp;number=4.1&amp;sourceID=14","4.1")</f>
        <v>4.1</v>
      </c>
      <c r="G455" s="4" t="str">
        <f>HYPERLINK("http://141.218.60.56/~jnz1568/getInfo.php?workbook=18_15.xlsx&amp;sheet=U0&amp;row=455&amp;col=7&amp;number=0.348&amp;sourceID=14","0.348")</f>
        <v>0.348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HYPERLINK("http://141.218.60.56/~jnz1568/getInfo.php?workbook=18_15.xlsx&amp;sheet=U0&amp;row=456&amp;col=6&amp;number=4.2&amp;sourceID=14","4.2")</f>
        <v>4.2</v>
      </c>
      <c r="G456" s="4" t="str">
        <f>HYPERLINK("http://141.218.60.56/~jnz1568/getInfo.php?workbook=18_15.xlsx&amp;sheet=U0&amp;row=456&amp;col=7&amp;number=0.348&amp;sourceID=14","0.348")</f>
        <v>0.348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HYPERLINK("http://141.218.60.56/~jnz1568/getInfo.php?workbook=18_15.xlsx&amp;sheet=U0&amp;row=457&amp;col=6&amp;number=4.3&amp;sourceID=14","4.3")</f>
        <v>4.3</v>
      </c>
      <c r="G457" s="4" t="str">
        <f>HYPERLINK("http://141.218.60.56/~jnz1568/getInfo.php?workbook=18_15.xlsx&amp;sheet=U0&amp;row=457&amp;col=7&amp;number=0.337&amp;sourceID=14","0.337")</f>
        <v>0.337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HYPERLINK("http://141.218.60.56/~jnz1568/getInfo.php?workbook=18_15.xlsx&amp;sheet=U0&amp;row=458&amp;col=6&amp;number=4.4&amp;sourceID=14","4.4")</f>
        <v>4.4</v>
      </c>
      <c r="G458" s="4" t="str">
        <f>HYPERLINK("http://141.218.60.56/~jnz1568/getInfo.php?workbook=18_15.xlsx&amp;sheet=U0&amp;row=458&amp;col=7&amp;number=0.323&amp;sourceID=14","0.323")</f>
        <v>0.323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HYPERLINK("http://141.218.60.56/~jnz1568/getInfo.php?workbook=18_15.xlsx&amp;sheet=U0&amp;row=459&amp;col=6&amp;number=4.5&amp;sourceID=14","4.5")</f>
        <v>4.5</v>
      </c>
      <c r="G459" s="4" t="str">
        <f>HYPERLINK("http://141.218.60.56/~jnz1568/getInfo.php?workbook=18_15.xlsx&amp;sheet=U0&amp;row=459&amp;col=7&amp;number=0.307&amp;sourceID=14","0.307")</f>
        <v>0.307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HYPERLINK("http://141.218.60.56/~jnz1568/getInfo.php?workbook=18_15.xlsx&amp;sheet=U0&amp;row=460&amp;col=6&amp;number=4.6&amp;sourceID=14","4.6")</f>
        <v>4.6</v>
      </c>
      <c r="G460" s="4" t="str">
        <f>HYPERLINK("http://141.218.60.56/~jnz1568/getInfo.php?workbook=18_15.xlsx&amp;sheet=U0&amp;row=460&amp;col=7&amp;number=0.288&amp;sourceID=14","0.288")</f>
        <v>0.288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HYPERLINK("http://141.218.60.56/~jnz1568/getInfo.php?workbook=18_15.xlsx&amp;sheet=U0&amp;row=461&amp;col=6&amp;number=4.7&amp;sourceID=14","4.7")</f>
        <v>4.7</v>
      </c>
      <c r="G461" s="4" t="str">
        <f>HYPERLINK("http://141.218.60.56/~jnz1568/getInfo.php?workbook=18_15.xlsx&amp;sheet=U0&amp;row=461&amp;col=7&amp;number=0.265&amp;sourceID=14","0.265")</f>
        <v>0.265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HYPERLINK("http://141.218.60.56/~jnz1568/getInfo.php?workbook=18_15.xlsx&amp;sheet=U0&amp;row=462&amp;col=6&amp;number=4.8&amp;sourceID=14","4.8")</f>
        <v>4.8</v>
      </c>
      <c r="G462" s="4" t="str">
        <f>HYPERLINK("http://141.218.60.56/~jnz1568/getInfo.php?workbook=18_15.xlsx&amp;sheet=U0&amp;row=462&amp;col=7&amp;number=0.241&amp;sourceID=14","0.241")</f>
        <v>0.241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HYPERLINK("http://141.218.60.56/~jnz1568/getInfo.php?workbook=18_15.xlsx&amp;sheet=U0&amp;row=463&amp;col=6&amp;number=4.9&amp;sourceID=14","4.9")</f>
        <v>4.9</v>
      </c>
      <c r="G463" s="4" t="str">
        <f>HYPERLINK("http://141.218.60.56/~jnz1568/getInfo.php?workbook=18_15.xlsx&amp;sheet=U0&amp;row=463&amp;col=7&amp;number=0.22&amp;sourceID=14","0.22")</f>
        <v>0.22</v>
      </c>
    </row>
    <row r="464" spans="1:7">
      <c r="A464" s="3">
        <v>18</v>
      </c>
      <c r="B464" s="3">
        <v>15</v>
      </c>
      <c r="C464" s="3">
        <v>1</v>
      </c>
      <c r="D464" s="3">
        <v>26</v>
      </c>
      <c r="E464" s="3">
        <v>1</v>
      </c>
      <c r="F464" s="4" t="str">
        <f>HYPERLINK("http://141.218.60.56/~jnz1568/getInfo.php?workbook=18_15.xlsx&amp;sheet=U0&amp;row=464&amp;col=6&amp;number=3&amp;sourceID=14","3")</f>
        <v>3</v>
      </c>
      <c r="G464" s="4" t="str">
        <f>HYPERLINK("http://141.218.60.56/~jnz1568/getInfo.php?workbook=18_15.xlsx&amp;sheet=U0&amp;row=464&amp;col=7&amp;number=2.38&amp;sourceID=14","2.38")</f>
        <v>2.38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HYPERLINK("http://141.218.60.56/~jnz1568/getInfo.php?workbook=18_15.xlsx&amp;sheet=U0&amp;row=465&amp;col=6&amp;number=3.1&amp;sourceID=14","3.1")</f>
        <v>3.1</v>
      </c>
      <c r="G465" s="4" t="str">
        <f>HYPERLINK("http://141.218.60.56/~jnz1568/getInfo.php?workbook=18_15.xlsx&amp;sheet=U0&amp;row=465&amp;col=7&amp;number=2.37&amp;sourceID=14","2.37")</f>
        <v>2.37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HYPERLINK("http://141.218.60.56/~jnz1568/getInfo.php?workbook=18_15.xlsx&amp;sheet=U0&amp;row=466&amp;col=6&amp;number=3.2&amp;sourceID=14","3.2")</f>
        <v>3.2</v>
      </c>
      <c r="G466" s="4" t="str">
        <f>HYPERLINK("http://141.218.60.56/~jnz1568/getInfo.php?workbook=18_15.xlsx&amp;sheet=U0&amp;row=466&amp;col=7&amp;number=2.36&amp;sourceID=14","2.36")</f>
        <v>2.36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HYPERLINK("http://141.218.60.56/~jnz1568/getInfo.php?workbook=18_15.xlsx&amp;sheet=U0&amp;row=467&amp;col=6&amp;number=3.3&amp;sourceID=14","3.3")</f>
        <v>3.3</v>
      </c>
      <c r="G467" s="4" t="str">
        <f>HYPERLINK("http://141.218.60.56/~jnz1568/getInfo.php?workbook=18_15.xlsx&amp;sheet=U0&amp;row=467&amp;col=7&amp;number=2.34&amp;sourceID=14","2.34")</f>
        <v>2.34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HYPERLINK("http://141.218.60.56/~jnz1568/getInfo.php?workbook=18_15.xlsx&amp;sheet=U0&amp;row=468&amp;col=6&amp;number=3.4&amp;sourceID=14","3.4")</f>
        <v>3.4</v>
      </c>
      <c r="G468" s="4" t="str">
        <f>HYPERLINK("http://141.218.60.56/~jnz1568/getInfo.php?workbook=18_15.xlsx&amp;sheet=U0&amp;row=468&amp;col=7&amp;number=2.33&amp;sourceID=14","2.33")</f>
        <v>2.33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HYPERLINK("http://141.218.60.56/~jnz1568/getInfo.php?workbook=18_15.xlsx&amp;sheet=U0&amp;row=469&amp;col=6&amp;number=3.5&amp;sourceID=14","3.5")</f>
        <v>3.5</v>
      </c>
      <c r="G469" s="4" t="str">
        <f>HYPERLINK("http://141.218.60.56/~jnz1568/getInfo.php?workbook=18_15.xlsx&amp;sheet=U0&amp;row=469&amp;col=7&amp;number=2.31&amp;sourceID=14","2.31")</f>
        <v>2.31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HYPERLINK("http://141.218.60.56/~jnz1568/getInfo.php?workbook=18_15.xlsx&amp;sheet=U0&amp;row=470&amp;col=6&amp;number=3.6&amp;sourceID=14","3.6")</f>
        <v>3.6</v>
      </c>
      <c r="G470" s="4" t="str">
        <f>HYPERLINK("http://141.218.60.56/~jnz1568/getInfo.php?workbook=18_15.xlsx&amp;sheet=U0&amp;row=470&amp;col=7&amp;number=2.28&amp;sourceID=14","2.28")</f>
        <v>2.28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HYPERLINK("http://141.218.60.56/~jnz1568/getInfo.php?workbook=18_15.xlsx&amp;sheet=U0&amp;row=471&amp;col=6&amp;number=3.7&amp;sourceID=14","3.7")</f>
        <v>3.7</v>
      </c>
      <c r="G471" s="4" t="str">
        <f>HYPERLINK("http://141.218.60.56/~jnz1568/getInfo.php?workbook=18_15.xlsx&amp;sheet=U0&amp;row=471&amp;col=7&amp;number=2.26&amp;sourceID=14","2.26")</f>
        <v>2.26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HYPERLINK("http://141.218.60.56/~jnz1568/getInfo.php?workbook=18_15.xlsx&amp;sheet=U0&amp;row=472&amp;col=6&amp;number=3.8&amp;sourceID=14","3.8")</f>
        <v>3.8</v>
      </c>
      <c r="G472" s="4" t="str">
        <f>HYPERLINK("http://141.218.60.56/~jnz1568/getInfo.php?workbook=18_15.xlsx&amp;sheet=U0&amp;row=472&amp;col=7&amp;number=2.23&amp;sourceID=14","2.23")</f>
        <v>2.23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HYPERLINK("http://141.218.60.56/~jnz1568/getInfo.php?workbook=18_15.xlsx&amp;sheet=U0&amp;row=473&amp;col=6&amp;number=3.9&amp;sourceID=14","3.9")</f>
        <v>3.9</v>
      </c>
      <c r="G473" s="4" t="str">
        <f>HYPERLINK("http://141.218.60.56/~jnz1568/getInfo.php?workbook=18_15.xlsx&amp;sheet=U0&amp;row=473&amp;col=7&amp;number=2.2&amp;sourceID=14","2.2")</f>
        <v>2.2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HYPERLINK("http://141.218.60.56/~jnz1568/getInfo.php?workbook=18_15.xlsx&amp;sheet=U0&amp;row=474&amp;col=6&amp;number=4&amp;sourceID=14","4")</f>
        <v>4</v>
      </c>
      <c r="G474" s="4" t="str">
        <f>HYPERLINK("http://141.218.60.56/~jnz1568/getInfo.php?workbook=18_15.xlsx&amp;sheet=U0&amp;row=474&amp;col=7&amp;number=2.17&amp;sourceID=14","2.17")</f>
        <v>2.17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HYPERLINK("http://141.218.60.56/~jnz1568/getInfo.php?workbook=18_15.xlsx&amp;sheet=U0&amp;row=475&amp;col=6&amp;number=4.1&amp;sourceID=14","4.1")</f>
        <v>4.1</v>
      </c>
      <c r="G475" s="4" t="str">
        <f>HYPERLINK("http://141.218.60.56/~jnz1568/getInfo.php?workbook=18_15.xlsx&amp;sheet=U0&amp;row=475&amp;col=7&amp;number=2.16&amp;sourceID=14","2.16")</f>
        <v>2.16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HYPERLINK("http://141.218.60.56/~jnz1568/getInfo.php?workbook=18_15.xlsx&amp;sheet=U0&amp;row=476&amp;col=6&amp;number=4.2&amp;sourceID=14","4.2")</f>
        <v>4.2</v>
      </c>
      <c r="G476" s="4" t="str">
        <f>HYPERLINK("http://141.218.60.56/~jnz1568/getInfo.php?workbook=18_15.xlsx&amp;sheet=U0&amp;row=476&amp;col=7&amp;number=2.16&amp;sourceID=14","2.16")</f>
        <v>2.16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HYPERLINK("http://141.218.60.56/~jnz1568/getInfo.php?workbook=18_15.xlsx&amp;sheet=U0&amp;row=477&amp;col=6&amp;number=4.3&amp;sourceID=14","4.3")</f>
        <v>4.3</v>
      </c>
      <c r="G477" s="4" t="str">
        <f>HYPERLINK("http://141.218.60.56/~jnz1568/getInfo.php?workbook=18_15.xlsx&amp;sheet=U0&amp;row=477&amp;col=7&amp;number=2.17&amp;sourceID=14","2.17")</f>
        <v>2.17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HYPERLINK("http://141.218.60.56/~jnz1568/getInfo.php?workbook=18_15.xlsx&amp;sheet=U0&amp;row=478&amp;col=6&amp;number=4.4&amp;sourceID=14","4.4")</f>
        <v>4.4</v>
      </c>
      <c r="G478" s="4" t="str">
        <f>HYPERLINK("http://141.218.60.56/~jnz1568/getInfo.php?workbook=18_15.xlsx&amp;sheet=U0&amp;row=478&amp;col=7&amp;number=2.2&amp;sourceID=14","2.2")</f>
        <v>2.2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HYPERLINK("http://141.218.60.56/~jnz1568/getInfo.php?workbook=18_15.xlsx&amp;sheet=U0&amp;row=479&amp;col=6&amp;number=4.5&amp;sourceID=14","4.5")</f>
        <v>4.5</v>
      </c>
      <c r="G479" s="4" t="str">
        <f>HYPERLINK("http://141.218.60.56/~jnz1568/getInfo.php?workbook=18_15.xlsx&amp;sheet=U0&amp;row=479&amp;col=7&amp;number=2.23&amp;sourceID=14","2.23")</f>
        <v>2.23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HYPERLINK("http://141.218.60.56/~jnz1568/getInfo.php?workbook=18_15.xlsx&amp;sheet=U0&amp;row=480&amp;col=6&amp;number=4.6&amp;sourceID=14","4.6")</f>
        <v>4.6</v>
      </c>
      <c r="G480" s="4" t="str">
        <f>HYPERLINK("http://141.218.60.56/~jnz1568/getInfo.php?workbook=18_15.xlsx&amp;sheet=U0&amp;row=480&amp;col=7&amp;number=2.29&amp;sourceID=14","2.29")</f>
        <v>2.29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HYPERLINK("http://141.218.60.56/~jnz1568/getInfo.php?workbook=18_15.xlsx&amp;sheet=U0&amp;row=481&amp;col=6&amp;number=4.7&amp;sourceID=14","4.7")</f>
        <v>4.7</v>
      </c>
      <c r="G481" s="4" t="str">
        <f>HYPERLINK("http://141.218.60.56/~jnz1568/getInfo.php?workbook=18_15.xlsx&amp;sheet=U0&amp;row=481&amp;col=7&amp;number=2.37&amp;sourceID=14","2.37")</f>
        <v>2.37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HYPERLINK("http://141.218.60.56/~jnz1568/getInfo.php?workbook=18_15.xlsx&amp;sheet=U0&amp;row=482&amp;col=6&amp;number=4.8&amp;sourceID=14","4.8")</f>
        <v>4.8</v>
      </c>
      <c r="G482" s="4" t="str">
        <f>HYPERLINK("http://141.218.60.56/~jnz1568/getInfo.php?workbook=18_15.xlsx&amp;sheet=U0&amp;row=482&amp;col=7&amp;number=2.47&amp;sourceID=14","2.47")</f>
        <v>2.47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HYPERLINK("http://141.218.60.56/~jnz1568/getInfo.php?workbook=18_15.xlsx&amp;sheet=U0&amp;row=483&amp;col=6&amp;number=4.9&amp;sourceID=14","4.9")</f>
        <v>4.9</v>
      </c>
      <c r="G483" s="4" t="str">
        <f>HYPERLINK("http://141.218.60.56/~jnz1568/getInfo.php?workbook=18_15.xlsx&amp;sheet=U0&amp;row=483&amp;col=7&amp;number=2.57&amp;sourceID=14","2.57")</f>
        <v>2.57</v>
      </c>
    </row>
    <row r="484" spans="1:7">
      <c r="A484" s="3">
        <v>18</v>
      </c>
      <c r="B484" s="3">
        <v>15</v>
      </c>
      <c r="C484" s="3">
        <v>1</v>
      </c>
      <c r="D484" s="3">
        <v>27</v>
      </c>
      <c r="E484" s="3">
        <v>1</v>
      </c>
      <c r="F484" s="4" t="str">
        <f>HYPERLINK("http://141.218.60.56/~jnz1568/getInfo.php?workbook=18_15.xlsx&amp;sheet=U0&amp;row=484&amp;col=6&amp;number=3&amp;sourceID=14","3")</f>
        <v>3</v>
      </c>
      <c r="G484" s="4" t="str">
        <f>HYPERLINK("http://141.218.60.56/~jnz1568/getInfo.php?workbook=18_15.xlsx&amp;sheet=U0&amp;row=484&amp;col=7&amp;number=4.76&amp;sourceID=14","4.76")</f>
        <v>4.76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HYPERLINK("http://141.218.60.56/~jnz1568/getInfo.php?workbook=18_15.xlsx&amp;sheet=U0&amp;row=485&amp;col=6&amp;number=3.1&amp;sourceID=14","3.1")</f>
        <v>3.1</v>
      </c>
      <c r="G485" s="4" t="str">
        <f>HYPERLINK("http://141.218.60.56/~jnz1568/getInfo.php?workbook=18_15.xlsx&amp;sheet=U0&amp;row=485&amp;col=7&amp;number=4.74&amp;sourceID=14","4.74")</f>
        <v>4.74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HYPERLINK("http://141.218.60.56/~jnz1568/getInfo.php?workbook=18_15.xlsx&amp;sheet=U0&amp;row=486&amp;col=6&amp;number=3.2&amp;sourceID=14","3.2")</f>
        <v>3.2</v>
      </c>
      <c r="G486" s="4" t="str">
        <f>HYPERLINK("http://141.218.60.56/~jnz1568/getInfo.php?workbook=18_15.xlsx&amp;sheet=U0&amp;row=486&amp;col=7&amp;number=4.71&amp;sourceID=14","4.71")</f>
        <v>4.71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HYPERLINK("http://141.218.60.56/~jnz1568/getInfo.php?workbook=18_15.xlsx&amp;sheet=U0&amp;row=487&amp;col=6&amp;number=3.3&amp;sourceID=14","3.3")</f>
        <v>3.3</v>
      </c>
      <c r="G487" s="4" t="str">
        <f>HYPERLINK("http://141.218.60.56/~jnz1568/getInfo.php?workbook=18_15.xlsx&amp;sheet=U0&amp;row=487&amp;col=7&amp;number=4.69&amp;sourceID=14","4.69")</f>
        <v>4.69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HYPERLINK("http://141.218.60.56/~jnz1568/getInfo.php?workbook=18_15.xlsx&amp;sheet=U0&amp;row=488&amp;col=6&amp;number=3.4&amp;sourceID=14","3.4")</f>
        <v>3.4</v>
      </c>
      <c r="G488" s="4" t="str">
        <f>HYPERLINK("http://141.218.60.56/~jnz1568/getInfo.php?workbook=18_15.xlsx&amp;sheet=U0&amp;row=488&amp;col=7&amp;number=4.65&amp;sourceID=14","4.65")</f>
        <v>4.65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HYPERLINK("http://141.218.60.56/~jnz1568/getInfo.php?workbook=18_15.xlsx&amp;sheet=U0&amp;row=489&amp;col=6&amp;number=3.5&amp;sourceID=14","3.5")</f>
        <v>3.5</v>
      </c>
      <c r="G489" s="4" t="str">
        <f>HYPERLINK("http://141.218.60.56/~jnz1568/getInfo.php?workbook=18_15.xlsx&amp;sheet=U0&amp;row=489&amp;col=7&amp;number=4.61&amp;sourceID=14","4.61")</f>
        <v>4.61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HYPERLINK("http://141.218.60.56/~jnz1568/getInfo.php?workbook=18_15.xlsx&amp;sheet=U0&amp;row=490&amp;col=6&amp;number=3.6&amp;sourceID=14","3.6")</f>
        <v>3.6</v>
      </c>
      <c r="G490" s="4" t="str">
        <f>HYPERLINK("http://141.218.60.56/~jnz1568/getInfo.php?workbook=18_15.xlsx&amp;sheet=U0&amp;row=490&amp;col=7&amp;number=4.57&amp;sourceID=14","4.57")</f>
        <v>4.57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HYPERLINK("http://141.218.60.56/~jnz1568/getInfo.php?workbook=18_15.xlsx&amp;sheet=U0&amp;row=491&amp;col=6&amp;number=3.7&amp;sourceID=14","3.7")</f>
        <v>3.7</v>
      </c>
      <c r="G491" s="4" t="str">
        <f>HYPERLINK("http://141.218.60.56/~jnz1568/getInfo.php?workbook=18_15.xlsx&amp;sheet=U0&amp;row=491&amp;col=7&amp;number=4.51&amp;sourceID=14","4.51")</f>
        <v>4.51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HYPERLINK("http://141.218.60.56/~jnz1568/getInfo.php?workbook=18_15.xlsx&amp;sheet=U0&amp;row=492&amp;col=6&amp;number=3.8&amp;sourceID=14","3.8")</f>
        <v>3.8</v>
      </c>
      <c r="G492" s="4" t="str">
        <f>HYPERLINK("http://141.218.60.56/~jnz1568/getInfo.php?workbook=18_15.xlsx&amp;sheet=U0&amp;row=492&amp;col=7&amp;number=4.46&amp;sourceID=14","4.46")</f>
        <v>4.46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HYPERLINK("http://141.218.60.56/~jnz1568/getInfo.php?workbook=18_15.xlsx&amp;sheet=U0&amp;row=493&amp;col=6&amp;number=3.9&amp;sourceID=14","3.9")</f>
        <v>3.9</v>
      </c>
      <c r="G493" s="4" t="str">
        <f>HYPERLINK("http://141.218.60.56/~jnz1568/getInfo.php?workbook=18_15.xlsx&amp;sheet=U0&amp;row=493&amp;col=7&amp;number=4.4&amp;sourceID=14","4.4")</f>
        <v>4.4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HYPERLINK("http://141.218.60.56/~jnz1568/getInfo.php?workbook=18_15.xlsx&amp;sheet=U0&amp;row=494&amp;col=6&amp;number=4&amp;sourceID=14","4")</f>
        <v>4</v>
      </c>
      <c r="G494" s="4" t="str">
        <f>HYPERLINK("http://141.218.60.56/~jnz1568/getInfo.php?workbook=18_15.xlsx&amp;sheet=U0&amp;row=494&amp;col=7&amp;number=4.35&amp;sourceID=14","4.35")</f>
        <v>4.35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HYPERLINK("http://141.218.60.56/~jnz1568/getInfo.php?workbook=18_15.xlsx&amp;sheet=U0&amp;row=495&amp;col=6&amp;number=4.1&amp;sourceID=14","4.1")</f>
        <v>4.1</v>
      </c>
      <c r="G495" s="4" t="str">
        <f>HYPERLINK("http://141.218.60.56/~jnz1568/getInfo.php?workbook=18_15.xlsx&amp;sheet=U0&amp;row=495&amp;col=7&amp;number=4.32&amp;sourceID=14","4.32")</f>
        <v>4.32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HYPERLINK("http://141.218.60.56/~jnz1568/getInfo.php?workbook=18_15.xlsx&amp;sheet=U0&amp;row=496&amp;col=6&amp;number=4.2&amp;sourceID=14","4.2")</f>
        <v>4.2</v>
      </c>
      <c r="G496" s="4" t="str">
        <f>HYPERLINK("http://141.218.60.56/~jnz1568/getInfo.php?workbook=18_15.xlsx&amp;sheet=U0&amp;row=496&amp;col=7&amp;number=4.32&amp;sourceID=14","4.32")</f>
        <v>4.32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HYPERLINK("http://141.218.60.56/~jnz1568/getInfo.php?workbook=18_15.xlsx&amp;sheet=U0&amp;row=497&amp;col=6&amp;number=4.3&amp;sourceID=14","4.3")</f>
        <v>4.3</v>
      </c>
      <c r="G497" s="4" t="str">
        <f>HYPERLINK("http://141.218.60.56/~jnz1568/getInfo.php?workbook=18_15.xlsx&amp;sheet=U0&amp;row=497&amp;col=7&amp;number=4.34&amp;sourceID=14","4.34")</f>
        <v>4.34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HYPERLINK("http://141.218.60.56/~jnz1568/getInfo.php?workbook=18_15.xlsx&amp;sheet=U0&amp;row=498&amp;col=6&amp;number=4.4&amp;sourceID=14","4.4")</f>
        <v>4.4</v>
      </c>
      <c r="G498" s="4" t="str">
        <f>HYPERLINK("http://141.218.60.56/~jnz1568/getInfo.php?workbook=18_15.xlsx&amp;sheet=U0&amp;row=498&amp;col=7&amp;number=4.39&amp;sourceID=14","4.39")</f>
        <v>4.39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HYPERLINK("http://141.218.60.56/~jnz1568/getInfo.php?workbook=18_15.xlsx&amp;sheet=U0&amp;row=499&amp;col=6&amp;number=4.5&amp;sourceID=14","4.5")</f>
        <v>4.5</v>
      </c>
      <c r="G499" s="4" t="str">
        <f>HYPERLINK("http://141.218.60.56/~jnz1568/getInfo.php?workbook=18_15.xlsx&amp;sheet=U0&amp;row=499&amp;col=7&amp;number=4.47&amp;sourceID=14","4.47")</f>
        <v>4.47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HYPERLINK("http://141.218.60.56/~jnz1568/getInfo.php?workbook=18_15.xlsx&amp;sheet=U0&amp;row=500&amp;col=6&amp;number=4.6&amp;sourceID=14","4.6")</f>
        <v>4.6</v>
      </c>
      <c r="G500" s="4" t="str">
        <f>HYPERLINK("http://141.218.60.56/~jnz1568/getInfo.php?workbook=18_15.xlsx&amp;sheet=U0&amp;row=500&amp;col=7&amp;number=4.59&amp;sourceID=14","4.59")</f>
        <v>4.59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HYPERLINK("http://141.218.60.56/~jnz1568/getInfo.php?workbook=18_15.xlsx&amp;sheet=U0&amp;row=501&amp;col=6&amp;number=4.7&amp;sourceID=14","4.7")</f>
        <v>4.7</v>
      </c>
      <c r="G501" s="4" t="str">
        <f>HYPERLINK("http://141.218.60.56/~jnz1568/getInfo.php?workbook=18_15.xlsx&amp;sheet=U0&amp;row=501&amp;col=7&amp;number=4.74&amp;sourceID=14","4.74")</f>
        <v>4.74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HYPERLINK("http://141.218.60.56/~jnz1568/getInfo.php?workbook=18_15.xlsx&amp;sheet=U0&amp;row=502&amp;col=6&amp;number=4.8&amp;sourceID=14","4.8")</f>
        <v>4.8</v>
      </c>
      <c r="G502" s="4" t="str">
        <f>HYPERLINK("http://141.218.60.56/~jnz1568/getInfo.php?workbook=18_15.xlsx&amp;sheet=U0&amp;row=502&amp;col=7&amp;number=4.93&amp;sourceID=14","4.93")</f>
        <v>4.93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HYPERLINK("http://141.218.60.56/~jnz1568/getInfo.php?workbook=18_15.xlsx&amp;sheet=U0&amp;row=503&amp;col=6&amp;number=4.9&amp;sourceID=14","4.9")</f>
        <v>4.9</v>
      </c>
      <c r="G503" s="4" t="str">
        <f>HYPERLINK("http://141.218.60.56/~jnz1568/getInfo.php?workbook=18_15.xlsx&amp;sheet=U0&amp;row=503&amp;col=7&amp;number=5.15&amp;sourceID=14","5.15")</f>
        <v>5.15</v>
      </c>
    </row>
    <row r="504" spans="1:7">
      <c r="A504" s="3">
        <v>18</v>
      </c>
      <c r="B504" s="3">
        <v>15</v>
      </c>
      <c r="C504" s="3">
        <v>1</v>
      </c>
      <c r="D504" s="3">
        <v>28</v>
      </c>
      <c r="E504" s="3">
        <v>1</v>
      </c>
      <c r="F504" s="4" t="str">
        <f>HYPERLINK("http://141.218.60.56/~jnz1568/getInfo.php?workbook=18_15.xlsx&amp;sheet=U0&amp;row=504&amp;col=6&amp;number=3&amp;sourceID=14","3")</f>
        <v>3</v>
      </c>
      <c r="G504" s="4" t="str">
        <f>HYPERLINK("http://141.218.60.56/~jnz1568/getInfo.php?workbook=18_15.xlsx&amp;sheet=U0&amp;row=504&amp;col=7&amp;number=7.14&amp;sourceID=14","7.14")</f>
        <v>7.14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HYPERLINK("http://141.218.60.56/~jnz1568/getInfo.php?workbook=18_15.xlsx&amp;sheet=U0&amp;row=505&amp;col=6&amp;number=3.1&amp;sourceID=14","3.1")</f>
        <v>3.1</v>
      </c>
      <c r="G505" s="4" t="str">
        <f>HYPERLINK("http://141.218.60.56/~jnz1568/getInfo.php?workbook=18_15.xlsx&amp;sheet=U0&amp;row=505&amp;col=7&amp;number=7.11&amp;sourceID=14","7.11")</f>
        <v>7.11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HYPERLINK("http://141.218.60.56/~jnz1568/getInfo.php?workbook=18_15.xlsx&amp;sheet=U0&amp;row=506&amp;col=6&amp;number=3.2&amp;sourceID=14","3.2")</f>
        <v>3.2</v>
      </c>
      <c r="G506" s="4" t="str">
        <f>HYPERLINK("http://141.218.60.56/~jnz1568/getInfo.php?workbook=18_15.xlsx&amp;sheet=U0&amp;row=506&amp;col=7&amp;number=7.07&amp;sourceID=14","7.07")</f>
        <v>7.07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HYPERLINK("http://141.218.60.56/~jnz1568/getInfo.php?workbook=18_15.xlsx&amp;sheet=U0&amp;row=507&amp;col=6&amp;number=3.3&amp;sourceID=14","3.3")</f>
        <v>3.3</v>
      </c>
      <c r="G507" s="4" t="str">
        <f>HYPERLINK("http://141.218.60.56/~jnz1568/getInfo.php?workbook=18_15.xlsx&amp;sheet=U0&amp;row=507&amp;col=7&amp;number=7.03&amp;sourceID=14","7.03")</f>
        <v>7.03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HYPERLINK("http://141.218.60.56/~jnz1568/getInfo.php?workbook=18_15.xlsx&amp;sheet=U0&amp;row=508&amp;col=6&amp;number=3.4&amp;sourceID=14","3.4")</f>
        <v>3.4</v>
      </c>
      <c r="G508" s="4" t="str">
        <f>HYPERLINK("http://141.218.60.56/~jnz1568/getInfo.php?workbook=18_15.xlsx&amp;sheet=U0&amp;row=508&amp;col=7&amp;number=6.98&amp;sourceID=14","6.98")</f>
        <v>6.98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HYPERLINK("http://141.218.60.56/~jnz1568/getInfo.php?workbook=18_15.xlsx&amp;sheet=U0&amp;row=509&amp;col=6&amp;number=3.5&amp;sourceID=14","3.5")</f>
        <v>3.5</v>
      </c>
      <c r="G509" s="4" t="str">
        <f>HYPERLINK("http://141.218.60.56/~jnz1568/getInfo.php?workbook=18_15.xlsx&amp;sheet=U0&amp;row=509&amp;col=7&amp;number=6.92&amp;sourceID=14","6.92")</f>
        <v>6.92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HYPERLINK("http://141.218.60.56/~jnz1568/getInfo.php?workbook=18_15.xlsx&amp;sheet=U0&amp;row=510&amp;col=6&amp;number=3.6&amp;sourceID=14","3.6")</f>
        <v>3.6</v>
      </c>
      <c r="G510" s="4" t="str">
        <f>HYPERLINK("http://141.218.60.56/~jnz1568/getInfo.php?workbook=18_15.xlsx&amp;sheet=U0&amp;row=510&amp;col=7&amp;number=6.85&amp;sourceID=14","6.85")</f>
        <v>6.85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HYPERLINK("http://141.218.60.56/~jnz1568/getInfo.php?workbook=18_15.xlsx&amp;sheet=U0&amp;row=511&amp;col=6&amp;number=3.7&amp;sourceID=14","3.7")</f>
        <v>3.7</v>
      </c>
      <c r="G511" s="4" t="str">
        <f>HYPERLINK("http://141.218.60.56/~jnz1568/getInfo.php?workbook=18_15.xlsx&amp;sheet=U0&amp;row=511&amp;col=7&amp;number=6.77&amp;sourceID=14","6.77")</f>
        <v>6.77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HYPERLINK("http://141.218.60.56/~jnz1568/getInfo.php?workbook=18_15.xlsx&amp;sheet=U0&amp;row=512&amp;col=6&amp;number=3.8&amp;sourceID=14","3.8")</f>
        <v>3.8</v>
      </c>
      <c r="G512" s="4" t="str">
        <f>HYPERLINK("http://141.218.60.56/~jnz1568/getInfo.php?workbook=18_15.xlsx&amp;sheet=U0&amp;row=512&amp;col=7&amp;number=6.68&amp;sourceID=14","6.68")</f>
        <v>6.68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HYPERLINK("http://141.218.60.56/~jnz1568/getInfo.php?workbook=18_15.xlsx&amp;sheet=U0&amp;row=513&amp;col=6&amp;number=3.9&amp;sourceID=14","3.9")</f>
        <v>3.9</v>
      </c>
      <c r="G513" s="4" t="str">
        <f>HYPERLINK("http://141.218.60.56/~jnz1568/getInfo.php?workbook=18_15.xlsx&amp;sheet=U0&amp;row=513&amp;col=7&amp;number=6.6&amp;sourceID=14","6.6")</f>
        <v>6.6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HYPERLINK("http://141.218.60.56/~jnz1568/getInfo.php?workbook=18_15.xlsx&amp;sheet=U0&amp;row=514&amp;col=6&amp;number=4&amp;sourceID=14","4")</f>
        <v>4</v>
      </c>
      <c r="G514" s="4" t="str">
        <f>HYPERLINK("http://141.218.60.56/~jnz1568/getInfo.php?workbook=18_15.xlsx&amp;sheet=U0&amp;row=514&amp;col=7&amp;number=6.52&amp;sourceID=14","6.52")</f>
        <v>6.52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HYPERLINK("http://141.218.60.56/~jnz1568/getInfo.php?workbook=18_15.xlsx&amp;sheet=U0&amp;row=515&amp;col=6&amp;number=4.1&amp;sourceID=14","4.1")</f>
        <v>4.1</v>
      </c>
      <c r="G515" s="4" t="str">
        <f>HYPERLINK("http://141.218.60.56/~jnz1568/getInfo.php?workbook=18_15.xlsx&amp;sheet=U0&amp;row=515&amp;col=7&amp;number=6.48&amp;sourceID=14","6.48")</f>
        <v>6.48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HYPERLINK("http://141.218.60.56/~jnz1568/getInfo.php?workbook=18_15.xlsx&amp;sheet=U0&amp;row=516&amp;col=6&amp;number=4.2&amp;sourceID=14","4.2")</f>
        <v>4.2</v>
      </c>
      <c r="G516" s="4" t="str">
        <f>HYPERLINK("http://141.218.60.56/~jnz1568/getInfo.php?workbook=18_15.xlsx&amp;sheet=U0&amp;row=516&amp;col=7&amp;number=6.48&amp;sourceID=14","6.48")</f>
        <v>6.48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HYPERLINK("http://141.218.60.56/~jnz1568/getInfo.php?workbook=18_15.xlsx&amp;sheet=U0&amp;row=517&amp;col=6&amp;number=4.3&amp;sourceID=14","4.3")</f>
        <v>4.3</v>
      </c>
      <c r="G517" s="4" t="str">
        <f>HYPERLINK("http://141.218.60.56/~jnz1568/getInfo.php?workbook=18_15.xlsx&amp;sheet=U0&amp;row=517&amp;col=7&amp;number=6.51&amp;sourceID=14","6.51")</f>
        <v>6.51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HYPERLINK("http://141.218.60.56/~jnz1568/getInfo.php?workbook=18_15.xlsx&amp;sheet=U0&amp;row=518&amp;col=6&amp;number=4.4&amp;sourceID=14","4.4")</f>
        <v>4.4</v>
      </c>
      <c r="G518" s="4" t="str">
        <f>HYPERLINK("http://141.218.60.56/~jnz1568/getInfo.php?workbook=18_15.xlsx&amp;sheet=U0&amp;row=518&amp;col=7&amp;number=6.59&amp;sourceID=14","6.59")</f>
        <v>6.59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HYPERLINK("http://141.218.60.56/~jnz1568/getInfo.php?workbook=18_15.xlsx&amp;sheet=U0&amp;row=519&amp;col=6&amp;number=4.5&amp;sourceID=14","4.5")</f>
        <v>4.5</v>
      </c>
      <c r="G519" s="4" t="str">
        <f>HYPERLINK("http://141.218.60.56/~jnz1568/getInfo.php?workbook=18_15.xlsx&amp;sheet=U0&amp;row=519&amp;col=7&amp;number=6.71&amp;sourceID=14","6.71")</f>
        <v>6.71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HYPERLINK("http://141.218.60.56/~jnz1568/getInfo.php?workbook=18_15.xlsx&amp;sheet=U0&amp;row=520&amp;col=6&amp;number=4.6&amp;sourceID=14","4.6")</f>
        <v>4.6</v>
      </c>
      <c r="G520" s="4" t="str">
        <f>HYPERLINK("http://141.218.60.56/~jnz1568/getInfo.php?workbook=18_15.xlsx&amp;sheet=U0&amp;row=520&amp;col=7&amp;number=6.88&amp;sourceID=14","6.88")</f>
        <v>6.88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HYPERLINK("http://141.218.60.56/~jnz1568/getInfo.php?workbook=18_15.xlsx&amp;sheet=U0&amp;row=521&amp;col=6&amp;number=4.7&amp;sourceID=14","4.7")</f>
        <v>4.7</v>
      </c>
      <c r="G521" s="4" t="str">
        <f>HYPERLINK("http://141.218.60.56/~jnz1568/getInfo.php?workbook=18_15.xlsx&amp;sheet=U0&amp;row=521&amp;col=7&amp;number=7.11&amp;sourceID=14","7.11")</f>
        <v>7.11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HYPERLINK("http://141.218.60.56/~jnz1568/getInfo.php?workbook=18_15.xlsx&amp;sheet=U0&amp;row=522&amp;col=6&amp;number=4.8&amp;sourceID=14","4.8")</f>
        <v>4.8</v>
      </c>
      <c r="G522" s="4" t="str">
        <f>HYPERLINK("http://141.218.60.56/~jnz1568/getInfo.php?workbook=18_15.xlsx&amp;sheet=U0&amp;row=522&amp;col=7&amp;number=7.39&amp;sourceID=14","7.39")</f>
        <v>7.39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HYPERLINK("http://141.218.60.56/~jnz1568/getInfo.php?workbook=18_15.xlsx&amp;sheet=U0&amp;row=523&amp;col=6&amp;number=4.9&amp;sourceID=14","4.9")</f>
        <v>4.9</v>
      </c>
      <c r="G523" s="4" t="str">
        <f>HYPERLINK("http://141.218.60.56/~jnz1568/getInfo.php?workbook=18_15.xlsx&amp;sheet=U0&amp;row=523&amp;col=7&amp;number=7.72&amp;sourceID=14","7.72")</f>
        <v>7.72</v>
      </c>
    </row>
    <row r="524" spans="1:7">
      <c r="A524" s="3">
        <v>18</v>
      </c>
      <c r="B524" s="3">
        <v>15</v>
      </c>
      <c r="C524" s="3">
        <v>1</v>
      </c>
      <c r="D524" s="3">
        <v>29</v>
      </c>
      <c r="E524" s="3">
        <v>1</v>
      </c>
      <c r="F524" s="4" t="str">
        <f>HYPERLINK("http://141.218.60.56/~jnz1568/getInfo.php?workbook=18_15.xlsx&amp;sheet=U0&amp;row=524&amp;col=6&amp;number=3&amp;sourceID=14","3")</f>
        <v>3</v>
      </c>
      <c r="G524" s="4" t="str">
        <f>HYPERLINK("http://141.218.60.56/~jnz1568/getInfo.php?workbook=18_15.xlsx&amp;sheet=U0&amp;row=524&amp;col=7&amp;number=0.212&amp;sourceID=14","0.212")</f>
        <v>0.212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HYPERLINK("http://141.218.60.56/~jnz1568/getInfo.php?workbook=18_15.xlsx&amp;sheet=U0&amp;row=525&amp;col=6&amp;number=3.1&amp;sourceID=14","3.1")</f>
        <v>3.1</v>
      </c>
      <c r="G525" s="4" t="str">
        <f>HYPERLINK("http://141.218.60.56/~jnz1568/getInfo.php?workbook=18_15.xlsx&amp;sheet=U0&amp;row=525&amp;col=7&amp;number=0.208&amp;sourceID=14","0.208")</f>
        <v>0.208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HYPERLINK("http://141.218.60.56/~jnz1568/getInfo.php?workbook=18_15.xlsx&amp;sheet=U0&amp;row=526&amp;col=6&amp;number=3.2&amp;sourceID=14","3.2")</f>
        <v>3.2</v>
      </c>
      <c r="G526" s="4" t="str">
        <f>HYPERLINK("http://141.218.60.56/~jnz1568/getInfo.php?workbook=18_15.xlsx&amp;sheet=U0&amp;row=526&amp;col=7&amp;number=0.204&amp;sourceID=14","0.204")</f>
        <v>0.204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HYPERLINK("http://141.218.60.56/~jnz1568/getInfo.php?workbook=18_15.xlsx&amp;sheet=U0&amp;row=527&amp;col=6&amp;number=3.3&amp;sourceID=14","3.3")</f>
        <v>3.3</v>
      </c>
      <c r="G527" s="4" t="str">
        <f>HYPERLINK("http://141.218.60.56/~jnz1568/getInfo.php?workbook=18_15.xlsx&amp;sheet=U0&amp;row=527&amp;col=7&amp;number=0.198&amp;sourceID=14","0.198")</f>
        <v>0.198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HYPERLINK("http://141.218.60.56/~jnz1568/getInfo.php?workbook=18_15.xlsx&amp;sheet=U0&amp;row=528&amp;col=6&amp;number=3.4&amp;sourceID=14","3.4")</f>
        <v>3.4</v>
      </c>
      <c r="G528" s="4" t="str">
        <f>HYPERLINK("http://141.218.60.56/~jnz1568/getInfo.php?workbook=18_15.xlsx&amp;sheet=U0&amp;row=528&amp;col=7&amp;number=0.192&amp;sourceID=14","0.192")</f>
        <v>0.192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HYPERLINK("http://141.218.60.56/~jnz1568/getInfo.php?workbook=18_15.xlsx&amp;sheet=U0&amp;row=529&amp;col=6&amp;number=3.5&amp;sourceID=14","3.5")</f>
        <v>3.5</v>
      </c>
      <c r="G529" s="4" t="str">
        <f>HYPERLINK("http://141.218.60.56/~jnz1568/getInfo.php?workbook=18_15.xlsx&amp;sheet=U0&amp;row=529&amp;col=7&amp;number=0.185&amp;sourceID=14","0.185")</f>
        <v>0.185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HYPERLINK("http://141.218.60.56/~jnz1568/getInfo.php?workbook=18_15.xlsx&amp;sheet=U0&amp;row=530&amp;col=6&amp;number=3.6&amp;sourceID=14","3.6")</f>
        <v>3.6</v>
      </c>
      <c r="G530" s="4" t="str">
        <f>HYPERLINK("http://141.218.60.56/~jnz1568/getInfo.php?workbook=18_15.xlsx&amp;sheet=U0&amp;row=530&amp;col=7&amp;number=0.178&amp;sourceID=14","0.178")</f>
        <v>0.178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HYPERLINK("http://141.218.60.56/~jnz1568/getInfo.php?workbook=18_15.xlsx&amp;sheet=U0&amp;row=531&amp;col=6&amp;number=3.7&amp;sourceID=14","3.7")</f>
        <v>3.7</v>
      </c>
      <c r="G531" s="4" t="str">
        <f>HYPERLINK("http://141.218.60.56/~jnz1568/getInfo.php?workbook=18_15.xlsx&amp;sheet=U0&amp;row=531&amp;col=7&amp;number=0.171&amp;sourceID=14","0.171")</f>
        <v>0.171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HYPERLINK("http://141.218.60.56/~jnz1568/getInfo.php?workbook=18_15.xlsx&amp;sheet=U0&amp;row=532&amp;col=6&amp;number=3.8&amp;sourceID=14","3.8")</f>
        <v>3.8</v>
      </c>
      <c r="G532" s="4" t="str">
        <f>HYPERLINK("http://141.218.60.56/~jnz1568/getInfo.php?workbook=18_15.xlsx&amp;sheet=U0&amp;row=532&amp;col=7&amp;number=0.167&amp;sourceID=14","0.167")</f>
        <v>0.167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HYPERLINK("http://141.218.60.56/~jnz1568/getInfo.php?workbook=18_15.xlsx&amp;sheet=U0&amp;row=533&amp;col=6&amp;number=3.9&amp;sourceID=14","3.9")</f>
        <v>3.9</v>
      </c>
      <c r="G533" s="4" t="str">
        <f>HYPERLINK("http://141.218.60.56/~jnz1568/getInfo.php?workbook=18_15.xlsx&amp;sheet=U0&amp;row=533&amp;col=7&amp;number=0.166&amp;sourceID=14","0.166")</f>
        <v>0.166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HYPERLINK("http://141.218.60.56/~jnz1568/getInfo.php?workbook=18_15.xlsx&amp;sheet=U0&amp;row=534&amp;col=6&amp;number=4&amp;sourceID=14","4")</f>
        <v>4</v>
      </c>
      <c r="G534" s="4" t="str">
        <f>HYPERLINK("http://141.218.60.56/~jnz1568/getInfo.php?workbook=18_15.xlsx&amp;sheet=U0&amp;row=534&amp;col=7&amp;number=0.166&amp;sourceID=14","0.166")</f>
        <v>0.166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HYPERLINK("http://141.218.60.56/~jnz1568/getInfo.php?workbook=18_15.xlsx&amp;sheet=U0&amp;row=535&amp;col=6&amp;number=4.1&amp;sourceID=14","4.1")</f>
        <v>4.1</v>
      </c>
      <c r="G535" s="4" t="str">
        <f>HYPERLINK("http://141.218.60.56/~jnz1568/getInfo.php?workbook=18_15.xlsx&amp;sheet=U0&amp;row=535&amp;col=7&amp;number=0.166&amp;sourceID=14","0.166")</f>
        <v>0.166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HYPERLINK("http://141.218.60.56/~jnz1568/getInfo.php?workbook=18_15.xlsx&amp;sheet=U0&amp;row=536&amp;col=6&amp;number=4.2&amp;sourceID=14","4.2")</f>
        <v>4.2</v>
      </c>
      <c r="G536" s="4" t="str">
        <f>HYPERLINK("http://141.218.60.56/~jnz1568/getInfo.php?workbook=18_15.xlsx&amp;sheet=U0&amp;row=536&amp;col=7&amp;number=0.165&amp;sourceID=14","0.165")</f>
        <v>0.165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HYPERLINK("http://141.218.60.56/~jnz1568/getInfo.php?workbook=18_15.xlsx&amp;sheet=U0&amp;row=537&amp;col=6&amp;number=4.3&amp;sourceID=14","4.3")</f>
        <v>4.3</v>
      </c>
      <c r="G537" s="4" t="str">
        <f>HYPERLINK("http://141.218.60.56/~jnz1568/getInfo.php?workbook=18_15.xlsx&amp;sheet=U0&amp;row=537&amp;col=7&amp;number=0.162&amp;sourceID=14","0.162")</f>
        <v>0.162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HYPERLINK("http://141.218.60.56/~jnz1568/getInfo.php?workbook=18_15.xlsx&amp;sheet=U0&amp;row=538&amp;col=6&amp;number=4.4&amp;sourceID=14","4.4")</f>
        <v>4.4</v>
      </c>
      <c r="G538" s="4" t="str">
        <f>HYPERLINK("http://141.218.60.56/~jnz1568/getInfo.php?workbook=18_15.xlsx&amp;sheet=U0&amp;row=538&amp;col=7&amp;number=0.16&amp;sourceID=14","0.16")</f>
        <v>0.16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HYPERLINK("http://141.218.60.56/~jnz1568/getInfo.php?workbook=18_15.xlsx&amp;sheet=U0&amp;row=539&amp;col=6&amp;number=4.5&amp;sourceID=14","4.5")</f>
        <v>4.5</v>
      </c>
      <c r="G539" s="4" t="str">
        <f>HYPERLINK("http://141.218.60.56/~jnz1568/getInfo.php?workbook=18_15.xlsx&amp;sheet=U0&amp;row=539&amp;col=7&amp;number=0.156&amp;sourceID=14","0.156")</f>
        <v>0.156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HYPERLINK("http://141.218.60.56/~jnz1568/getInfo.php?workbook=18_15.xlsx&amp;sheet=U0&amp;row=540&amp;col=6&amp;number=4.6&amp;sourceID=14","4.6")</f>
        <v>4.6</v>
      </c>
      <c r="G540" s="4" t="str">
        <f>HYPERLINK("http://141.218.60.56/~jnz1568/getInfo.php?workbook=18_15.xlsx&amp;sheet=U0&amp;row=540&amp;col=7&amp;number=0.151&amp;sourceID=14","0.151")</f>
        <v>0.151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HYPERLINK("http://141.218.60.56/~jnz1568/getInfo.php?workbook=18_15.xlsx&amp;sheet=U0&amp;row=541&amp;col=6&amp;number=4.7&amp;sourceID=14","4.7")</f>
        <v>4.7</v>
      </c>
      <c r="G541" s="4" t="str">
        <f>HYPERLINK("http://141.218.60.56/~jnz1568/getInfo.php?workbook=18_15.xlsx&amp;sheet=U0&amp;row=541&amp;col=7&amp;number=0.144&amp;sourceID=14","0.144")</f>
        <v>0.144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HYPERLINK("http://141.218.60.56/~jnz1568/getInfo.php?workbook=18_15.xlsx&amp;sheet=U0&amp;row=542&amp;col=6&amp;number=4.8&amp;sourceID=14","4.8")</f>
        <v>4.8</v>
      </c>
      <c r="G542" s="4" t="str">
        <f>HYPERLINK("http://141.218.60.56/~jnz1568/getInfo.php?workbook=18_15.xlsx&amp;sheet=U0&amp;row=542&amp;col=7&amp;number=0.137&amp;sourceID=14","0.137")</f>
        <v>0.137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HYPERLINK("http://141.218.60.56/~jnz1568/getInfo.php?workbook=18_15.xlsx&amp;sheet=U0&amp;row=543&amp;col=6&amp;number=4.9&amp;sourceID=14","4.9")</f>
        <v>4.9</v>
      </c>
      <c r="G543" s="4" t="str">
        <f>HYPERLINK("http://141.218.60.56/~jnz1568/getInfo.php?workbook=18_15.xlsx&amp;sheet=U0&amp;row=543&amp;col=7&amp;number=0.129&amp;sourceID=14","0.129")</f>
        <v>0.129</v>
      </c>
    </row>
    <row r="544" spans="1:7">
      <c r="A544" s="3">
        <v>18</v>
      </c>
      <c r="B544" s="3">
        <v>15</v>
      </c>
      <c r="C544" s="3">
        <v>1</v>
      </c>
      <c r="D544" s="3">
        <v>30</v>
      </c>
      <c r="E544" s="3">
        <v>1</v>
      </c>
      <c r="F544" s="4" t="str">
        <f>HYPERLINK("http://141.218.60.56/~jnz1568/getInfo.php?workbook=18_15.xlsx&amp;sheet=U0&amp;row=544&amp;col=6&amp;number=3&amp;sourceID=14","3")</f>
        <v>3</v>
      </c>
      <c r="G544" s="4" t="str">
        <f>HYPERLINK("http://141.218.60.56/~jnz1568/getInfo.php?workbook=18_15.xlsx&amp;sheet=U0&amp;row=544&amp;col=7&amp;number=1.45&amp;sourceID=14","1.45")</f>
        <v>1.45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HYPERLINK("http://141.218.60.56/~jnz1568/getInfo.php?workbook=18_15.xlsx&amp;sheet=U0&amp;row=545&amp;col=6&amp;number=3.1&amp;sourceID=14","3.1")</f>
        <v>3.1</v>
      </c>
      <c r="G545" s="4" t="str">
        <f>HYPERLINK("http://141.218.60.56/~jnz1568/getInfo.php?workbook=18_15.xlsx&amp;sheet=U0&amp;row=545&amp;col=7&amp;number=1.4&amp;sourceID=14","1.4")</f>
        <v>1.4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HYPERLINK("http://141.218.60.56/~jnz1568/getInfo.php?workbook=18_15.xlsx&amp;sheet=U0&amp;row=546&amp;col=6&amp;number=3.2&amp;sourceID=14","3.2")</f>
        <v>3.2</v>
      </c>
      <c r="G546" s="4" t="str">
        <f>HYPERLINK("http://141.218.60.56/~jnz1568/getInfo.php?workbook=18_15.xlsx&amp;sheet=U0&amp;row=546&amp;col=7&amp;number=1.34&amp;sourceID=14","1.34")</f>
        <v>1.34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HYPERLINK("http://141.218.60.56/~jnz1568/getInfo.php?workbook=18_15.xlsx&amp;sheet=U0&amp;row=547&amp;col=6&amp;number=3.3&amp;sourceID=14","3.3")</f>
        <v>3.3</v>
      </c>
      <c r="G547" s="4" t="str">
        <f>HYPERLINK("http://141.218.60.56/~jnz1568/getInfo.php?workbook=18_15.xlsx&amp;sheet=U0&amp;row=547&amp;col=7&amp;number=1.26&amp;sourceID=14","1.26")</f>
        <v>1.26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HYPERLINK("http://141.218.60.56/~jnz1568/getInfo.php?workbook=18_15.xlsx&amp;sheet=U0&amp;row=548&amp;col=6&amp;number=3.4&amp;sourceID=14","3.4")</f>
        <v>3.4</v>
      </c>
      <c r="G548" s="4" t="str">
        <f>HYPERLINK("http://141.218.60.56/~jnz1568/getInfo.php?workbook=18_15.xlsx&amp;sheet=U0&amp;row=548&amp;col=7&amp;number=1.17&amp;sourceID=14","1.17")</f>
        <v>1.17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HYPERLINK("http://141.218.60.56/~jnz1568/getInfo.php?workbook=18_15.xlsx&amp;sheet=U0&amp;row=549&amp;col=6&amp;number=3.5&amp;sourceID=14","3.5")</f>
        <v>3.5</v>
      </c>
      <c r="G549" s="4" t="str">
        <f>HYPERLINK("http://141.218.60.56/~jnz1568/getInfo.php?workbook=18_15.xlsx&amp;sheet=U0&amp;row=549&amp;col=7&amp;number=1.06&amp;sourceID=14","1.06")</f>
        <v>1.06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HYPERLINK("http://141.218.60.56/~jnz1568/getInfo.php?workbook=18_15.xlsx&amp;sheet=U0&amp;row=550&amp;col=6&amp;number=3.6&amp;sourceID=14","3.6")</f>
        <v>3.6</v>
      </c>
      <c r="G550" s="4" t="str">
        <f>HYPERLINK("http://141.218.60.56/~jnz1568/getInfo.php?workbook=18_15.xlsx&amp;sheet=U0&amp;row=550&amp;col=7&amp;number=0.93&amp;sourceID=14","0.93")</f>
        <v>0.93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HYPERLINK("http://141.218.60.56/~jnz1568/getInfo.php?workbook=18_15.xlsx&amp;sheet=U0&amp;row=551&amp;col=6&amp;number=3.7&amp;sourceID=14","3.7")</f>
        <v>3.7</v>
      </c>
      <c r="G551" s="4" t="str">
        <f>HYPERLINK("http://141.218.60.56/~jnz1568/getInfo.php?workbook=18_15.xlsx&amp;sheet=U0&amp;row=551&amp;col=7&amp;number=0.787&amp;sourceID=14","0.787")</f>
        <v>0.787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HYPERLINK("http://141.218.60.56/~jnz1568/getInfo.php?workbook=18_15.xlsx&amp;sheet=U0&amp;row=552&amp;col=6&amp;number=3.8&amp;sourceID=14","3.8")</f>
        <v>3.8</v>
      </c>
      <c r="G552" s="4" t="str">
        <f>HYPERLINK("http://141.218.60.56/~jnz1568/getInfo.php?workbook=18_15.xlsx&amp;sheet=U0&amp;row=552&amp;col=7&amp;number=0.637&amp;sourceID=14","0.637")</f>
        <v>0.637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HYPERLINK("http://141.218.60.56/~jnz1568/getInfo.php?workbook=18_15.xlsx&amp;sheet=U0&amp;row=553&amp;col=6&amp;number=3.9&amp;sourceID=14","3.9")</f>
        <v>3.9</v>
      </c>
      <c r="G553" s="4" t="str">
        <f>HYPERLINK("http://141.218.60.56/~jnz1568/getInfo.php?workbook=18_15.xlsx&amp;sheet=U0&amp;row=553&amp;col=7&amp;number=0.498&amp;sourceID=14","0.498")</f>
        <v>0.498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HYPERLINK("http://141.218.60.56/~jnz1568/getInfo.php?workbook=18_15.xlsx&amp;sheet=U0&amp;row=554&amp;col=6&amp;number=4&amp;sourceID=14","4")</f>
        <v>4</v>
      </c>
      <c r="G554" s="4" t="str">
        <f>HYPERLINK("http://141.218.60.56/~jnz1568/getInfo.php?workbook=18_15.xlsx&amp;sheet=U0&amp;row=554&amp;col=7&amp;number=0.389&amp;sourceID=14","0.389")</f>
        <v>0.389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HYPERLINK("http://141.218.60.56/~jnz1568/getInfo.php?workbook=18_15.xlsx&amp;sheet=U0&amp;row=555&amp;col=6&amp;number=4.1&amp;sourceID=14","4.1")</f>
        <v>4.1</v>
      </c>
      <c r="G555" s="4" t="str">
        <f>HYPERLINK("http://141.218.60.56/~jnz1568/getInfo.php?workbook=18_15.xlsx&amp;sheet=U0&amp;row=555&amp;col=7&amp;number=0.318&amp;sourceID=14","0.318")</f>
        <v>0.318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HYPERLINK("http://141.218.60.56/~jnz1568/getInfo.php?workbook=18_15.xlsx&amp;sheet=U0&amp;row=556&amp;col=6&amp;number=4.2&amp;sourceID=14","4.2")</f>
        <v>4.2</v>
      </c>
      <c r="G556" s="4" t="str">
        <f>HYPERLINK("http://141.218.60.56/~jnz1568/getInfo.php?workbook=18_15.xlsx&amp;sheet=U0&amp;row=556&amp;col=7&amp;number=0.279&amp;sourceID=14","0.279")</f>
        <v>0.279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HYPERLINK("http://141.218.60.56/~jnz1568/getInfo.php?workbook=18_15.xlsx&amp;sheet=U0&amp;row=557&amp;col=6&amp;number=4.3&amp;sourceID=14","4.3")</f>
        <v>4.3</v>
      </c>
      <c r="G557" s="4" t="str">
        <f>HYPERLINK("http://141.218.60.56/~jnz1568/getInfo.php?workbook=18_15.xlsx&amp;sheet=U0&amp;row=557&amp;col=7&amp;number=0.25&amp;sourceID=14","0.25")</f>
        <v>0.25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HYPERLINK("http://141.218.60.56/~jnz1568/getInfo.php?workbook=18_15.xlsx&amp;sheet=U0&amp;row=558&amp;col=6&amp;number=4.4&amp;sourceID=14","4.4")</f>
        <v>4.4</v>
      </c>
      <c r="G558" s="4" t="str">
        <f>HYPERLINK("http://141.218.60.56/~jnz1568/getInfo.php?workbook=18_15.xlsx&amp;sheet=U0&amp;row=558&amp;col=7&amp;number=0.223&amp;sourceID=14","0.223")</f>
        <v>0.223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HYPERLINK("http://141.218.60.56/~jnz1568/getInfo.php?workbook=18_15.xlsx&amp;sheet=U0&amp;row=559&amp;col=6&amp;number=4.5&amp;sourceID=14","4.5")</f>
        <v>4.5</v>
      </c>
      <c r="G559" s="4" t="str">
        <f>HYPERLINK("http://141.218.60.56/~jnz1568/getInfo.php?workbook=18_15.xlsx&amp;sheet=U0&amp;row=559&amp;col=7&amp;number=0.201&amp;sourceID=14","0.201")</f>
        <v>0.201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HYPERLINK("http://141.218.60.56/~jnz1568/getInfo.php?workbook=18_15.xlsx&amp;sheet=U0&amp;row=560&amp;col=6&amp;number=4.6&amp;sourceID=14","4.6")</f>
        <v>4.6</v>
      </c>
      <c r="G560" s="4" t="str">
        <f>HYPERLINK("http://141.218.60.56/~jnz1568/getInfo.php?workbook=18_15.xlsx&amp;sheet=U0&amp;row=560&amp;col=7&amp;number=0.188&amp;sourceID=14","0.188")</f>
        <v>0.188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HYPERLINK("http://141.218.60.56/~jnz1568/getInfo.php?workbook=18_15.xlsx&amp;sheet=U0&amp;row=561&amp;col=6&amp;number=4.7&amp;sourceID=14","4.7")</f>
        <v>4.7</v>
      </c>
      <c r="G561" s="4" t="str">
        <f>HYPERLINK("http://141.218.60.56/~jnz1568/getInfo.php?workbook=18_15.xlsx&amp;sheet=U0&amp;row=561&amp;col=7&amp;number=0.18&amp;sourceID=14","0.18")</f>
        <v>0.18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HYPERLINK("http://141.218.60.56/~jnz1568/getInfo.php?workbook=18_15.xlsx&amp;sheet=U0&amp;row=562&amp;col=6&amp;number=4.8&amp;sourceID=14","4.8")</f>
        <v>4.8</v>
      </c>
      <c r="G562" s="4" t="str">
        <f>HYPERLINK("http://141.218.60.56/~jnz1568/getInfo.php?workbook=18_15.xlsx&amp;sheet=U0&amp;row=562&amp;col=7&amp;number=0.172&amp;sourceID=14","0.172")</f>
        <v>0.172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HYPERLINK("http://141.218.60.56/~jnz1568/getInfo.php?workbook=18_15.xlsx&amp;sheet=U0&amp;row=563&amp;col=6&amp;number=4.9&amp;sourceID=14","4.9")</f>
        <v>4.9</v>
      </c>
      <c r="G563" s="4" t="str">
        <f>HYPERLINK("http://141.218.60.56/~jnz1568/getInfo.php?workbook=18_15.xlsx&amp;sheet=U0&amp;row=563&amp;col=7&amp;number=0.163&amp;sourceID=14","0.163")</f>
        <v>0.163</v>
      </c>
    </row>
    <row r="564" spans="1:7">
      <c r="A564" s="3">
        <v>18</v>
      </c>
      <c r="B564" s="3">
        <v>15</v>
      </c>
      <c r="C564" s="3">
        <v>2</v>
      </c>
      <c r="D564" s="3">
        <v>3</v>
      </c>
      <c r="E564" s="3">
        <v>1</v>
      </c>
      <c r="F564" s="4" t="str">
        <f>HYPERLINK("http://141.218.60.56/~jnz1568/getInfo.php?workbook=18_15.xlsx&amp;sheet=U0&amp;row=564&amp;col=6&amp;number=3&amp;sourceID=14","3")</f>
        <v>3</v>
      </c>
      <c r="G564" s="4" t="str">
        <f>HYPERLINK("http://141.218.60.56/~jnz1568/getInfo.php?workbook=18_15.xlsx&amp;sheet=U0&amp;row=564&amp;col=7&amp;number=7.1&amp;sourceID=14","7.1")</f>
        <v>7.1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HYPERLINK("http://141.218.60.56/~jnz1568/getInfo.php?workbook=18_15.xlsx&amp;sheet=U0&amp;row=565&amp;col=6&amp;number=3.1&amp;sourceID=14","3.1")</f>
        <v>3.1</v>
      </c>
      <c r="G565" s="4" t="str">
        <f>HYPERLINK("http://141.218.60.56/~jnz1568/getInfo.php?workbook=18_15.xlsx&amp;sheet=U0&amp;row=565&amp;col=7&amp;number=7.1&amp;sourceID=14","7.1")</f>
        <v>7.1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HYPERLINK("http://141.218.60.56/~jnz1568/getInfo.php?workbook=18_15.xlsx&amp;sheet=U0&amp;row=566&amp;col=6&amp;number=3.2&amp;sourceID=14","3.2")</f>
        <v>3.2</v>
      </c>
      <c r="G566" s="4" t="str">
        <f>HYPERLINK("http://141.218.60.56/~jnz1568/getInfo.php?workbook=18_15.xlsx&amp;sheet=U0&amp;row=566&amp;col=7&amp;number=7.1&amp;sourceID=14","7.1")</f>
        <v>7.1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HYPERLINK("http://141.218.60.56/~jnz1568/getInfo.php?workbook=18_15.xlsx&amp;sheet=U0&amp;row=567&amp;col=6&amp;number=3.3&amp;sourceID=14","3.3")</f>
        <v>3.3</v>
      </c>
      <c r="G567" s="4" t="str">
        <f>HYPERLINK("http://141.218.60.56/~jnz1568/getInfo.php?workbook=18_15.xlsx&amp;sheet=U0&amp;row=567&amp;col=7&amp;number=7.11&amp;sourceID=14","7.11")</f>
        <v>7.11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HYPERLINK("http://141.218.60.56/~jnz1568/getInfo.php?workbook=18_15.xlsx&amp;sheet=U0&amp;row=568&amp;col=6&amp;number=3.4&amp;sourceID=14","3.4")</f>
        <v>3.4</v>
      </c>
      <c r="G568" s="4" t="str">
        <f>HYPERLINK("http://141.218.60.56/~jnz1568/getInfo.php?workbook=18_15.xlsx&amp;sheet=U0&amp;row=568&amp;col=7&amp;number=7.11&amp;sourceID=14","7.11")</f>
        <v>7.11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HYPERLINK("http://141.218.60.56/~jnz1568/getInfo.php?workbook=18_15.xlsx&amp;sheet=U0&amp;row=569&amp;col=6&amp;number=3.5&amp;sourceID=14","3.5")</f>
        <v>3.5</v>
      </c>
      <c r="G569" s="4" t="str">
        <f>HYPERLINK("http://141.218.60.56/~jnz1568/getInfo.php?workbook=18_15.xlsx&amp;sheet=U0&amp;row=569&amp;col=7&amp;number=7.12&amp;sourceID=14","7.12")</f>
        <v>7.12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HYPERLINK("http://141.218.60.56/~jnz1568/getInfo.php?workbook=18_15.xlsx&amp;sheet=U0&amp;row=570&amp;col=6&amp;number=3.6&amp;sourceID=14","3.6")</f>
        <v>3.6</v>
      </c>
      <c r="G570" s="4" t="str">
        <f>HYPERLINK("http://141.218.60.56/~jnz1568/getInfo.php?workbook=18_15.xlsx&amp;sheet=U0&amp;row=570&amp;col=7&amp;number=7.12&amp;sourceID=14","7.12")</f>
        <v>7.12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HYPERLINK("http://141.218.60.56/~jnz1568/getInfo.php?workbook=18_15.xlsx&amp;sheet=U0&amp;row=571&amp;col=6&amp;number=3.7&amp;sourceID=14","3.7")</f>
        <v>3.7</v>
      </c>
      <c r="G571" s="4" t="str">
        <f>HYPERLINK("http://141.218.60.56/~jnz1568/getInfo.php?workbook=18_15.xlsx&amp;sheet=U0&amp;row=571&amp;col=7&amp;number=7.12&amp;sourceID=14","7.12")</f>
        <v>7.12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HYPERLINK("http://141.218.60.56/~jnz1568/getInfo.php?workbook=18_15.xlsx&amp;sheet=U0&amp;row=572&amp;col=6&amp;number=3.8&amp;sourceID=14","3.8")</f>
        <v>3.8</v>
      </c>
      <c r="G572" s="4" t="str">
        <f>HYPERLINK("http://141.218.60.56/~jnz1568/getInfo.php?workbook=18_15.xlsx&amp;sheet=U0&amp;row=572&amp;col=7&amp;number=7.11&amp;sourceID=14","7.11")</f>
        <v>7.11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HYPERLINK("http://141.218.60.56/~jnz1568/getInfo.php?workbook=18_15.xlsx&amp;sheet=U0&amp;row=573&amp;col=6&amp;number=3.9&amp;sourceID=14","3.9")</f>
        <v>3.9</v>
      </c>
      <c r="G573" s="4" t="str">
        <f>HYPERLINK("http://141.218.60.56/~jnz1568/getInfo.php?workbook=18_15.xlsx&amp;sheet=U0&amp;row=573&amp;col=7&amp;number=7.09&amp;sourceID=14","7.09")</f>
        <v>7.09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HYPERLINK("http://141.218.60.56/~jnz1568/getInfo.php?workbook=18_15.xlsx&amp;sheet=U0&amp;row=574&amp;col=6&amp;number=4&amp;sourceID=14","4")</f>
        <v>4</v>
      </c>
      <c r="G574" s="4" t="str">
        <f>HYPERLINK("http://141.218.60.56/~jnz1568/getInfo.php?workbook=18_15.xlsx&amp;sheet=U0&amp;row=574&amp;col=7&amp;number=7.04&amp;sourceID=14","7.04")</f>
        <v>7.04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HYPERLINK("http://141.218.60.56/~jnz1568/getInfo.php?workbook=18_15.xlsx&amp;sheet=U0&amp;row=575&amp;col=6&amp;number=4.1&amp;sourceID=14","4.1")</f>
        <v>4.1</v>
      </c>
      <c r="G575" s="4" t="str">
        <f>HYPERLINK("http://141.218.60.56/~jnz1568/getInfo.php?workbook=18_15.xlsx&amp;sheet=U0&amp;row=575&amp;col=7&amp;number=6.96&amp;sourceID=14","6.96")</f>
        <v>6.96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HYPERLINK("http://141.218.60.56/~jnz1568/getInfo.php?workbook=18_15.xlsx&amp;sheet=U0&amp;row=576&amp;col=6&amp;number=4.2&amp;sourceID=14","4.2")</f>
        <v>4.2</v>
      </c>
      <c r="G576" s="4" t="str">
        <f>HYPERLINK("http://141.218.60.56/~jnz1568/getInfo.php?workbook=18_15.xlsx&amp;sheet=U0&amp;row=576&amp;col=7&amp;number=6.83&amp;sourceID=14","6.83")</f>
        <v>6.83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HYPERLINK("http://141.218.60.56/~jnz1568/getInfo.php?workbook=18_15.xlsx&amp;sheet=U0&amp;row=577&amp;col=6&amp;number=4.3&amp;sourceID=14","4.3")</f>
        <v>4.3</v>
      </c>
      <c r="G577" s="4" t="str">
        <f>HYPERLINK("http://141.218.60.56/~jnz1568/getInfo.php?workbook=18_15.xlsx&amp;sheet=U0&amp;row=577&amp;col=7&amp;number=6.67&amp;sourceID=14","6.67")</f>
        <v>6.67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HYPERLINK("http://141.218.60.56/~jnz1568/getInfo.php?workbook=18_15.xlsx&amp;sheet=U0&amp;row=578&amp;col=6&amp;number=4.4&amp;sourceID=14","4.4")</f>
        <v>4.4</v>
      </c>
      <c r="G578" s="4" t="str">
        <f>HYPERLINK("http://141.218.60.56/~jnz1568/getInfo.php?workbook=18_15.xlsx&amp;sheet=U0&amp;row=578&amp;col=7&amp;number=6.46&amp;sourceID=14","6.46")</f>
        <v>6.46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HYPERLINK("http://141.218.60.56/~jnz1568/getInfo.php?workbook=18_15.xlsx&amp;sheet=U0&amp;row=579&amp;col=6&amp;number=4.5&amp;sourceID=14","4.5")</f>
        <v>4.5</v>
      </c>
      <c r="G579" s="4" t="str">
        <f>HYPERLINK("http://141.218.60.56/~jnz1568/getInfo.php?workbook=18_15.xlsx&amp;sheet=U0&amp;row=579&amp;col=7&amp;number=6.25&amp;sourceID=14","6.25")</f>
        <v>6.25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HYPERLINK("http://141.218.60.56/~jnz1568/getInfo.php?workbook=18_15.xlsx&amp;sheet=U0&amp;row=580&amp;col=6&amp;number=4.6&amp;sourceID=14","4.6")</f>
        <v>4.6</v>
      </c>
      <c r="G580" s="4" t="str">
        <f>HYPERLINK("http://141.218.60.56/~jnz1568/getInfo.php?workbook=18_15.xlsx&amp;sheet=U0&amp;row=580&amp;col=7&amp;number=6.06&amp;sourceID=14","6.06")</f>
        <v>6.06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HYPERLINK("http://141.218.60.56/~jnz1568/getInfo.php?workbook=18_15.xlsx&amp;sheet=U0&amp;row=581&amp;col=6&amp;number=4.7&amp;sourceID=14","4.7")</f>
        <v>4.7</v>
      </c>
      <c r="G581" s="4" t="str">
        <f>HYPERLINK("http://141.218.60.56/~jnz1568/getInfo.php?workbook=18_15.xlsx&amp;sheet=U0&amp;row=581&amp;col=7&amp;number=5.94&amp;sourceID=14","5.94")</f>
        <v>5.94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HYPERLINK("http://141.218.60.56/~jnz1568/getInfo.php?workbook=18_15.xlsx&amp;sheet=U0&amp;row=582&amp;col=6&amp;number=4.8&amp;sourceID=14","4.8")</f>
        <v>4.8</v>
      </c>
      <c r="G582" s="4" t="str">
        <f>HYPERLINK("http://141.218.60.56/~jnz1568/getInfo.php?workbook=18_15.xlsx&amp;sheet=U0&amp;row=582&amp;col=7&amp;number=5.91&amp;sourceID=14","5.91")</f>
        <v>5.91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HYPERLINK("http://141.218.60.56/~jnz1568/getInfo.php?workbook=18_15.xlsx&amp;sheet=U0&amp;row=583&amp;col=6&amp;number=4.9&amp;sourceID=14","4.9")</f>
        <v>4.9</v>
      </c>
      <c r="G583" s="4" t="str">
        <f>HYPERLINK("http://141.218.60.56/~jnz1568/getInfo.php?workbook=18_15.xlsx&amp;sheet=U0&amp;row=583&amp;col=7&amp;number=5.9&amp;sourceID=14","5.9")</f>
        <v>5.9</v>
      </c>
    </row>
    <row r="584" spans="1:7">
      <c r="A584" s="3">
        <v>18</v>
      </c>
      <c r="B584" s="3">
        <v>15</v>
      </c>
      <c r="C584" s="3">
        <v>2</v>
      </c>
      <c r="D584" s="3">
        <v>4</v>
      </c>
      <c r="E584" s="3">
        <v>1</v>
      </c>
      <c r="F584" s="4" t="str">
        <f>HYPERLINK("http://141.218.60.56/~jnz1568/getInfo.php?workbook=18_15.xlsx&amp;sheet=U0&amp;row=584&amp;col=6&amp;number=3&amp;sourceID=14","3")</f>
        <v>3</v>
      </c>
      <c r="G584" s="4" t="str">
        <f>HYPERLINK("http://141.218.60.56/~jnz1568/getInfo.php?workbook=18_15.xlsx&amp;sheet=U0&amp;row=584&amp;col=7&amp;number=1.66&amp;sourceID=14","1.66")</f>
        <v>1.66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HYPERLINK("http://141.218.60.56/~jnz1568/getInfo.php?workbook=18_15.xlsx&amp;sheet=U0&amp;row=585&amp;col=6&amp;number=3.1&amp;sourceID=14","3.1")</f>
        <v>3.1</v>
      </c>
      <c r="G585" s="4" t="str">
        <f>HYPERLINK("http://141.218.60.56/~jnz1568/getInfo.php?workbook=18_15.xlsx&amp;sheet=U0&amp;row=585&amp;col=7&amp;number=1.65&amp;sourceID=14","1.65")</f>
        <v>1.65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HYPERLINK("http://141.218.60.56/~jnz1568/getInfo.php?workbook=18_15.xlsx&amp;sheet=U0&amp;row=586&amp;col=6&amp;number=3.2&amp;sourceID=14","3.2")</f>
        <v>3.2</v>
      </c>
      <c r="G586" s="4" t="str">
        <f>HYPERLINK("http://141.218.60.56/~jnz1568/getInfo.php?workbook=18_15.xlsx&amp;sheet=U0&amp;row=586&amp;col=7&amp;number=1.64&amp;sourceID=14","1.64")</f>
        <v>1.64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HYPERLINK("http://141.218.60.56/~jnz1568/getInfo.php?workbook=18_15.xlsx&amp;sheet=U0&amp;row=587&amp;col=6&amp;number=3.3&amp;sourceID=14","3.3")</f>
        <v>3.3</v>
      </c>
      <c r="G587" s="4" t="str">
        <f>HYPERLINK("http://141.218.60.56/~jnz1568/getInfo.php?workbook=18_15.xlsx&amp;sheet=U0&amp;row=587&amp;col=7&amp;number=1.63&amp;sourceID=14","1.63")</f>
        <v>1.63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HYPERLINK("http://141.218.60.56/~jnz1568/getInfo.php?workbook=18_15.xlsx&amp;sheet=U0&amp;row=588&amp;col=6&amp;number=3.4&amp;sourceID=14","3.4")</f>
        <v>3.4</v>
      </c>
      <c r="G588" s="4" t="str">
        <f>HYPERLINK("http://141.218.60.56/~jnz1568/getInfo.php?workbook=18_15.xlsx&amp;sheet=U0&amp;row=588&amp;col=7&amp;number=1.61&amp;sourceID=14","1.61")</f>
        <v>1.61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HYPERLINK("http://141.218.60.56/~jnz1568/getInfo.php?workbook=18_15.xlsx&amp;sheet=U0&amp;row=589&amp;col=6&amp;number=3.5&amp;sourceID=14","3.5")</f>
        <v>3.5</v>
      </c>
      <c r="G589" s="4" t="str">
        <f>HYPERLINK("http://141.218.60.56/~jnz1568/getInfo.php?workbook=18_15.xlsx&amp;sheet=U0&amp;row=589&amp;col=7&amp;number=1.59&amp;sourceID=14","1.59")</f>
        <v>1.59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HYPERLINK("http://141.218.60.56/~jnz1568/getInfo.php?workbook=18_15.xlsx&amp;sheet=U0&amp;row=590&amp;col=6&amp;number=3.6&amp;sourceID=14","3.6")</f>
        <v>3.6</v>
      </c>
      <c r="G590" s="4" t="str">
        <f>HYPERLINK("http://141.218.60.56/~jnz1568/getInfo.php?workbook=18_15.xlsx&amp;sheet=U0&amp;row=590&amp;col=7&amp;number=1.57&amp;sourceID=14","1.57")</f>
        <v>1.57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HYPERLINK("http://141.218.60.56/~jnz1568/getInfo.php?workbook=18_15.xlsx&amp;sheet=U0&amp;row=591&amp;col=6&amp;number=3.7&amp;sourceID=14","3.7")</f>
        <v>3.7</v>
      </c>
      <c r="G591" s="4" t="str">
        <f>HYPERLINK("http://141.218.60.56/~jnz1568/getInfo.php?workbook=18_15.xlsx&amp;sheet=U0&amp;row=591&amp;col=7&amp;number=1.55&amp;sourceID=14","1.55")</f>
        <v>1.55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HYPERLINK("http://141.218.60.56/~jnz1568/getInfo.php?workbook=18_15.xlsx&amp;sheet=U0&amp;row=592&amp;col=6&amp;number=3.8&amp;sourceID=14","3.8")</f>
        <v>3.8</v>
      </c>
      <c r="G592" s="4" t="str">
        <f>HYPERLINK("http://141.218.60.56/~jnz1568/getInfo.php?workbook=18_15.xlsx&amp;sheet=U0&amp;row=592&amp;col=7&amp;number=1.53&amp;sourceID=14","1.53")</f>
        <v>1.53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HYPERLINK("http://141.218.60.56/~jnz1568/getInfo.php?workbook=18_15.xlsx&amp;sheet=U0&amp;row=593&amp;col=6&amp;number=3.9&amp;sourceID=14","3.9")</f>
        <v>3.9</v>
      </c>
      <c r="G593" s="4" t="str">
        <f>HYPERLINK("http://141.218.60.56/~jnz1568/getInfo.php?workbook=18_15.xlsx&amp;sheet=U0&amp;row=593&amp;col=7&amp;number=1.51&amp;sourceID=14","1.51")</f>
        <v>1.51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HYPERLINK("http://141.218.60.56/~jnz1568/getInfo.php?workbook=18_15.xlsx&amp;sheet=U0&amp;row=594&amp;col=6&amp;number=4&amp;sourceID=14","4")</f>
        <v>4</v>
      </c>
      <c r="G594" s="4" t="str">
        <f>HYPERLINK("http://141.218.60.56/~jnz1568/getInfo.php?workbook=18_15.xlsx&amp;sheet=U0&amp;row=594&amp;col=7&amp;number=1.51&amp;sourceID=14","1.51")</f>
        <v>1.51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HYPERLINK("http://141.218.60.56/~jnz1568/getInfo.php?workbook=18_15.xlsx&amp;sheet=U0&amp;row=595&amp;col=6&amp;number=4.1&amp;sourceID=14","4.1")</f>
        <v>4.1</v>
      </c>
      <c r="G595" s="4" t="str">
        <f>HYPERLINK("http://141.218.60.56/~jnz1568/getInfo.php?workbook=18_15.xlsx&amp;sheet=U0&amp;row=595&amp;col=7&amp;number=1.51&amp;sourceID=14","1.51")</f>
        <v>1.51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HYPERLINK("http://141.218.60.56/~jnz1568/getInfo.php?workbook=18_15.xlsx&amp;sheet=U0&amp;row=596&amp;col=6&amp;number=4.2&amp;sourceID=14","4.2")</f>
        <v>4.2</v>
      </c>
      <c r="G596" s="4" t="str">
        <f>HYPERLINK("http://141.218.60.56/~jnz1568/getInfo.php?workbook=18_15.xlsx&amp;sheet=U0&amp;row=596&amp;col=7&amp;number=1.52&amp;sourceID=14","1.52")</f>
        <v>1.52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HYPERLINK("http://141.218.60.56/~jnz1568/getInfo.php?workbook=18_15.xlsx&amp;sheet=U0&amp;row=597&amp;col=6&amp;number=4.3&amp;sourceID=14","4.3")</f>
        <v>4.3</v>
      </c>
      <c r="G597" s="4" t="str">
        <f>HYPERLINK("http://141.218.60.56/~jnz1568/getInfo.php?workbook=18_15.xlsx&amp;sheet=U0&amp;row=597&amp;col=7&amp;number=1.53&amp;sourceID=14","1.53")</f>
        <v>1.53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HYPERLINK("http://141.218.60.56/~jnz1568/getInfo.php?workbook=18_15.xlsx&amp;sheet=U0&amp;row=598&amp;col=6&amp;number=4.4&amp;sourceID=14","4.4")</f>
        <v>4.4</v>
      </c>
      <c r="G598" s="4" t="str">
        <f>HYPERLINK("http://141.218.60.56/~jnz1568/getInfo.php?workbook=18_15.xlsx&amp;sheet=U0&amp;row=598&amp;col=7&amp;number=1.56&amp;sourceID=14","1.56")</f>
        <v>1.56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HYPERLINK("http://141.218.60.56/~jnz1568/getInfo.php?workbook=18_15.xlsx&amp;sheet=U0&amp;row=599&amp;col=6&amp;number=4.5&amp;sourceID=14","4.5")</f>
        <v>4.5</v>
      </c>
      <c r="G599" s="4" t="str">
        <f>HYPERLINK("http://141.218.60.56/~jnz1568/getInfo.php?workbook=18_15.xlsx&amp;sheet=U0&amp;row=599&amp;col=7&amp;number=1.59&amp;sourceID=14","1.59")</f>
        <v>1.59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HYPERLINK("http://141.218.60.56/~jnz1568/getInfo.php?workbook=18_15.xlsx&amp;sheet=U0&amp;row=600&amp;col=6&amp;number=4.6&amp;sourceID=14","4.6")</f>
        <v>4.6</v>
      </c>
      <c r="G600" s="4" t="str">
        <f>HYPERLINK("http://141.218.60.56/~jnz1568/getInfo.php?workbook=18_15.xlsx&amp;sheet=U0&amp;row=600&amp;col=7&amp;number=1.64&amp;sourceID=14","1.64")</f>
        <v>1.64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HYPERLINK("http://141.218.60.56/~jnz1568/getInfo.php?workbook=18_15.xlsx&amp;sheet=U0&amp;row=601&amp;col=6&amp;number=4.7&amp;sourceID=14","4.7")</f>
        <v>4.7</v>
      </c>
      <c r="G601" s="4" t="str">
        <f>HYPERLINK("http://141.218.60.56/~jnz1568/getInfo.php?workbook=18_15.xlsx&amp;sheet=U0&amp;row=601&amp;col=7&amp;number=1.71&amp;sourceID=14","1.71")</f>
        <v>1.71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HYPERLINK("http://141.218.60.56/~jnz1568/getInfo.php?workbook=18_15.xlsx&amp;sheet=U0&amp;row=602&amp;col=6&amp;number=4.8&amp;sourceID=14","4.8")</f>
        <v>4.8</v>
      </c>
      <c r="G602" s="4" t="str">
        <f>HYPERLINK("http://141.218.60.56/~jnz1568/getInfo.php?workbook=18_15.xlsx&amp;sheet=U0&amp;row=602&amp;col=7&amp;number=1.79&amp;sourceID=14","1.79")</f>
        <v>1.79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HYPERLINK("http://141.218.60.56/~jnz1568/getInfo.php?workbook=18_15.xlsx&amp;sheet=U0&amp;row=603&amp;col=6&amp;number=4.9&amp;sourceID=14","4.9")</f>
        <v>4.9</v>
      </c>
      <c r="G603" s="4" t="str">
        <f>HYPERLINK("http://141.218.60.56/~jnz1568/getInfo.php?workbook=18_15.xlsx&amp;sheet=U0&amp;row=603&amp;col=7&amp;number=1.87&amp;sourceID=14","1.87")</f>
        <v>1.87</v>
      </c>
    </row>
    <row r="604" spans="1:7">
      <c r="A604" s="3">
        <v>18</v>
      </c>
      <c r="B604" s="3">
        <v>15</v>
      </c>
      <c r="C604" s="3">
        <v>2</v>
      </c>
      <c r="D604" s="3">
        <v>5</v>
      </c>
      <c r="E604" s="3">
        <v>1</v>
      </c>
      <c r="F604" s="4" t="str">
        <f>HYPERLINK("http://141.218.60.56/~jnz1568/getInfo.php?workbook=18_15.xlsx&amp;sheet=U0&amp;row=604&amp;col=6&amp;number=3&amp;sourceID=14","3")</f>
        <v>3</v>
      </c>
      <c r="G604" s="4" t="str">
        <f>HYPERLINK("http://141.218.60.56/~jnz1568/getInfo.php?workbook=18_15.xlsx&amp;sheet=U0&amp;row=604&amp;col=7&amp;number=2.14&amp;sourceID=14","2.14")</f>
        <v>2.14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HYPERLINK("http://141.218.60.56/~jnz1568/getInfo.php?workbook=18_15.xlsx&amp;sheet=U0&amp;row=605&amp;col=6&amp;number=3.1&amp;sourceID=14","3.1")</f>
        <v>3.1</v>
      </c>
      <c r="G605" s="4" t="str">
        <f>HYPERLINK("http://141.218.60.56/~jnz1568/getInfo.php?workbook=18_15.xlsx&amp;sheet=U0&amp;row=605&amp;col=7&amp;number=2.14&amp;sourceID=14","2.14")</f>
        <v>2.14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HYPERLINK("http://141.218.60.56/~jnz1568/getInfo.php?workbook=18_15.xlsx&amp;sheet=U0&amp;row=606&amp;col=6&amp;number=3.2&amp;sourceID=14","3.2")</f>
        <v>3.2</v>
      </c>
      <c r="G606" s="4" t="str">
        <f>HYPERLINK("http://141.218.60.56/~jnz1568/getInfo.php?workbook=18_15.xlsx&amp;sheet=U0&amp;row=606&amp;col=7&amp;number=2.14&amp;sourceID=14","2.14")</f>
        <v>2.14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HYPERLINK("http://141.218.60.56/~jnz1568/getInfo.php?workbook=18_15.xlsx&amp;sheet=U0&amp;row=607&amp;col=6&amp;number=3.3&amp;sourceID=14","3.3")</f>
        <v>3.3</v>
      </c>
      <c r="G607" s="4" t="str">
        <f>HYPERLINK("http://141.218.60.56/~jnz1568/getInfo.php?workbook=18_15.xlsx&amp;sheet=U0&amp;row=607&amp;col=7&amp;number=2.14&amp;sourceID=14","2.14")</f>
        <v>2.14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HYPERLINK("http://141.218.60.56/~jnz1568/getInfo.php?workbook=18_15.xlsx&amp;sheet=U0&amp;row=608&amp;col=6&amp;number=3.4&amp;sourceID=14","3.4")</f>
        <v>3.4</v>
      </c>
      <c r="G608" s="4" t="str">
        <f>HYPERLINK("http://141.218.60.56/~jnz1568/getInfo.php?workbook=18_15.xlsx&amp;sheet=U0&amp;row=608&amp;col=7&amp;number=2.14&amp;sourceID=14","2.14")</f>
        <v>2.14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HYPERLINK("http://141.218.60.56/~jnz1568/getInfo.php?workbook=18_15.xlsx&amp;sheet=U0&amp;row=609&amp;col=6&amp;number=3.5&amp;sourceID=14","3.5")</f>
        <v>3.5</v>
      </c>
      <c r="G609" s="4" t="str">
        <f>HYPERLINK("http://141.218.60.56/~jnz1568/getInfo.php?workbook=18_15.xlsx&amp;sheet=U0&amp;row=609&amp;col=7&amp;number=2.13&amp;sourceID=14","2.13")</f>
        <v>2.13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HYPERLINK("http://141.218.60.56/~jnz1568/getInfo.php?workbook=18_15.xlsx&amp;sheet=U0&amp;row=610&amp;col=6&amp;number=3.6&amp;sourceID=14","3.6")</f>
        <v>3.6</v>
      </c>
      <c r="G610" s="4" t="str">
        <f>HYPERLINK("http://141.218.60.56/~jnz1568/getInfo.php?workbook=18_15.xlsx&amp;sheet=U0&amp;row=610&amp;col=7&amp;number=2.13&amp;sourceID=14","2.13")</f>
        <v>2.13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HYPERLINK("http://141.218.60.56/~jnz1568/getInfo.php?workbook=18_15.xlsx&amp;sheet=U0&amp;row=611&amp;col=6&amp;number=3.7&amp;sourceID=14","3.7")</f>
        <v>3.7</v>
      </c>
      <c r="G611" s="4" t="str">
        <f>HYPERLINK("http://141.218.60.56/~jnz1568/getInfo.php?workbook=18_15.xlsx&amp;sheet=U0&amp;row=611&amp;col=7&amp;number=2.13&amp;sourceID=14","2.13")</f>
        <v>2.13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HYPERLINK("http://141.218.60.56/~jnz1568/getInfo.php?workbook=18_15.xlsx&amp;sheet=U0&amp;row=612&amp;col=6&amp;number=3.8&amp;sourceID=14","3.8")</f>
        <v>3.8</v>
      </c>
      <c r="G612" s="4" t="str">
        <f>HYPERLINK("http://141.218.60.56/~jnz1568/getInfo.php?workbook=18_15.xlsx&amp;sheet=U0&amp;row=612&amp;col=7&amp;number=2.13&amp;sourceID=14","2.13")</f>
        <v>2.13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HYPERLINK("http://141.218.60.56/~jnz1568/getInfo.php?workbook=18_15.xlsx&amp;sheet=U0&amp;row=613&amp;col=6&amp;number=3.9&amp;sourceID=14","3.9")</f>
        <v>3.9</v>
      </c>
      <c r="G613" s="4" t="str">
        <f>HYPERLINK("http://141.218.60.56/~jnz1568/getInfo.php?workbook=18_15.xlsx&amp;sheet=U0&amp;row=613&amp;col=7&amp;number=2.13&amp;sourceID=14","2.13")</f>
        <v>2.13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HYPERLINK("http://141.218.60.56/~jnz1568/getInfo.php?workbook=18_15.xlsx&amp;sheet=U0&amp;row=614&amp;col=6&amp;number=4&amp;sourceID=14","4")</f>
        <v>4</v>
      </c>
      <c r="G614" s="4" t="str">
        <f>HYPERLINK("http://141.218.60.56/~jnz1568/getInfo.php?workbook=18_15.xlsx&amp;sheet=U0&amp;row=614&amp;col=7&amp;number=2.13&amp;sourceID=14","2.13")</f>
        <v>2.13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HYPERLINK("http://141.218.60.56/~jnz1568/getInfo.php?workbook=18_15.xlsx&amp;sheet=U0&amp;row=615&amp;col=6&amp;number=4.1&amp;sourceID=14","4.1")</f>
        <v>4.1</v>
      </c>
      <c r="G615" s="4" t="str">
        <f>HYPERLINK("http://141.218.60.56/~jnz1568/getInfo.php?workbook=18_15.xlsx&amp;sheet=U0&amp;row=615&amp;col=7&amp;number=2.14&amp;sourceID=14","2.14")</f>
        <v>2.14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HYPERLINK("http://141.218.60.56/~jnz1568/getInfo.php?workbook=18_15.xlsx&amp;sheet=U0&amp;row=616&amp;col=6&amp;number=4.2&amp;sourceID=14","4.2")</f>
        <v>4.2</v>
      </c>
      <c r="G616" s="4" t="str">
        <f>HYPERLINK("http://141.218.60.56/~jnz1568/getInfo.php?workbook=18_15.xlsx&amp;sheet=U0&amp;row=616&amp;col=7&amp;number=2.16&amp;sourceID=14","2.16")</f>
        <v>2.16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HYPERLINK("http://141.218.60.56/~jnz1568/getInfo.php?workbook=18_15.xlsx&amp;sheet=U0&amp;row=617&amp;col=6&amp;number=4.3&amp;sourceID=14","4.3")</f>
        <v>4.3</v>
      </c>
      <c r="G617" s="4" t="str">
        <f>HYPERLINK("http://141.218.60.56/~jnz1568/getInfo.php?workbook=18_15.xlsx&amp;sheet=U0&amp;row=617&amp;col=7&amp;number=2.18&amp;sourceID=14","2.18")</f>
        <v>2.18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HYPERLINK("http://141.218.60.56/~jnz1568/getInfo.php?workbook=18_15.xlsx&amp;sheet=U0&amp;row=618&amp;col=6&amp;number=4.4&amp;sourceID=14","4.4")</f>
        <v>4.4</v>
      </c>
      <c r="G618" s="4" t="str">
        <f>HYPERLINK("http://141.218.60.56/~jnz1568/getInfo.php?workbook=18_15.xlsx&amp;sheet=U0&amp;row=618&amp;col=7&amp;number=2.21&amp;sourceID=14","2.21")</f>
        <v>2.21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HYPERLINK("http://141.218.60.56/~jnz1568/getInfo.php?workbook=18_15.xlsx&amp;sheet=U0&amp;row=619&amp;col=6&amp;number=4.5&amp;sourceID=14","4.5")</f>
        <v>4.5</v>
      </c>
      <c r="G619" s="4" t="str">
        <f>HYPERLINK("http://141.218.60.56/~jnz1568/getInfo.php?workbook=18_15.xlsx&amp;sheet=U0&amp;row=619&amp;col=7&amp;number=2.25&amp;sourceID=14","2.25")</f>
        <v>2.25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HYPERLINK("http://141.218.60.56/~jnz1568/getInfo.php?workbook=18_15.xlsx&amp;sheet=U0&amp;row=620&amp;col=6&amp;number=4.6&amp;sourceID=14","4.6")</f>
        <v>4.6</v>
      </c>
      <c r="G620" s="4" t="str">
        <f>HYPERLINK("http://141.218.60.56/~jnz1568/getInfo.php?workbook=18_15.xlsx&amp;sheet=U0&amp;row=620&amp;col=7&amp;number=2.3&amp;sourceID=14","2.3")</f>
        <v>2.3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HYPERLINK("http://141.218.60.56/~jnz1568/getInfo.php?workbook=18_15.xlsx&amp;sheet=U0&amp;row=621&amp;col=6&amp;number=4.7&amp;sourceID=14","4.7")</f>
        <v>4.7</v>
      </c>
      <c r="G621" s="4" t="str">
        <f>HYPERLINK("http://141.218.60.56/~jnz1568/getInfo.php?workbook=18_15.xlsx&amp;sheet=U0&amp;row=621&amp;col=7&amp;number=2.38&amp;sourceID=14","2.38")</f>
        <v>2.38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HYPERLINK("http://141.218.60.56/~jnz1568/getInfo.php?workbook=18_15.xlsx&amp;sheet=U0&amp;row=622&amp;col=6&amp;number=4.8&amp;sourceID=14","4.8")</f>
        <v>4.8</v>
      </c>
      <c r="G622" s="4" t="str">
        <f>HYPERLINK("http://141.218.60.56/~jnz1568/getInfo.php?workbook=18_15.xlsx&amp;sheet=U0&amp;row=622&amp;col=7&amp;number=2.47&amp;sourceID=14","2.47")</f>
        <v>2.47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HYPERLINK("http://141.218.60.56/~jnz1568/getInfo.php?workbook=18_15.xlsx&amp;sheet=U0&amp;row=623&amp;col=6&amp;number=4.9&amp;sourceID=14","4.9")</f>
        <v>4.9</v>
      </c>
      <c r="G623" s="4" t="str">
        <f>HYPERLINK("http://141.218.60.56/~jnz1568/getInfo.php?workbook=18_15.xlsx&amp;sheet=U0&amp;row=623&amp;col=7&amp;number=2.57&amp;sourceID=14","2.57")</f>
        <v>2.57</v>
      </c>
    </row>
    <row r="624" spans="1:7">
      <c r="A624" s="3">
        <v>18</v>
      </c>
      <c r="B624" s="3">
        <v>15</v>
      </c>
      <c r="C624" s="3">
        <v>2</v>
      </c>
      <c r="D624" s="3">
        <v>6</v>
      </c>
      <c r="E624" s="3">
        <v>1</v>
      </c>
      <c r="F624" s="4" t="str">
        <f>HYPERLINK("http://141.218.60.56/~jnz1568/getInfo.php?workbook=18_15.xlsx&amp;sheet=U0&amp;row=624&amp;col=6&amp;number=3&amp;sourceID=14","3")</f>
        <v>3</v>
      </c>
      <c r="G624" s="4" t="str">
        <f>HYPERLINK("http://141.218.60.56/~jnz1568/getInfo.php?workbook=18_15.xlsx&amp;sheet=U0&amp;row=624&amp;col=7&amp;number=0.368&amp;sourceID=14","0.368")</f>
        <v>0.368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HYPERLINK("http://141.218.60.56/~jnz1568/getInfo.php?workbook=18_15.xlsx&amp;sheet=U0&amp;row=625&amp;col=6&amp;number=3.1&amp;sourceID=14","3.1")</f>
        <v>3.1</v>
      </c>
      <c r="G625" s="4" t="str">
        <f>HYPERLINK("http://141.218.60.56/~jnz1568/getInfo.php?workbook=18_15.xlsx&amp;sheet=U0&amp;row=625&amp;col=7&amp;number=0.367&amp;sourceID=14","0.367")</f>
        <v>0.367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HYPERLINK("http://141.218.60.56/~jnz1568/getInfo.php?workbook=18_15.xlsx&amp;sheet=U0&amp;row=626&amp;col=6&amp;number=3.2&amp;sourceID=14","3.2")</f>
        <v>3.2</v>
      </c>
      <c r="G626" s="4" t="str">
        <f>HYPERLINK("http://141.218.60.56/~jnz1568/getInfo.php?workbook=18_15.xlsx&amp;sheet=U0&amp;row=626&amp;col=7&amp;number=0.365&amp;sourceID=14","0.365")</f>
        <v>0.365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HYPERLINK("http://141.218.60.56/~jnz1568/getInfo.php?workbook=18_15.xlsx&amp;sheet=U0&amp;row=627&amp;col=6&amp;number=3.3&amp;sourceID=14","3.3")</f>
        <v>3.3</v>
      </c>
      <c r="G627" s="4" t="str">
        <f>HYPERLINK("http://141.218.60.56/~jnz1568/getInfo.php?workbook=18_15.xlsx&amp;sheet=U0&amp;row=627&amp;col=7&amp;number=0.363&amp;sourceID=14","0.363")</f>
        <v>0.363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HYPERLINK("http://141.218.60.56/~jnz1568/getInfo.php?workbook=18_15.xlsx&amp;sheet=U0&amp;row=628&amp;col=6&amp;number=3.4&amp;sourceID=14","3.4")</f>
        <v>3.4</v>
      </c>
      <c r="G628" s="4" t="str">
        <f>HYPERLINK("http://141.218.60.56/~jnz1568/getInfo.php?workbook=18_15.xlsx&amp;sheet=U0&amp;row=628&amp;col=7&amp;number=0.36&amp;sourceID=14","0.36")</f>
        <v>0.36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HYPERLINK("http://141.218.60.56/~jnz1568/getInfo.php?workbook=18_15.xlsx&amp;sheet=U0&amp;row=629&amp;col=6&amp;number=3.5&amp;sourceID=14","3.5")</f>
        <v>3.5</v>
      </c>
      <c r="G629" s="4" t="str">
        <f>HYPERLINK("http://141.218.60.56/~jnz1568/getInfo.php?workbook=18_15.xlsx&amp;sheet=U0&amp;row=629&amp;col=7&amp;number=0.357&amp;sourceID=14","0.357")</f>
        <v>0.357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HYPERLINK("http://141.218.60.56/~jnz1568/getInfo.php?workbook=18_15.xlsx&amp;sheet=U0&amp;row=630&amp;col=6&amp;number=3.6&amp;sourceID=14","3.6")</f>
        <v>3.6</v>
      </c>
      <c r="G630" s="4" t="str">
        <f>HYPERLINK("http://141.218.60.56/~jnz1568/getInfo.php?workbook=18_15.xlsx&amp;sheet=U0&amp;row=630&amp;col=7&amp;number=0.353&amp;sourceID=14","0.353")</f>
        <v>0.353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HYPERLINK("http://141.218.60.56/~jnz1568/getInfo.php?workbook=18_15.xlsx&amp;sheet=U0&amp;row=631&amp;col=6&amp;number=3.7&amp;sourceID=14","3.7")</f>
        <v>3.7</v>
      </c>
      <c r="G631" s="4" t="str">
        <f>HYPERLINK("http://141.218.60.56/~jnz1568/getInfo.php?workbook=18_15.xlsx&amp;sheet=U0&amp;row=631&amp;col=7&amp;number=0.349&amp;sourceID=14","0.349")</f>
        <v>0.349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HYPERLINK("http://141.218.60.56/~jnz1568/getInfo.php?workbook=18_15.xlsx&amp;sheet=U0&amp;row=632&amp;col=6&amp;number=3.8&amp;sourceID=14","3.8")</f>
        <v>3.8</v>
      </c>
      <c r="G632" s="4" t="str">
        <f>HYPERLINK("http://141.218.60.56/~jnz1568/getInfo.php?workbook=18_15.xlsx&amp;sheet=U0&amp;row=632&amp;col=7&amp;number=0.346&amp;sourceID=14","0.346")</f>
        <v>0.346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HYPERLINK("http://141.218.60.56/~jnz1568/getInfo.php?workbook=18_15.xlsx&amp;sheet=U0&amp;row=633&amp;col=6&amp;number=3.9&amp;sourceID=14","3.9")</f>
        <v>3.9</v>
      </c>
      <c r="G633" s="4" t="str">
        <f>HYPERLINK("http://141.218.60.56/~jnz1568/getInfo.php?workbook=18_15.xlsx&amp;sheet=U0&amp;row=633&amp;col=7&amp;number=0.344&amp;sourceID=14","0.344")</f>
        <v>0.344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HYPERLINK("http://141.218.60.56/~jnz1568/getInfo.php?workbook=18_15.xlsx&amp;sheet=U0&amp;row=634&amp;col=6&amp;number=4&amp;sourceID=14","4")</f>
        <v>4</v>
      </c>
      <c r="G634" s="4" t="str">
        <f>HYPERLINK("http://141.218.60.56/~jnz1568/getInfo.php?workbook=18_15.xlsx&amp;sheet=U0&amp;row=634&amp;col=7&amp;number=0.343&amp;sourceID=14","0.343")</f>
        <v>0.343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HYPERLINK("http://141.218.60.56/~jnz1568/getInfo.php?workbook=18_15.xlsx&amp;sheet=U0&amp;row=635&amp;col=6&amp;number=4.1&amp;sourceID=14","4.1")</f>
        <v>4.1</v>
      </c>
      <c r="G635" s="4" t="str">
        <f>HYPERLINK("http://141.218.60.56/~jnz1568/getInfo.php?workbook=18_15.xlsx&amp;sheet=U0&amp;row=635&amp;col=7&amp;number=0.343&amp;sourceID=14","0.343")</f>
        <v>0.343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HYPERLINK("http://141.218.60.56/~jnz1568/getInfo.php?workbook=18_15.xlsx&amp;sheet=U0&amp;row=636&amp;col=6&amp;number=4.2&amp;sourceID=14","4.2")</f>
        <v>4.2</v>
      </c>
      <c r="G636" s="4" t="str">
        <f>HYPERLINK("http://141.218.60.56/~jnz1568/getInfo.php?workbook=18_15.xlsx&amp;sheet=U0&amp;row=636&amp;col=7&amp;number=0.343&amp;sourceID=14","0.343")</f>
        <v>0.343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HYPERLINK("http://141.218.60.56/~jnz1568/getInfo.php?workbook=18_15.xlsx&amp;sheet=U0&amp;row=637&amp;col=6&amp;number=4.3&amp;sourceID=14","4.3")</f>
        <v>4.3</v>
      </c>
      <c r="G637" s="4" t="str">
        <f>HYPERLINK("http://141.218.60.56/~jnz1568/getInfo.php?workbook=18_15.xlsx&amp;sheet=U0&amp;row=637&amp;col=7&amp;number=0.342&amp;sourceID=14","0.342")</f>
        <v>0.342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HYPERLINK("http://141.218.60.56/~jnz1568/getInfo.php?workbook=18_15.xlsx&amp;sheet=U0&amp;row=638&amp;col=6&amp;number=4.4&amp;sourceID=14","4.4")</f>
        <v>4.4</v>
      </c>
      <c r="G638" s="4" t="str">
        <f>HYPERLINK("http://141.218.60.56/~jnz1568/getInfo.php?workbook=18_15.xlsx&amp;sheet=U0&amp;row=638&amp;col=7&amp;number=0.339&amp;sourceID=14","0.339")</f>
        <v>0.339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HYPERLINK("http://141.218.60.56/~jnz1568/getInfo.php?workbook=18_15.xlsx&amp;sheet=U0&amp;row=639&amp;col=6&amp;number=4.5&amp;sourceID=14","4.5")</f>
        <v>4.5</v>
      </c>
      <c r="G639" s="4" t="str">
        <f>HYPERLINK("http://141.218.60.56/~jnz1568/getInfo.php?workbook=18_15.xlsx&amp;sheet=U0&amp;row=639&amp;col=7&amp;number=0.334&amp;sourceID=14","0.334")</f>
        <v>0.334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HYPERLINK("http://141.218.60.56/~jnz1568/getInfo.php?workbook=18_15.xlsx&amp;sheet=U0&amp;row=640&amp;col=6&amp;number=4.6&amp;sourceID=14","4.6")</f>
        <v>4.6</v>
      </c>
      <c r="G640" s="4" t="str">
        <f>HYPERLINK("http://141.218.60.56/~jnz1568/getInfo.php?workbook=18_15.xlsx&amp;sheet=U0&amp;row=640&amp;col=7&amp;number=0.326&amp;sourceID=14","0.326")</f>
        <v>0.326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HYPERLINK("http://141.218.60.56/~jnz1568/getInfo.php?workbook=18_15.xlsx&amp;sheet=U0&amp;row=641&amp;col=6&amp;number=4.7&amp;sourceID=14","4.7")</f>
        <v>4.7</v>
      </c>
      <c r="G641" s="4" t="str">
        <f>HYPERLINK("http://141.218.60.56/~jnz1568/getInfo.php?workbook=18_15.xlsx&amp;sheet=U0&amp;row=641&amp;col=7&amp;number=0.316&amp;sourceID=14","0.316")</f>
        <v>0.316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HYPERLINK("http://141.218.60.56/~jnz1568/getInfo.php?workbook=18_15.xlsx&amp;sheet=U0&amp;row=642&amp;col=6&amp;number=4.8&amp;sourceID=14","4.8")</f>
        <v>4.8</v>
      </c>
      <c r="G642" s="4" t="str">
        <f>HYPERLINK("http://141.218.60.56/~jnz1568/getInfo.php?workbook=18_15.xlsx&amp;sheet=U0&amp;row=642&amp;col=7&amp;number=0.304&amp;sourceID=14","0.304")</f>
        <v>0.304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HYPERLINK("http://141.218.60.56/~jnz1568/getInfo.php?workbook=18_15.xlsx&amp;sheet=U0&amp;row=643&amp;col=6&amp;number=4.9&amp;sourceID=14","4.9")</f>
        <v>4.9</v>
      </c>
      <c r="G643" s="4" t="str">
        <f>HYPERLINK("http://141.218.60.56/~jnz1568/getInfo.php?workbook=18_15.xlsx&amp;sheet=U0&amp;row=643&amp;col=7&amp;number=0.289&amp;sourceID=14","0.289")</f>
        <v>0.289</v>
      </c>
    </row>
    <row r="644" spans="1:7">
      <c r="A644" s="3">
        <v>18</v>
      </c>
      <c r="B644" s="3">
        <v>15</v>
      </c>
      <c r="C644" s="3">
        <v>2</v>
      </c>
      <c r="D644" s="3">
        <v>7</v>
      </c>
      <c r="E644" s="3">
        <v>1</v>
      </c>
      <c r="F644" s="4" t="str">
        <f>HYPERLINK("http://141.218.60.56/~jnz1568/getInfo.php?workbook=18_15.xlsx&amp;sheet=U0&amp;row=644&amp;col=6&amp;number=3&amp;sourceID=14","3")</f>
        <v>3</v>
      </c>
      <c r="G644" s="4" t="str">
        <f>HYPERLINK("http://141.218.60.56/~jnz1568/getInfo.php?workbook=18_15.xlsx&amp;sheet=U0&amp;row=644&amp;col=7&amp;number=0.636&amp;sourceID=14","0.636")</f>
        <v>0.636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HYPERLINK("http://141.218.60.56/~jnz1568/getInfo.php?workbook=18_15.xlsx&amp;sheet=U0&amp;row=645&amp;col=6&amp;number=3.1&amp;sourceID=14","3.1")</f>
        <v>3.1</v>
      </c>
      <c r="G645" s="4" t="str">
        <f>HYPERLINK("http://141.218.60.56/~jnz1568/getInfo.php?workbook=18_15.xlsx&amp;sheet=U0&amp;row=645&amp;col=7&amp;number=0.63&amp;sourceID=14","0.63")</f>
        <v>0.63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HYPERLINK("http://141.218.60.56/~jnz1568/getInfo.php?workbook=18_15.xlsx&amp;sheet=U0&amp;row=646&amp;col=6&amp;number=3.2&amp;sourceID=14","3.2")</f>
        <v>3.2</v>
      </c>
      <c r="G646" s="4" t="str">
        <f>HYPERLINK("http://141.218.60.56/~jnz1568/getInfo.php?workbook=18_15.xlsx&amp;sheet=U0&amp;row=646&amp;col=7&amp;number=0.622&amp;sourceID=14","0.622")</f>
        <v>0.622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HYPERLINK("http://141.218.60.56/~jnz1568/getInfo.php?workbook=18_15.xlsx&amp;sheet=U0&amp;row=647&amp;col=6&amp;number=3.3&amp;sourceID=14","3.3")</f>
        <v>3.3</v>
      </c>
      <c r="G647" s="4" t="str">
        <f>HYPERLINK("http://141.218.60.56/~jnz1568/getInfo.php?workbook=18_15.xlsx&amp;sheet=U0&amp;row=647&amp;col=7&amp;number=0.613&amp;sourceID=14","0.613")</f>
        <v>0.613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HYPERLINK("http://141.218.60.56/~jnz1568/getInfo.php?workbook=18_15.xlsx&amp;sheet=U0&amp;row=648&amp;col=6&amp;number=3.4&amp;sourceID=14","3.4")</f>
        <v>3.4</v>
      </c>
      <c r="G648" s="4" t="str">
        <f>HYPERLINK("http://141.218.60.56/~jnz1568/getInfo.php?workbook=18_15.xlsx&amp;sheet=U0&amp;row=648&amp;col=7&amp;number=0.602&amp;sourceID=14","0.602")</f>
        <v>0.602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HYPERLINK("http://141.218.60.56/~jnz1568/getInfo.php?workbook=18_15.xlsx&amp;sheet=U0&amp;row=649&amp;col=6&amp;number=3.5&amp;sourceID=14","3.5")</f>
        <v>3.5</v>
      </c>
      <c r="G649" s="4" t="str">
        <f>HYPERLINK("http://141.218.60.56/~jnz1568/getInfo.php?workbook=18_15.xlsx&amp;sheet=U0&amp;row=649&amp;col=7&amp;number=0.591&amp;sourceID=14","0.591")</f>
        <v>0.591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HYPERLINK("http://141.218.60.56/~jnz1568/getInfo.php?workbook=18_15.xlsx&amp;sheet=U0&amp;row=650&amp;col=6&amp;number=3.6&amp;sourceID=14","3.6")</f>
        <v>3.6</v>
      </c>
      <c r="G650" s="4" t="str">
        <f>HYPERLINK("http://141.218.60.56/~jnz1568/getInfo.php?workbook=18_15.xlsx&amp;sheet=U0&amp;row=650&amp;col=7&amp;number=0.579&amp;sourceID=14","0.579")</f>
        <v>0.579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HYPERLINK("http://141.218.60.56/~jnz1568/getInfo.php?workbook=18_15.xlsx&amp;sheet=U0&amp;row=651&amp;col=6&amp;number=3.7&amp;sourceID=14","3.7")</f>
        <v>3.7</v>
      </c>
      <c r="G651" s="4" t="str">
        <f>HYPERLINK("http://141.218.60.56/~jnz1568/getInfo.php?workbook=18_15.xlsx&amp;sheet=U0&amp;row=651&amp;col=7&amp;number=0.568&amp;sourceID=14","0.568")</f>
        <v>0.568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HYPERLINK("http://141.218.60.56/~jnz1568/getInfo.php?workbook=18_15.xlsx&amp;sheet=U0&amp;row=652&amp;col=6&amp;number=3.8&amp;sourceID=14","3.8")</f>
        <v>3.8</v>
      </c>
      <c r="G652" s="4" t="str">
        <f>HYPERLINK("http://141.218.60.56/~jnz1568/getInfo.php?workbook=18_15.xlsx&amp;sheet=U0&amp;row=652&amp;col=7&amp;number=0.56&amp;sourceID=14","0.56")</f>
        <v>0.56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HYPERLINK("http://141.218.60.56/~jnz1568/getInfo.php?workbook=18_15.xlsx&amp;sheet=U0&amp;row=653&amp;col=6&amp;number=3.9&amp;sourceID=14","3.9")</f>
        <v>3.9</v>
      </c>
      <c r="G653" s="4" t="str">
        <f>HYPERLINK("http://141.218.60.56/~jnz1568/getInfo.php?workbook=18_15.xlsx&amp;sheet=U0&amp;row=653&amp;col=7&amp;number=0.555&amp;sourceID=14","0.555")</f>
        <v>0.555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HYPERLINK("http://141.218.60.56/~jnz1568/getInfo.php?workbook=18_15.xlsx&amp;sheet=U0&amp;row=654&amp;col=6&amp;number=4&amp;sourceID=14","4")</f>
        <v>4</v>
      </c>
      <c r="G654" s="4" t="str">
        <f>HYPERLINK("http://141.218.60.56/~jnz1568/getInfo.php?workbook=18_15.xlsx&amp;sheet=U0&amp;row=654&amp;col=7&amp;number=0.552&amp;sourceID=14","0.552")</f>
        <v>0.552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HYPERLINK("http://141.218.60.56/~jnz1568/getInfo.php?workbook=18_15.xlsx&amp;sheet=U0&amp;row=655&amp;col=6&amp;number=4.1&amp;sourceID=14","4.1")</f>
        <v>4.1</v>
      </c>
      <c r="G655" s="4" t="str">
        <f>HYPERLINK("http://141.218.60.56/~jnz1568/getInfo.php?workbook=18_15.xlsx&amp;sheet=U0&amp;row=655&amp;col=7&amp;number=0.55&amp;sourceID=14","0.55")</f>
        <v>0.55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HYPERLINK("http://141.218.60.56/~jnz1568/getInfo.php?workbook=18_15.xlsx&amp;sheet=U0&amp;row=656&amp;col=6&amp;number=4.2&amp;sourceID=14","4.2")</f>
        <v>4.2</v>
      </c>
      <c r="G656" s="4" t="str">
        <f>HYPERLINK("http://141.218.60.56/~jnz1568/getInfo.php?workbook=18_15.xlsx&amp;sheet=U0&amp;row=656&amp;col=7&amp;number=0.548&amp;sourceID=14","0.548")</f>
        <v>0.548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HYPERLINK("http://141.218.60.56/~jnz1568/getInfo.php?workbook=18_15.xlsx&amp;sheet=U0&amp;row=657&amp;col=6&amp;number=4.3&amp;sourceID=14","4.3")</f>
        <v>4.3</v>
      </c>
      <c r="G657" s="4" t="str">
        <f>HYPERLINK("http://141.218.60.56/~jnz1568/getInfo.php?workbook=18_15.xlsx&amp;sheet=U0&amp;row=657&amp;col=7&amp;number=0.543&amp;sourceID=14","0.543")</f>
        <v>0.543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HYPERLINK("http://141.218.60.56/~jnz1568/getInfo.php?workbook=18_15.xlsx&amp;sheet=U0&amp;row=658&amp;col=6&amp;number=4.4&amp;sourceID=14","4.4")</f>
        <v>4.4</v>
      </c>
      <c r="G658" s="4" t="str">
        <f>HYPERLINK("http://141.218.60.56/~jnz1568/getInfo.php?workbook=18_15.xlsx&amp;sheet=U0&amp;row=658&amp;col=7&amp;number=0.537&amp;sourceID=14","0.537")</f>
        <v>0.537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HYPERLINK("http://141.218.60.56/~jnz1568/getInfo.php?workbook=18_15.xlsx&amp;sheet=U0&amp;row=659&amp;col=6&amp;number=4.5&amp;sourceID=14","4.5")</f>
        <v>4.5</v>
      </c>
      <c r="G659" s="4" t="str">
        <f>HYPERLINK("http://141.218.60.56/~jnz1568/getInfo.php?workbook=18_15.xlsx&amp;sheet=U0&amp;row=659&amp;col=7&amp;number=0.53&amp;sourceID=14","0.53")</f>
        <v>0.53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HYPERLINK("http://141.218.60.56/~jnz1568/getInfo.php?workbook=18_15.xlsx&amp;sheet=U0&amp;row=660&amp;col=6&amp;number=4.6&amp;sourceID=14","4.6")</f>
        <v>4.6</v>
      </c>
      <c r="G660" s="4" t="str">
        <f>HYPERLINK("http://141.218.60.56/~jnz1568/getInfo.php?workbook=18_15.xlsx&amp;sheet=U0&amp;row=660&amp;col=7&amp;number=0.52&amp;sourceID=14","0.52")</f>
        <v>0.52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HYPERLINK("http://141.218.60.56/~jnz1568/getInfo.php?workbook=18_15.xlsx&amp;sheet=U0&amp;row=661&amp;col=6&amp;number=4.7&amp;sourceID=14","4.7")</f>
        <v>4.7</v>
      </c>
      <c r="G661" s="4" t="str">
        <f>HYPERLINK("http://141.218.60.56/~jnz1568/getInfo.php?workbook=18_15.xlsx&amp;sheet=U0&amp;row=661&amp;col=7&amp;number=0.501&amp;sourceID=14","0.501")</f>
        <v>0.501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HYPERLINK("http://141.218.60.56/~jnz1568/getInfo.php?workbook=18_15.xlsx&amp;sheet=U0&amp;row=662&amp;col=6&amp;number=4.8&amp;sourceID=14","4.8")</f>
        <v>4.8</v>
      </c>
      <c r="G662" s="4" t="str">
        <f>HYPERLINK("http://141.218.60.56/~jnz1568/getInfo.php?workbook=18_15.xlsx&amp;sheet=U0&amp;row=662&amp;col=7&amp;number=0.475&amp;sourceID=14","0.475")</f>
        <v>0.475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HYPERLINK("http://141.218.60.56/~jnz1568/getInfo.php?workbook=18_15.xlsx&amp;sheet=U0&amp;row=663&amp;col=6&amp;number=4.9&amp;sourceID=14","4.9")</f>
        <v>4.9</v>
      </c>
      <c r="G663" s="4" t="str">
        <f>HYPERLINK("http://141.218.60.56/~jnz1568/getInfo.php?workbook=18_15.xlsx&amp;sheet=U0&amp;row=663&amp;col=7&amp;number=0.452&amp;sourceID=14","0.452")</f>
        <v>0.452</v>
      </c>
    </row>
    <row r="664" spans="1:7">
      <c r="A664" s="3">
        <v>18</v>
      </c>
      <c r="B664" s="3">
        <v>15</v>
      </c>
      <c r="C664" s="3">
        <v>2</v>
      </c>
      <c r="D664" s="3">
        <v>8</v>
      </c>
      <c r="E664" s="3">
        <v>1</v>
      </c>
      <c r="F664" s="4" t="str">
        <f>HYPERLINK("http://141.218.60.56/~jnz1568/getInfo.php?workbook=18_15.xlsx&amp;sheet=U0&amp;row=664&amp;col=6&amp;number=3&amp;sourceID=14","3")</f>
        <v>3</v>
      </c>
      <c r="G664" s="4" t="str">
        <f>HYPERLINK("http://141.218.60.56/~jnz1568/getInfo.php?workbook=18_15.xlsx&amp;sheet=U0&amp;row=664&amp;col=7&amp;number=0.628&amp;sourceID=14","0.628")</f>
        <v>0.628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HYPERLINK("http://141.218.60.56/~jnz1568/getInfo.php?workbook=18_15.xlsx&amp;sheet=U0&amp;row=665&amp;col=6&amp;number=3.1&amp;sourceID=14","3.1")</f>
        <v>3.1</v>
      </c>
      <c r="G665" s="4" t="str">
        <f>HYPERLINK("http://141.218.60.56/~jnz1568/getInfo.php?workbook=18_15.xlsx&amp;sheet=U0&amp;row=665&amp;col=7&amp;number=0.621&amp;sourceID=14","0.621")</f>
        <v>0.621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HYPERLINK("http://141.218.60.56/~jnz1568/getInfo.php?workbook=18_15.xlsx&amp;sheet=U0&amp;row=666&amp;col=6&amp;number=3.2&amp;sourceID=14","3.2")</f>
        <v>3.2</v>
      </c>
      <c r="G666" s="4" t="str">
        <f>HYPERLINK("http://141.218.60.56/~jnz1568/getInfo.php?workbook=18_15.xlsx&amp;sheet=U0&amp;row=666&amp;col=7&amp;number=0.612&amp;sourceID=14","0.612")</f>
        <v>0.612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HYPERLINK("http://141.218.60.56/~jnz1568/getInfo.php?workbook=18_15.xlsx&amp;sheet=U0&amp;row=667&amp;col=6&amp;number=3.3&amp;sourceID=14","3.3")</f>
        <v>3.3</v>
      </c>
      <c r="G667" s="4" t="str">
        <f>HYPERLINK("http://141.218.60.56/~jnz1568/getInfo.php?workbook=18_15.xlsx&amp;sheet=U0&amp;row=667&amp;col=7&amp;number=0.601&amp;sourceID=14","0.601")</f>
        <v>0.601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HYPERLINK("http://141.218.60.56/~jnz1568/getInfo.php?workbook=18_15.xlsx&amp;sheet=U0&amp;row=668&amp;col=6&amp;number=3.4&amp;sourceID=14","3.4")</f>
        <v>3.4</v>
      </c>
      <c r="G668" s="4" t="str">
        <f>HYPERLINK("http://141.218.60.56/~jnz1568/getInfo.php?workbook=18_15.xlsx&amp;sheet=U0&amp;row=668&amp;col=7&amp;number=0.587&amp;sourceID=14","0.587")</f>
        <v>0.587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HYPERLINK("http://141.218.60.56/~jnz1568/getInfo.php?workbook=18_15.xlsx&amp;sheet=U0&amp;row=669&amp;col=6&amp;number=3.5&amp;sourceID=14","3.5")</f>
        <v>3.5</v>
      </c>
      <c r="G669" s="4" t="str">
        <f>HYPERLINK("http://141.218.60.56/~jnz1568/getInfo.php?workbook=18_15.xlsx&amp;sheet=U0&amp;row=669&amp;col=7&amp;number=0.572&amp;sourceID=14","0.572")</f>
        <v>0.572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HYPERLINK("http://141.218.60.56/~jnz1568/getInfo.php?workbook=18_15.xlsx&amp;sheet=U0&amp;row=670&amp;col=6&amp;number=3.6&amp;sourceID=14","3.6")</f>
        <v>3.6</v>
      </c>
      <c r="G670" s="4" t="str">
        <f>HYPERLINK("http://141.218.60.56/~jnz1568/getInfo.php?workbook=18_15.xlsx&amp;sheet=U0&amp;row=670&amp;col=7&amp;number=0.554&amp;sourceID=14","0.554")</f>
        <v>0.554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HYPERLINK("http://141.218.60.56/~jnz1568/getInfo.php?workbook=18_15.xlsx&amp;sheet=U0&amp;row=671&amp;col=6&amp;number=3.7&amp;sourceID=14","3.7")</f>
        <v>3.7</v>
      </c>
      <c r="G671" s="4" t="str">
        <f>HYPERLINK("http://141.218.60.56/~jnz1568/getInfo.php?workbook=18_15.xlsx&amp;sheet=U0&amp;row=671&amp;col=7&amp;number=0.535&amp;sourceID=14","0.535")</f>
        <v>0.535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HYPERLINK("http://141.218.60.56/~jnz1568/getInfo.php?workbook=18_15.xlsx&amp;sheet=U0&amp;row=672&amp;col=6&amp;number=3.8&amp;sourceID=14","3.8")</f>
        <v>3.8</v>
      </c>
      <c r="G672" s="4" t="str">
        <f>HYPERLINK("http://141.218.60.56/~jnz1568/getInfo.php?workbook=18_15.xlsx&amp;sheet=U0&amp;row=672&amp;col=7&amp;number=0.517&amp;sourceID=14","0.517")</f>
        <v>0.517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HYPERLINK("http://141.218.60.56/~jnz1568/getInfo.php?workbook=18_15.xlsx&amp;sheet=U0&amp;row=673&amp;col=6&amp;number=3.9&amp;sourceID=14","3.9")</f>
        <v>3.9</v>
      </c>
      <c r="G673" s="4" t="str">
        <f>HYPERLINK("http://141.218.60.56/~jnz1568/getInfo.php?workbook=18_15.xlsx&amp;sheet=U0&amp;row=673&amp;col=7&amp;number=0.501&amp;sourceID=14","0.501")</f>
        <v>0.501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HYPERLINK("http://141.218.60.56/~jnz1568/getInfo.php?workbook=18_15.xlsx&amp;sheet=U0&amp;row=674&amp;col=6&amp;number=4&amp;sourceID=14","4")</f>
        <v>4</v>
      </c>
      <c r="G674" s="4" t="str">
        <f>HYPERLINK("http://141.218.60.56/~jnz1568/getInfo.php?workbook=18_15.xlsx&amp;sheet=U0&amp;row=674&amp;col=7&amp;number=0.49&amp;sourceID=14","0.49")</f>
        <v>0.49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HYPERLINK("http://141.218.60.56/~jnz1568/getInfo.php?workbook=18_15.xlsx&amp;sheet=U0&amp;row=675&amp;col=6&amp;number=4.1&amp;sourceID=14","4.1")</f>
        <v>4.1</v>
      </c>
      <c r="G675" s="4" t="str">
        <f>HYPERLINK("http://141.218.60.56/~jnz1568/getInfo.php?workbook=18_15.xlsx&amp;sheet=U0&amp;row=675&amp;col=7&amp;number=0.482&amp;sourceID=14","0.482")</f>
        <v>0.482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HYPERLINK("http://141.218.60.56/~jnz1568/getInfo.php?workbook=18_15.xlsx&amp;sheet=U0&amp;row=676&amp;col=6&amp;number=4.2&amp;sourceID=14","4.2")</f>
        <v>4.2</v>
      </c>
      <c r="G676" s="4" t="str">
        <f>HYPERLINK("http://141.218.60.56/~jnz1568/getInfo.php?workbook=18_15.xlsx&amp;sheet=U0&amp;row=676&amp;col=7&amp;number=0.475&amp;sourceID=14","0.475")</f>
        <v>0.475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HYPERLINK("http://141.218.60.56/~jnz1568/getInfo.php?workbook=18_15.xlsx&amp;sheet=U0&amp;row=677&amp;col=6&amp;number=4.3&amp;sourceID=14","4.3")</f>
        <v>4.3</v>
      </c>
      <c r="G677" s="4" t="str">
        <f>HYPERLINK("http://141.218.60.56/~jnz1568/getInfo.php?workbook=18_15.xlsx&amp;sheet=U0&amp;row=677&amp;col=7&amp;number=0.467&amp;sourceID=14","0.467")</f>
        <v>0.467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HYPERLINK("http://141.218.60.56/~jnz1568/getInfo.php?workbook=18_15.xlsx&amp;sheet=U0&amp;row=678&amp;col=6&amp;number=4.4&amp;sourceID=14","4.4")</f>
        <v>4.4</v>
      </c>
      <c r="G678" s="4" t="str">
        <f>HYPERLINK("http://141.218.60.56/~jnz1568/getInfo.php?workbook=18_15.xlsx&amp;sheet=U0&amp;row=678&amp;col=7&amp;number=0.457&amp;sourceID=14","0.457")</f>
        <v>0.457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HYPERLINK("http://141.218.60.56/~jnz1568/getInfo.php?workbook=18_15.xlsx&amp;sheet=U0&amp;row=679&amp;col=6&amp;number=4.5&amp;sourceID=14","4.5")</f>
        <v>4.5</v>
      </c>
      <c r="G679" s="4" t="str">
        <f>HYPERLINK("http://141.218.60.56/~jnz1568/getInfo.php?workbook=18_15.xlsx&amp;sheet=U0&amp;row=679&amp;col=7&amp;number=0.448&amp;sourceID=14","0.448")</f>
        <v>0.448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HYPERLINK("http://141.218.60.56/~jnz1568/getInfo.php?workbook=18_15.xlsx&amp;sheet=U0&amp;row=680&amp;col=6&amp;number=4.6&amp;sourceID=14","4.6")</f>
        <v>4.6</v>
      </c>
      <c r="G680" s="4" t="str">
        <f>HYPERLINK("http://141.218.60.56/~jnz1568/getInfo.php?workbook=18_15.xlsx&amp;sheet=U0&amp;row=680&amp;col=7&amp;number=0.437&amp;sourceID=14","0.437")</f>
        <v>0.437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HYPERLINK("http://141.218.60.56/~jnz1568/getInfo.php?workbook=18_15.xlsx&amp;sheet=U0&amp;row=681&amp;col=6&amp;number=4.7&amp;sourceID=14","4.7")</f>
        <v>4.7</v>
      </c>
      <c r="G681" s="4" t="str">
        <f>HYPERLINK("http://141.218.60.56/~jnz1568/getInfo.php?workbook=18_15.xlsx&amp;sheet=U0&amp;row=681&amp;col=7&amp;number=0.424&amp;sourceID=14","0.424")</f>
        <v>0.424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HYPERLINK("http://141.218.60.56/~jnz1568/getInfo.php?workbook=18_15.xlsx&amp;sheet=U0&amp;row=682&amp;col=6&amp;number=4.8&amp;sourceID=14","4.8")</f>
        <v>4.8</v>
      </c>
      <c r="G682" s="4" t="str">
        <f>HYPERLINK("http://141.218.60.56/~jnz1568/getInfo.php?workbook=18_15.xlsx&amp;sheet=U0&amp;row=682&amp;col=7&amp;number=0.407&amp;sourceID=14","0.407")</f>
        <v>0.407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HYPERLINK("http://141.218.60.56/~jnz1568/getInfo.php?workbook=18_15.xlsx&amp;sheet=U0&amp;row=683&amp;col=6&amp;number=4.9&amp;sourceID=14","4.9")</f>
        <v>4.9</v>
      </c>
      <c r="G683" s="4" t="str">
        <f>HYPERLINK("http://141.218.60.56/~jnz1568/getInfo.php?workbook=18_15.xlsx&amp;sheet=U0&amp;row=683&amp;col=7&amp;number=0.385&amp;sourceID=14","0.385")</f>
        <v>0.385</v>
      </c>
    </row>
    <row r="684" spans="1:7">
      <c r="A684" s="3">
        <v>18</v>
      </c>
      <c r="B684" s="3">
        <v>15</v>
      </c>
      <c r="C684" s="3">
        <v>2</v>
      </c>
      <c r="D684" s="3">
        <v>9</v>
      </c>
      <c r="E684" s="3">
        <v>1</v>
      </c>
      <c r="F684" s="4" t="str">
        <f>HYPERLINK("http://141.218.60.56/~jnz1568/getInfo.php?workbook=18_15.xlsx&amp;sheet=U0&amp;row=684&amp;col=6&amp;number=3&amp;sourceID=14","3")</f>
        <v>3</v>
      </c>
      <c r="G684" s="4" t="str">
        <f>HYPERLINK("http://141.218.60.56/~jnz1568/getInfo.php?workbook=18_15.xlsx&amp;sheet=U0&amp;row=684&amp;col=7&amp;number=1.2&amp;sourceID=14","1.2")</f>
        <v>1.2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HYPERLINK("http://141.218.60.56/~jnz1568/getInfo.php?workbook=18_15.xlsx&amp;sheet=U0&amp;row=685&amp;col=6&amp;number=3.1&amp;sourceID=14","3.1")</f>
        <v>3.1</v>
      </c>
      <c r="G685" s="4" t="str">
        <f>HYPERLINK("http://141.218.60.56/~jnz1568/getInfo.php?workbook=18_15.xlsx&amp;sheet=U0&amp;row=685&amp;col=7&amp;number=1.19&amp;sourceID=14","1.19")</f>
        <v>1.19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HYPERLINK("http://141.218.60.56/~jnz1568/getInfo.php?workbook=18_15.xlsx&amp;sheet=U0&amp;row=686&amp;col=6&amp;number=3.2&amp;sourceID=14","3.2")</f>
        <v>3.2</v>
      </c>
      <c r="G686" s="4" t="str">
        <f>HYPERLINK("http://141.218.60.56/~jnz1568/getInfo.php?workbook=18_15.xlsx&amp;sheet=U0&amp;row=686&amp;col=7&amp;number=1.18&amp;sourceID=14","1.18")</f>
        <v>1.18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HYPERLINK("http://141.218.60.56/~jnz1568/getInfo.php?workbook=18_15.xlsx&amp;sheet=U0&amp;row=687&amp;col=6&amp;number=3.3&amp;sourceID=14","3.3")</f>
        <v>3.3</v>
      </c>
      <c r="G687" s="4" t="str">
        <f>HYPERLINK("http://141.218.60.56/~jnz1568/getInfo.php?workbook=18_15.xlsx&amp;sheet=U0&amp;row=687&amp;col=7&amp;number=1.17&amp;sourceID=14","1.17")</f>
        <v>1.17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HYPERLINK("http://141.218.60.56/~jnz1568/getInfo.php?workbook=18_15.xlsx&amp;sheet=U0&amp;row=688&amp;col=6&amp;number=3.4&amp;sourceID=14","3.4")</f>
        <v>3.4</v>
      </c>
      <c r="G688" s="4" t="str">
        <f>HYPERLINK("http://141.218.60.56/~jnz1568/getInfo.php?workbook=18_15.xlsx&amp;sheet=U0&amp;row=688&amp;col=7&amp;number=1.16&amp;sourceID=14","1.16")</f>
        <v>1.16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HYPERLINK("http://141.218.60.56/~jnz1568/getInfo.php?workbook=18_15.xlsx&amp;sheet=U0&amp;row=689&amp;col=6&amp;number=3.5&amp;sourceID=14","3.5")</f>
        <v>3.5</v>
      </c>
      <c r="G689" s="4" t="str">
        <f>HYPERLINK("http://141.218.60.56/~jnz1568/getInfo.php?workbook=18_15.xlsx&amp;sheet=U0&amp;row=689&amp;col=7&amp;number=1.15&amp;sourceID=14","1.15")</f>
        <v>1.15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HYPERLINK("http://141.218.60.56/~jnz1568/getInfo.php?workbook=18_15.xlsx&amp;sheet=U0&amp;row=690&amp;col=6&amp;number=3.6&amp;sourceID=14","3.6")</f>
        <v>3.6</v>
      </c>
      <c r="G690" s="4" t="str">
        <f>HYPERLINK("http://141.218.60.56/~jnz1568/getInfo.php?workbook=18_15.xlsx&amp;sheet=U0&amp;row=690&amp;col=7&amp;number=1.14&amp;sourceID=14","1.14")</f>
        <v>1.14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HYPERLINK("http://141.218.60.56/~jnz1568/getInfo.php?workbook=18_15.xlsx&amp;sheet=U0&amp;row=691&amp;col=6&amp;number=3.7&amp;sourceID=14","3.7")</f>
        <v>3.7</v>
      </c>
      <c r="G691" s="4" t="str">
        <f>HYPERLINK("http://141.218.60.56/~jnz1568/getInfo.php?workbook=18_15.xlsx&amp;sheet=U0&amp;row=691&amp;col=7&amp;number=1.13&amp;sourceID=14","1.13")</f>
        <v>1.13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HYPERLINK("http://141.218.60.56/~jnz1568/getInfo.php?workbook=18_15.xlsx&amp;sheet=U0&amp;row=692&amp;col=6&amp;number=3.8&amp;sourceID=14","3.8")</f>
        <v>3.8</v>
      </c>
      <c r="G692" s="4" t="str">
        <f>HYPERLINK("http://141.218.60.56/~jnz1568/getInfo.php?workbook=18_15.xlsx&amp;sheet=U0&amp;row=692&amp;col=7&amp;number=1.13&amp;sourceID=14","1.13")</f>
        <v>1.13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HYPERLINK("http://141.218.60.56/~jnz1568/getInfo.php?workbook=18_15.xlsx&amp;sheet=U0&amp;row=693&amp;col=6&amp;number=3.9&amp;sourceID=14","3.9")</f>
        <v>3.9</v>
      </c>
      <c r="G693" s="4" t="str">
        <f>HYPERLINK("http://141.218.60.56/~jnz1568/getInfo.php?workbook=18_15.xlsx&amp;sheet=U0&amp;row=693&amp;col=7&amp;number=1.15&amp;sourceID=14","1.15")</f>
        <v>1.15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HYPERLINK("http://141.218.60.56/~jnz1568/getInfo.php?workbook=18_15.xlsx&amp;sheet=U0&amp;row=694&amp;col=6&amp;number=4&amp;sourceID=14","4")</f>
        <v>4</v>
      </c>
      <c r="G694" s="4" t="str">
        <f>HYPERLINK("http://141.218.60.56/~jnz1568/getInfo.php?workbook=18_15.xlsx&amp;sheet=U0&amp;row=694&amp;col=7&amp;number=1.19&amp;sourceID=14","1.19")</f>
        <v>1.19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HYPERLINK("http://141.218.60.56/~jnz1568/getInfo.php?workbook=18_15.xlsx&amp;sheet=U0&amp;row=695&amp;col=6&amp;number=4.1&amp;sourceID=14","4.1")</f>
        <v>4.1</v>
      </c>
      <c r="G695" s="4" t="str">
        <f>HYPERLINK("http://141.218.60.56/~jnz1568/getInfo.php?workbook=18_15.xlsx&amp;sheet=U0&amp;row=695&amp;col=7&amp;number=1.26&amp;sourceID=14","1.26")</f>
        <v>1.26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HYPERLINK("http://141.218.60.56/~jnz1568/getInfo.php?workbook=18_15.xlsx&amp;sheet=U0&amp;row=696&amp;col=6&amp;number=4.2&amp;sourceID=14","4.2")</f>
        <v>4.2</v>
      </c>
      <c r="G696" s="4" t="str">
        <f>HYPERLINK("http://141.218.60.56/~jnz1568/getInfo.php?workbook=18_15.xlsx&amp;sheet=U0&amp;row=696&amp;col=7&amp;number=1.37&amp;sourceID=14","1.37")</f>
        <v>1.37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HYPERLINK("http://141.218.60.56/~jnz1568/getInfo.php?workbook=18_15.xlsx&amp;sheet=U0&amp;row=697&amp;col=6&amp;number=4.3&amp;sourceID=14","4.3")</f>
        <v>4.3</v>
      </c>
      <c r="G697" s="4" t="str">
        <f>HYPERLINK("http://141.218.60.56/~jnz1568/getInfo.php?workbook=18_15.xlsx&amp;sheet=U0&amp;row=697&amp;col=7&amp;number=1.52&amp;sourceID=14","1.52")</f>
        <v>1.52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HYPERLINK("http://141.218.60.56/~jnz1568/getInfo.php?workbook=18_15.xlsx&amp;sheet=U0&amp;row=698&amp;col=6&amp;number=4.4&amp;sourceID=14","4.4")</f>
        <v>4.4</v>
      </c>
      <c r="G698" s="4" t="str">
        <f>HYPERLINK("http://141.218.60.56/~jnz1568/getInfo.php?workbook=18_15.xlsx&amp;sheet=U0&amp;row=698&amp;col=7&amp;number=1.7&amp;sourceID=14","1.7")</f>
        <v>1.7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HYPERLINK("http://141.218.60.56/~jnz1568/getInfo.php?workbook=18_15.xlsx&amp;sheet=U0&amp;row=699&amp;col=6&amp;number=4.5&amp;sourceID=14","4.5")</f>
        <v>4.5</v>
      </c>
      <c r="G699" s="4" t="str">
        <f>HYPERLINK("http://141.218.60.56/~jnz1568/getInfo.php?workbook=18_15.xlsx&amp;sheet=U0&amp;row=699&amp;col=7&amp;number=1.91&amp;sourceID=14","1.91")</f>
        <v>1.91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HYPERLINK("http://141.218.60.56/~jnz1568/getInfo.php?workbook=18_15.xlsx&amp;sheet=U0&amp;row=700&amp;col=6&amp;number=4.6&amp;sourceID=14","4.6")</f>
        <v>4.6</v>
      </c>
      <c r="G700" s="4" t="str">
        <f>HYPERLINK("http://141.218.60.56/~jnz1568/getInfo.php?workbook=18_15.xlsx&amp;sheet=U0&amp;row=700&amp;col=7&amp;number=2.12&amp;sourceID=14","2.12")</f>
        <v>2.12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HYPERLINK("http://141.218.60.56/~jnz1568/getInfo.php?workbook=18_15.xlsx&amp;sheet=U0&amp;row=701&amp;col=6&amp;number=4.7&amp;sourceID=14","4.7")</f>
        <v>4.7</v>
      </c>
      <c r="G701" s="4" t="str">
        <f>HYPERLINK("http://141.218.60.56/~jnz1568/getInfo.php?workbook=18_15.xlsx&amp;sheet=U0&amp;row=701&amp;col=7&amp;number=2.28&amp;sourceID=14","2.28")</f>
        <v>2.28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HYPERLINK("http://141.218.60.56/~jnz1568/getInfo.php?workbook=18_15.xlsx&amp;sheet=U0&amp;row=702&amp;col=6&amp;number=4.8&amp;sourceID=14","4.8")</f>
        <v>4.8</v>
      </c>
      <c r="G702" s="4" t="str">
        <f>HYPERLINK("http://141.218.60.56/~jnz1568/getInfo.php?workbook=18_15.xlsx&amp;sheet=U0&amp;row=702&amp;col=7&amp;number=2.38&amp;sourceID=14","2.38")</f>
        <v>2.38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HYPERLINK("http://141.218.60.56/~jnz1568/getInfo.php?workbook=18_15.xlsx&amp;sheet=U0&amp;row=703&amp;col=6&amp;number=4.9&amp;sourceID=14","4.9")</f>
        <v>4.9</v>
      </c>
      <c r="G703" s="4" t="str">
        <f>HYPERLINK("http://141.218.60.56/~jnz1568/getInfo.php?workbook=18_15.xlsx&amp;sheet=U0&amp;row=703&amp;col=7&amp;number=2.43&amp;sourceID=14","2.43")</f>
        <v>2.43</v>
      </c>
    </row>
    <row r="704" spans="1:7">
      <c r="A704" s="3">
        <v>18</v>
      </c>
      <c r="B704" s="3">
        <v>15</v>
      </c>
      <c r="C704" s="3">
        <v>2</v>
      </c>
      <c r="D704" s="3">
        <v>10</v>
      </c>
      <c r="E704" s="3">
        <v>1</v>
      </c>
      <c r="F704" s="4" t="str">
        <f>HYPERLINK("http://141.218.60.56/~jnz1568/getInfo.php?workbook=18_15.xlsx&amp;sheet=U0&amp;row=704&amp;col=6&amp;number=3&amp;sourceID=14","3")</f>
        <v>3</v>
      </c>
      <c r="G704" s="4" t="str">
        <f>HYPERLINK("http://141.218.60.56/~jnz1568/getInfo.php?workbook=18_15.xlsx&amp;sheet=U0&amp;row=704&amp;col=7&amp;number=0.893&amp;sourceID=14","0.893")</f>
        <v>0.893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HYPERLINK("http://141.218.60.56/~jnz1568/getInfo.php?workbook=18_15.xlsx&amp;sheet=U0&amp;row=705&amp;col=6&amp;number=3.1&amp;sourceID=14","3.1")</f>
        <v>3.1</v>
      </c>
      <c r="G705" s="4" t="str">
        <f>HYPERLINK("http://141.218.60.56/~jnz1568/getInfo.php?workbook=18_15.xlsx&amp;sheet=U0&amp;row=705&amp;col=7&amp;number=0.892&amp;sourceID=14","0.892")</f>
        <v>0.892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HYPERLINK("http://141.218.60.56/~jnz1568/getInfo.php?workbook=18_15.xlsx&amp;sheet=U0&amp;row=706&amp;col=6&amp;number=3.2&amp;sourceID=14","3.2")</f>
        <v>3.2</v>
      </c>
      <c r="G706" s="4" t="str">
        <f>HYPERLINK("http://141.218.60.56/~jnz1568/getInfo.php?workbook=18_15.xlsx&amp;sheet=U0&amp;row=706&amp;col=7&amp;number=0.89&amp;sourceID=14","0.89")</f>
        <v>0.89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HYPERLINK("http://141.218.60.56/~jnz1568/getInfo.php?workbook=18_15.xlsx&amp;sheet=U0&amp;row=707&amp;col=6&amp;number=3.3&amp;sourceID=14","3.3")</f>
        <v>3.3</v>
      </c>
      <c r="G707" s="4" t="str">
        <f>HYPERLINK("http://141.218.60.56/~jnz1568/getInfo.php?workbook=18_15.xlsx&amp;sheet=U0&amp;row=707&amp;col=7&amp;number=0.887&amp;sourceID=14","0.887")</f>
        <v>0.887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HYPERLINK("http://141.218.60.56/~jnz1568/getInfo.php?workbook=18_15.xlsx&amp;sheet=U0&amp;row=708&amp;col=6&amp;number=3.4&amp;sourceID=14","3.4")</f>
        <v>3.4</v>
      </c>
      <c r="G708" s="4" t="str">
        <f>HYPERLINK("http://141.218.60.56/~jnz1568/getInfo.php?workbook=18_15.xlsx&amp;sheet=U0&amp;row=708&amp;col=7&amp;number=0.885&amp;sourceID=14","0.885")</f>
        <v>0.885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HYPERLINK("http://141.218.60.56/~jnz1568/getInfo.php?workbook=18_15.xlsx&amp;sheet=U0&amp;row=709&amp;col=6&amp;number=3.5&amp;sourceID=14","3.5")</f>
        <v>3.5</v>
      </c>
      <c r="G709" s="4" t="str">
        <f>HYPERLINK("http://141.218.60.56/~jnz1568/getInfo.php?workbook=18_15.xlsx&amp;sheet=U0&amp;row=709&amp;col=7&amp;number=0.883&amp;sourceID=14","0.883")</f>
        <v>0.883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HYPERLINK("http://141.218.60.56/~jnz1568/getInfo.php?workbook=18_15.xlsx&amp;sheet=U0&amp;row=710&amp;col=6&amp;number=3.6&amp;sourceID=14","3.6")</f>
        <v>3.6</v>
      </c>
      <c r="G710" s="4" t="str">
        <f>HYPERLINK("http://141.218.60.56/~jnz1568/getInfo.php?workbook=18_15.xlsx&amp;sheet=U0&amp;row=710&amp;col=7&amp;number=0.881&amp;sourceID=14","0.881")</f>
        <v>0.881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HYPERLINK("http://141.218.60.56/~jnz1568/getInfo.php?workbook=18_15.xlsx&amp;sheet=U0&amp;row=711&amp;col=6&amp;number=3.7&amp;sourceID=14","3.7")</f>
        <v>3.7</v>
      </c>
      <c r="G711" s="4" t="str">
        <f>HYPERLINK("http://141.218.60.56/~jnz1568/getInfo.php?workbook=18_15.xlsx&amp;sheet=U0&amp;row=711&amp;col=7&amp;number=0.882&amp;sourceID=14","0.882")</f>
        <v>0.882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HYPERLINK("http://141.218.60.56/~jnz1568/getInfo.php?workbook=18_15.xlsx&amp;sheet=U0&amp;row=712&amp;col=6&amp;number=3.8&amp;sourceID=14","3.8")</f>
        <v>3.8</v>
      </c>
      <c r="G712" s="4" t="str">
        <f>HYPERLINK("http://141.218.60.56/~jnz1568/getInfo.php?workbook=18_15.xlsx&amp;sheet=U0&amp;row=712&amp;col=7&amp;number=0.888&amp;sourceID=14","0.888")</f>
        <v>0.888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HYPERLINK("http://141.218.60.56/~jnz1568/getInfo.php?workbook=18_15.xlsx&amp;sheet=U0&amp;row=713&amp;col=6&amp;number=3.9&amp;sourceID=14","3.9")</f>
        <v>3.9</v>
      </c>
      <c r="G713" s="4" t="str">
        <f>HYPERLINK("http://141.218.60.56/~jnz1568/getInfo.php?workbook=18_15.xlsx&amp;sheet=U0&amp;row=713&amp;col=7&amp;number=0.903&amp;sourceID=14","0.903")</f>
        <v>0.903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HYPERLINK("http://141.218.60.56/~jnz1568/getInfo.php?workbook=18_15.xlsx&amp;sheet=U0&amp;row=714&amp;col=6&amp;number=4&amp;sourceID=14","4")</f>
        <v>4</v>
      </c>
      <c r="G714" s="4" t="str">
        <f>HYPERLINK("http://141.218.60.56/~jnz1568/getInfo.php?workbook=18_15.xlsx&amp;sheet=U0&amp;row=714&amp;col=7&amp;number=0.936&amp;sourceID=14","0.936")</f>
        <v>0.936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HYPERLINK("http://141.218.60.56/~jnz1568/getInfo.php?workbook=18_15.xlsx&amp;sheet=U0&amp;row=715&amp;col=6&amp;number=4.1&amp;sourceID=14","4.1")</f>
        <v>4.1</v>
      </c>
      <c r="G715" s="4" t="str">
        <f>HYPERLINK("http://141.218.60.56/~jnz1568/getInfo.php?workbook=18_15.xlsx&amp;sheet=U0&amp;row=715&amp;col=7&amp;number=0.994&amp;sourceID=14","0.994")</f>
        <v>0.994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HYPERLINK("http://141.218.60.56/~jnz1568/getInfo.php?workbook=18_15.xlsx&amp;sheet=U0&amp;row=716&amp;col=6&amp;number=4.2&amp;sourceID=14","4.2")</f>
        <v>4.2</v>
      </c>
      <c r="G716" s="4" t="str">
        <f>HYPERLINK("http://141.218.60.56/~jnz1568/getInfo.php?workbook=18_15.xlsx&amp;sheet=U0&amp;row=716&amp;col=7&amp;number=1.08&amp;sourceID=14","1.08")</f>
        <v>1.08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HYPERLINK("http://141.218.60.56/~jnz1568/getInfo.php?workbook=18_15.xlsx&amp;sheet=U0&amp;row=717&amp;col=6&amp;number=4.3&amp;sourceID=14","4.3")</f>
        <v>4.3</v>
      </c>
      <c r="G717" s="4" t="str">
        <f>HYPERLINK("http://141.218.60.56/~jnz1568/getInfo.php?workbook=18_15.xlsx&amp;sheet=U0&amp;row=717&amp;col=7&amp;number=1.2&amp;sourceID=14","1.2")</f>
        <v>1.2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HYPERLINK("http://141.218.60.56/~jnz1568/getInfo.php?workbook=18_15.xlsx&amp;sheet=U0&amp;row=718&amp;col=6&amp;number=4.4&amp;sourceID=14","4.4")</f>
        <v>4.4</v>
      </c>
      <c r="G718" s="4" t="str">
        <f>HYPERLINK("http://141.218.60.56/~jnz1568/getInfo.php?workbook=18_15.xlsx&amp;sheet=U0&amp;row=718&amp;col=7&amp;number=1.34&amp;sourceID=14","1.34")</f>
        <v>1.34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HYPERLINK("http://141.218.60.56/~jnz1568/getInfo.php?workbook=18_15.xlsx&amp;sheet=U0&amp;row=719&amp;col=6&amp;number=4.5&amp;sourceID=14","4.5")</f>
        <v>4.5</v>
      </c>
      <c r="G719" s="4" t="str">
        <f>HYPERLINK("http://141.218.60.56/~jnz1568/getInfo.php?workbook=18_15.xlsx&amp;sheet=U0&amp;row=719&amp;col=7&amp;number=1.48&amp;sourceID=14","1.48")</f>
        <v>1.48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HYPERLINK("http://141.218.60.56/~jnz1568/getInfo.php?workbook=18_15.xlsx&amp;sheet=U0&amp;row=720&amp;col=6&amp;number=4.6&amp;sourceID=14","4.6")</f>
        <v>4.6</v>
      </c>
      <c r="G720" s="4" t="str">
        <f>HYPERLINK("http://141.218.60.56/~jnz1568/getInfo.php?workbook=18_15.xlsx&amp;sheet=U0&amp;row=720&amp;col=7&amp;number=1.62&amp;sourceID=14","1.62")</f>
        <v>1.62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HYPERLINK("http://141.218.60.56/~jnz1568/getInfo.php?workbook=18_15.xlsx&amp;sheet=U0&amp;row=721&amp;col=6&amp;number=4.7&amp;sourceID=14","4.7")</f>
        <v>4.7</v>
      </c>
      <c r="G721" s="4" t="str">
        <f>HYPERLINK("http://141.218.60.56/~jnz1568/getInfo.php?workbook=18_15.xlsx&amp;sheet=U0&amp;row=721&amp;col=7&amp;number=1.72&amp;sourceID=14","1.72")</f>
        <v>1.72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HYPERLINK("http://141.218.60.56/~jnz1568/getInfo.php?workbook=18_15.xlsx&amp;sheet=U0&amp;row=722&amp;col=6&amp;number=4.8&amp;sourceID=14","4.8")</f>
        <v>4.8</v>
      </c>
      <c r="G722" s="4" t="str">
        <f>HYPERLINK("http://141.218.60.56/~jnz1568/getInfo.php?workbook=18_15.xlsx&amp;sheet=U0&amp;row=722&amp;col=7&amp;number=1.77&amp;sourceID=14","1.77")</f>
        <v>1.77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HYPERLINK("http://141.218.60.56/~jnz1568/getInfo.php?workbook=18_15.xlsx&amp;sheet=U0&amp;row=723&amp;col=6&amp;number=4.9&amp;sourceID=14","4.9")</f>
        <v>4.9</v>
      </c>
      <c r="G723" s="4" t="str">
        <f>HYPERLINK("http://141.218.60.56/~jnz1568/getInfo.php?workbook=18_15.xlsx&amp;sheet=U0&amp;row=723&amp;col=7&amp;number=1.76&amp;sourceID=14","1.76")</f>
        <v>1.76</v>
      </c>
    </row>
    <row r="724" spans="1:7">
      <c r="A724" s="3">
        <v>18</v>
      </c>
      <c r="B724" s="3">
        <v>15</v>
      </c>
      <c r="C724" s="3">
        <v>2</v>
      </c>
      <c r="D724" s="3">
        <v>11</v>
      </c>
      <c r="E724" s="3">
        <v>1</v>
      </c>
      <c r="F724" s="4" t="str">
        <f>HYPERLINK("http://141.218.60.56/~jnz1568/getInfo.php?workbook=18_15.xlsx&amp;sheet=U0&amp;row=724&amp;col=6&amp;number=3&amp;sourceID=14","3")</f>
        <v>3</v>
      </c>
      <c r="G724" s="4" t="str">
        <f>HYPERLINK("http://141.218.60.56/~jnz1568/getInfo.php?workbook=18_15.xlsx&amp;sheet=U0&amp;row=724&amp;col=7&amp;number=0.938&amp;sourceID=14","0.938")</f>
        <v>0.938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HYPERLINK("http://141.218.60.56/~jnz1568/getInfo.php?workbook=18_15.xlsx&amp;sheet=U0&amp;row=725&amp;col=6&amp;number=3.1&amp;sourceID=14","3.1")</f>
        <v>3.1</v>
      </c>
      <c r="G725" s="4" t="str">
        <f>HYPERLINK("http://141.218.60.56/~jnz1568/getInfo.php?workbook=18_15.xlsx&amp;sheet=U0&amp;row=725&amp;col=7&amp;number=0.934&amp;sourceID=14","0.934")</f>
        <v>0.934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HYPERLINK("http://141.218.60.56/~jnz1568/getInfo.php?workbook=18_15.xlsx&amp;sheet=U0&amp;row=726&amp;col=6&amp;number=3.2&amp;sourceID=14","3.2")</f>
        <v>3.2</v>
      </c>
      <c r="G726" s="4" t="str">
        <f>HYPERLINK("http://141.218.60.56/~jnz1568/getInfo.php?workbook=18_15.xlsx&amp;sheet=U0&amp;row=726&amp;col=7&amp;number=0.929&amp;sourceID=14","0.929")</f>
        <v>0.929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HYPERLINK("http://141.218.60.56/~jnz1568/getInfo.php?workbook=18_15.xlsx&amp;sheet=U0&amp;row=727&amp;col=6&amp;number=3.3&amp;sourceID=14","3.3")</f>
        <v>3.3</v>
      </c>
      <c r="G727" s="4" t="str">
        <f>HYPERLINK("http://141.218.60.56/~jnz1568/getInfo.php?workbook=18_15.xlsx&amp;sheet=U0&amp;row=727&amp;col=7&amp;number=0.922&amp;sourceID=14","0.922")</f>
        <v>0.922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HYPERLINK("http://141.218.60.56/~jnz1568/getInfo.php?workbook=18_15.xlsx&amp;sheet=U0&amp;row=728&amp;col=6&amp;number=3.4&amp;sourceID=14","3.4")</f>
        <v>3.4</v>
      </c>
      <c r="G728" s="4" t="str">
        <f>HYPERLINK("http://141.218.60.56/~jnz1568/getInfo.php?workbook=18_15.xlsx&amp;sheet=U0&amp;row=728&amp;col=7&amp;number=0.915&amp;sourceID=14","0.915")</f>
        <v>0.915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HYPERLINK("http://141.218.60.56/~jnz1568/getInfo.php?workbook=18_15.xlsx&amp;sheet=U0&amp;row=729&amp;col=6&amp;number=3.5&amp;sourceID=14","3.5")</f>
        <v>3.5</v>
      </c>
      <c r="G729" s="4" t="str">
        <f>HYPERLINK("http://141.218.60.56/~jnz1568/getInfo.php?workbook=18_15.xlsx&amp;sheet=U0&amp;row=729&amp;col=7&amp;number=0.906&amp;sourceID=14","0.906")</f>
        <v>0.906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HYPERLINK("http://141.218.60.56/~jnz1568/getInfo.php?workbook=18_15.xlsx&amp;sheet=U0&amp;row=730&amp;col=6&amp;number=3.6&amp;sourceID=14","3.6")</f>
        <v>3.6</v>
      </c>
      <c r="G730" s="4" t="str">
        <f>HYPERLINK("http://141.218.60.56/~jnz1568/getInfo.php?workbook=18_15.xlsx&amp;sheet=U0&amp;row=730&amp;col=7&amp;number=0.895&amp;sourceID=14","0.895")</f>
        <v>0.895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HYPERLINK("http://141.218.60.56/~jnz1568/getInfo.php?workbook=18_15.xlsx&amp;sheet=U0&amp;row=731&amp;col=6&amp;number=3.7&amp;sourceID=14","3.7")</f>
        <v>3.7</v>
      </c>
      <c r="G731" s="4" t="str">
        <f>HYPERLINK("http://141.218.60.56/~jnz1568/getInfo.php?workbook=18_15.xlsx&amp;sheet=U0&amp;row=731&amp;col=7&amp;number=0.883&amp;sourceID=14","0.883")</f>
        <v>0.883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HYPERLINK("http://141.218.60.56/~jnz1568/getInfo.php?workbook=18_15.xlsx&amp;sheet=U0&amp;row=732&amp;col=6&amp;number=3.8&amp;sourceID=14","3.8")</f>
        <v>3.8</v>
      </c>
      <c r="G732" s="4" t="str">
        <f>HYPERLINK("http://141.218.60.56/~jnz1568/getInfo.php?workbook=18_15.xlsx&amp;sheet=U0&amp;row=732&amp;col=7&amp;number=0.87&amp;sourceID=14","0.87")</f>
        <v>0.87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HYPERLINK("http://141.218.60.56/~jnz1568/getInfo.php?workbook=18_15.xlsx&amp;sheet=U0&amp;row=733&amp;col=6&amp;number=3.9&amp;sourceID=14","3.9")</f>
        <v>3.9</v>
      </c>
      <c r="G733" s="4" t="str">
        <f>HYPERLINK("http://141.218.60.56/~jnz1568/getInfo.php?workbook=18_15.xlsx&amp;sheet=U0&amp;row=733&amp;col=7&amp;number=0.858&amp;sourceID=14","0.858")</f>
        <v>0.858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HYPERLINK("http://141.218.60.56/~jnz1568/getInfo.php?workbook=18_15.xlsx&amp;sheet=U0&amp;row=734&amp;col=6&amp;number=4&amp;sourceID=14","4")</f>
        <v>4</v>
      </c>
      <c r="G734" s="4" t="str">
        <f>HYPERLINK("http://141.218.60.56/~jnz1568/getInfo.php?workbook=18_15.xlsx&amp;sheet=U0&amp;row=734&amp;col=7&amp;number=0.846&amp;sourceID=14","0.846")</f>
        <v>0.846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HYPERLINK("http://141.218.60.56/~jnz1568/getInfo.php?workbook=18_15.xlsx&amp;sheet=U0&amp;row=735&amp;col=6&amp;number=4.1&amp;sourceID=14","4.1")</f>
        <v>4.1</v>
      </c>
      <c r="G735" s="4" t="str">
        <f>HYPERLINK("http://141.218.60.56/~jnz1568/getInfo.php?workbook=18_15.xlsx&amp;sheet=U0&amp;row=735&amp;col=7&amp;number=0.834&amp;sourceID=14","0.834")</f>
        <v>0.834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HYPERLINK("http://141.218.60.56/~jnz1568/getInfo.php?workbook=18_15.xlsx&amp;sheet=U0&amp;row=736&amp;col=6&amp;number=4.2&amp;sourceID=14","4.2")</f>
        <v>4.2</v>
      </c>
      <c r="G736" s="4" t="str">
        <f>HYPERLINK("http://141.218.60.56/~jnz1568/getInfo.php?workbook=18_15.xlsx&amp;sheet=U0&amp;row=736&amp;col=7&amp;number=0.822&amp;sourceID=14","0.822")</f>
        <v>0.822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HYPERLINK("http://141.218.60.56/~jnz1568/getInfo.php?workbook=18_15.xlsx&amp;sheet=U0&amp;row=737&amp;col=6&amp;number=4.3&amp;sourceID=14","4.3")</f>
        <v>4.3</v>
      </c>
      <c r="G737" s="4" t="str">
        <f>HYPERLINK("http://141.218.60.56/~jnz1568/getInfo.php?workbook=18_15.xlsx&amp;sheet=U0&amp;row=737&amp;col=7&amp;number=0.805&amp;sourceID=14","0.805")</f>
        <v>0.805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HYPERLINK("http://141.218.60.56/~jnz1568/getInfo.php?workbook=18_15.xlsx&amp;sheet=U0&amp;row=738&amp;col=6&amp;number=4.4&amp;sourceID=14","4.4")</f>
        <v>4.4</v>
      </c>
      <c r="G738" s="4" t="str">
        <f>HYPERLINK("http://141.218.60.56/~jnz1568/getInfo.php?workbook=18_15.xlsx&amp;sheet=U0&amp;row=738&amp;col=7&amp;number=0.788&amp;sourceID=14","0.788")</f>
        <v>0.788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HYPERLINK("http://141.218.60.56/~jnz1568/getInfo.php?workbook=18_15.xlsx&amp;sheet=U0&amp;row=739&amp;col=6&amp;number=4.5&amp;sourceID=14","4.5")</f>
        <v>4.5</v>
      </c>
      <c r="G739" s="4" t="str">
        <f>HYPERLINK("http://141.218.60.56/~jnz1568/getInfo.php?workbook=18_15.xlsx&amp;sheet=U0&amp;row=739&amp;col=7&amp;number=0.772&amp;sourceID=14","0.772")</f>
        <v>0.772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HYPERLINK("http://141.218.60.56/~jnz1568/getInfo.php?workbook=18_15.xlsx&amp;sheet=U0&amp;row=740&amp;col=6&amp;number=4.6&amp;sourceID=14","4.6")</f>
        <v>4.6</v>
      </c>
      <c r="G740" s="4" t="str">
        <f>HYPERLINK("http://141.218.60.56/~jnz1568/getInfo.php?workbook=18_15.xlsx&amp;sheet=U0&amp;row=740&amp;col=7&amp;number=0.762&amp;sourceID=14","0.762")</f>
        <v>0.762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HYPERLINK("http://141.218.60.56/~jnz1568/getInfo.php?workbook=18_15.xlsx&amp;sheet=U0&amp;row=741&amp;col=6&amp;number=4.7&amp;sourceID=14","4.7")</f>
        <v>4.7</v>
      </c>
      <c r="G741" s="4" t="str">
        <f>HYPERLINK("http://141.218.60.56/~jnz1568/getInfo.php?workbook=18_15.xlsx&amp;sheet=U0&amp;row=741&amp;col=7&amp;number=0.755&amp;sourceID=14","0.755")</f>
        <v>0.755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HYPERLINK("http://141.218.60.56/~jnz1568/getInfo.php?workbook=18_15.xlsx&amp;sheet=U0&amp;row=742&amp;col=6&amp;number=4.8&amp;sourceID=14","4.8")</f>
        <v>4.8</v>
      </c>
      <c r="G742" s="4" t="str">
        <f>HYPERLINK("http://141.218.60.56/~jnz1568/getInfo.php?workbook=18_15.xlsx&amp;sheet=U0&amp;row=742&amp;col=7&amp;number=0.751&amp;sourceID=14","0.751")</f>
        <v>0.751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HYPERLINK("http://141.218.60.56/~jnz1568/getInfo.php?workbook=18_15.xlsx&amp;sheet=U0&amp;row=743&amp;col=6&amp;number=4.9&amp;sourceID=14","4.9")</f>
        <v>4.9</v>
      </c>
      <c r="G743" s="4" t="str">
        <f>HYPERLINK("http://141.218.60.56/~jnz1568/getInfo.php?workbook=18_15.xlsx&amp;sheet=U0&amp;row=743&amp;col=7&amp;number=0.752&amp;sourceID=14","0.752")</f>
        <v>0.752</v>
      </c>
    </row>
    <row r="744" spans="1:7">
      <c r="A744" s="3">
        <v>18</v>
      </c>
      <c r="B744" s="3">
        <v>15</v>
      </c>
      <c r="C744" s="3">
        <v>2</v>
      </c>
      <c r="D744" s="3">
        <v>12</v>
      </c>
      <c r="E744" s="3">
        <v>1</v>
      </c>
      <c r="F744" s="4" t="str">
        <f>HYPERLINK("http://141.218.60.56/~jnz1568/getInfo.php?workbook=18_15.xlsx&amp;sheet=U0&amp;row=744&amp;col=6&amp;number=3&amp;sourceID=14","3")</f>
        <v>3</v>
      </c>
      <c r="G744" s="4" t="str">
        <f>HYPERLINK("http://141.218.60.56/~jnz1568/getInfo.php?workbook=18_15.xlsx&amp;sheet=U0&amp;row=744&amp;col=7&amp;number=1.21&amp;sourceID=14","1.21")</f>
        <v>1.21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HYPERLINK("http://141.218.60.56/~jnz1568/getInfo.php?workbook=18_15.xlsx&amp;sheet=U0&amp;row=745&amp;col=6&amp;number=3.1&amp;sourceID=14","3.1")</f>
        <v>3.1</v>
      </c>
      <c r="G745" s="4" t="str">
        <f>HYPERLINK("http://141.218.60.56/~jnz1568/getInfo.php?workbook=18_15.xlsx&amp;sheet=U0&amp;row=745&amp;col=7&amp;number=1.18&amp;sourceID=14","1.18")</f>
        <v>1.18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HYPERLINK("http://141.218.60.56/~jnz1568/getInfo.php?workbook=18_15.xlsx&amp;sheet=U0&amp;row=746&amp;col=6&amp;number=3.2&amp;sourceID=14","3.2")</f>
        <v>3.2</v>
      </c>
      <c r="G746" s="4" t="str">
        <f>HYPERLINK("http://141.218.60.56/~jnz1568/getInfo.php?workbook=18_15.xlsx&amp;sheet=U0&amp;row=746&amp;col=7&amp;number=1.15&amp;sourceID=14","1.15")</f>
        <v>1.15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HYPERLINK("http://141.218.60.56/~jnz1568/getInfo.php?workbook=18_15.xlsx&amp;sheet=U0&amp;row=747&amp;col=6&amp;number=3.3&amp;sourceID=14","3.3")</f>
        <v>3.3</v>
      </c>
      <c r="G747" s="4" t="str">
        <f>HYPERLINK("http://141.218.60.56/~jnz1568/getInfo.php?workbook=18_15.xlsx&amp;sheet=U0&amp;row=747&amp;col=7&amp;number=1.12&amp;sourceID=14","1.12")</f>
        <v>1.12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HYPERLINK("http://141.218.60.56/~jnz1568/getInfo.php?workbook=18_15.xlsx&amp;sheet=U0&amp;row=748&amp;col=6&amp;number=3.4&amp;sourceID=14","3.4")</f>
        <v>3.4</v>
      </c>
      <c r="G748" s="4" t="str">
        <f>HYPERLINK("http://141.218.60.56/~jnz1568/getInfo.php?workbook=18_15.xlsx&amp;sheet=U0&amp;row=748&amp;col=7&amp;number=1.08&amp;sourceID=14","1.08")</f>
        <v>1.08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HYPERLINK("http://141.218.60.56/~jnz1568/getInfo.php?workbook=18_15.xlsx&amp;sheet=U0&amp;row=749&amp;col=6&amp;number=3.5&amp;sourceID=14","3.5")</f>
        <v>3.5</v>
      </c>
      <c r="G749" s="4" t="str">
        <f>HYPERLINK("http://141.218.60.56/~jnz1568/getInfo.php?workbook=18_15.xlsx&amp;sheet=U0&amp;row=749&amp;col=7&amp;number=1.04&amp;sourceID=14","1.04")</f>
        <v>1.04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HYPERLINK("http://141.218.60.56/~jnz1568/getInfo.php?workbook=18_15.xlsx&amp;sheet=U0&amp;row=750&amp;col=6&amp;number=3.6&amp;sourceID=14","3.6")</f>
        <v>3.6</v>
      </c>
      <c r="G750" s="4" t="str">
        <f>HYPERLINK("http://141.218.60.56/~jnz1568/getInfo.php?workbook=18_15.xlsx&amp;sheet=U0&amp;row=750&amp;col=7&amp;number=1&amp;sourceID=14","1")</f>
        <v>1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HYPERLINK("http://141.218.60.56/~jnz1568/getInfo.php?workbook=18_15.xlsx&amp;sheet=U0&amp;row=751&amp;col=6&amp;number=3.7&amp;sourceID=14","3.7")</f>
        <v>3.7</v>
      </c>
      <c r="G751" s="4" t="str">
        <f>HYPERLINK("http://141.218.60.56/~jnz1568/getInfo.php?workbook=18_15.xlsx&amp;sheet=U0&amp;row=751&amp;col=7&amp;number=0.96&amp;sourceID=14","0.96")</f>
        <v>0.96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HYPERLINK("http://141.218.60.56/~jnz1568/getInfo.php?workbook=18_15.xlsx&amp;sheet=U0&amp;row=752&amp;col=6&amp;number=3.8&amp;sourceID=14","3.8")</f>
        <v>3.8</v>
      </c>
      <c r="G752" s="4" t="str">
        <f>HYPERLINK("http://141.218.60.56/~jnz1568/getInfo.php?workbook=18_15.xlsx&amp;sheet=U0&amp;row=752&amp;col=7&amp;number=0.923&amp;sourceID=14","0.923")</f>
        <v>0.923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HYPERLINK("http://141.218.60.56/~jnz1568/getInfo.php?workbook=18_15.xlsx&amp;sheet=U0&amp;row=753&amp;col=6&amp;number=3.9&amp;sourceID=14","3.9")</f>
        <v>3.9</v>
      </c>
      <c r="G753" s="4" t="str">
        <f>HYPERLINK("http://141.218.60.56/~jnz1568/getInfo.php?workbook=18_15.xlsx&amp;sheet=U0&amp;row=753&amp;col=7&amp;number=0.89&amp;sourceID=14","0.89")</f>
        <v>0.89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HYPERLINK("http://141.218.60.56/~jnz1568/getInfo.php?workbook=18_15.xlsx&amp;sheet=U0&amp;row=754&amp;col=6&amp;number=4&amp;sourceID=14","4")</f>
        <v>4</v>
      </c>
      <c r="G754" s="4" t="str">
        <f>HYPERLINK("http://141.218.60.56/~jnz1568/getInfo.php?workbook=18_15.xlsx&amp;sheet=U0&amp;row=754&amp;col=7&amp;number=0.861&amp;sourceID=14","0.861")</f>
        <v>0.861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HYPERLINK("http://141.218.60.56/~jnz1568/getInfo.php?workbook=18_15.xlsx&amp;sheet=U0&amp;row=755&amp;col=6&amp;number=4.1&amp;sourceID=14","4.1")</f>
        <v>4.1</v>
      </c>
      <c r="G755" s="4" t="str">
        <f>HYPERLINK("http://141.218.60.56/~jnz1568/getInfo.php?workbook=18_15.xlsx&amp;sheet=U0&amp;row=755&amp;col=7&amp;number=0.833&amp;sourceID=14","0.833")</f>
        <v>0.833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HYPERLINK("http://141.218.60.56/~jnz1568/getInfo.php?workbook=18_15.xlsx&amp;sheet=U0&amp;row=756&amp;col=6&amp;number=4.2&amp;sourceID=14","4.2")</f>
        <v>4.2</v>
      </c>
      <c r="G756" s="4" t="str">
        <f>HYPERLINK("http://141.218.60.56/~jnz1568/getInfo.php?workbook=18_15.xlsx&amp;sheet=U0&amp;row=756&amp;col=7&amp;number=0.803&amp;sourceID=14","0.803")</f>
        <v>0.803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HYPERLINK("http://141.218.60.56/~jnz1568/getInfo.php?workbook=18_15.xlsx&amp;sheet=U0&amp;row=757&amp;col=6&amp;number=4.3&amp;sourceID=14","4.3")</f>
        <v>4.3</v>
      </c>
      <c r="G757" s="4" t="str">
        <f>HYPERLINK("http://141.218.60.56/~jnz1568/getInfo.php?workbook=18_15.xlsx&amp;sheet=U0&amp;row=757&amp;col=7&amp;number=0.77&amp;sourceID=14","0.77")</f>
        <v>0.77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HYPERLINK("http://141.218.60.56/~jnz1568/getInfo.php?workbook=18_15.xlsx&amp;sheet=U0&amp;row=758&amp;col=6&amp;number=4.4&amp;sourceID=14","4.4")</f>
        <v>4.4</v>
      </c>
      <c r="G758" s="4" t="str">
        <f>HYPERLINK("http://141.218.60.56/~jnz1568/getInfo.php?workbook=18_15.xlsx&amp;sheet=U0&amp;row=758&amp;col=7&amp;number=0.739&amp;sourceID=14","0.739")</f>
        <v>0.739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HYPERLINK("http://141.218.60.56/~jnz1568/getInfo.php?workbook=18_15.xlsx&amp;sheet=U0&amp;row=759&amp;col=6&amp;number=4.5&amp;sourceID=14","4.5")</f>
        <v>4.5</v>
      </c>
      <c r="G759" s="4" t="str">
        <f>HYPERLINK("http://141.218.60.56/~jnz1568/getInfo.php?workbook=18_15.xlsx&amp;sheet=U0&amp;row=759&amp;col=7&amp;number=0.71&amp;sourceID=14","0.71")</f>
        <v>0.71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HYPERLINK("http://141.218.60.56/~jnz1568/getInfo.php?workbook=18_15.xlsx&amp;sheet=U0&amp;row=760&amp;col=6&amp;number=4.6&amp;sourceID=14","4.6")</f>
        <v>4.6</v>
      </c>
      <c r="G760" s="4" t="str">
        <f>HYPERLINK("http://141.218.60.56/~jnz1568/getInfo.php?workbook=18_15.xlsx&amp;sheet=U0&amp;row=760&amp;col=7&amp;number=0.679&amp;sourceID=14","0.679")</f>
        <v>0.679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HYPERLINK("http://141.218.60.56/~jnz1568/getInfo.php?workbook=18_15.xlsx&amp;sheet=U0&amp;row=761&amp;col=6&amp;number=4.7&amp;sourceID=14","4.7")</f>
        <v>4.7</v>
      </c>
      <c r="G761" s="4" t="str">
        <f>HYPERLINK("http://141.218.60.56/~jnz1568/getInfo.php?workbook=18_15.xlsx&amp;sheet=U0&amp;row=761&amp;col=7&amp;number=0.645&amp;sourceID=14","0.645")</f>
        <v>0.645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HYPERLINK("http://141.218.60.56/~jnz1568/getInfo.php?workbook=18_15.xlsx&amp;sheet=U0&amp;row=762&amp;col=6&amp;number=4.8&amp;sourceID=14","4.8")</f>
        <v>4.8</v>
      </c>
      <c r="G762" s="4" t="str">
        <f>HYPERLINK("http://141.218.60.56/~jnz1568/getInfo.php?workbook=18_15.xlsx&amp;sheet=U0&amp;row=762&amp;col=7&amp;number=0.615&amp;sourceID=14","0.615")</f>
        <v>0.615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HYPERLINK("http://141.218.60.56/~jnz1568/getInfo.php?workbook=18_15.xlsx&amp;sheet=U0&amp;row=763&amp;col=6&amp;number=4.9&amp;sourceID=14","4.9")</f>
        <v>4.9</v>
      </c>
      <c r="G763" s="4" t="str">
        <f>HYPERLINK("http://141.218.60.56/~jnz1568/getInfo.php?workbook=18_15.xlsx&amp;sheet=U0&amp;row=763&amp;col=7&amp;number=0.594&amp;sourceID=14","0.594")</f>
        <v>0.594</v>
      </c>
    </row>
    <row r="764" spans="1:7">
      <c r="A764" s="3">
        <v>18</v>
      </c>
      <c r="B764" s="3">
        <v>15</v>
      </c>
      <c r="C764" s="3">
        <v>2</v>
      </c>
      <c r="D764" s="3">
        <v>13</v>
      </c>
      <c r="E764" s="3">
        <v>1</v>
      </c>
      <c r="F764" s="4" t="str">
        <f>HYPERLINK("http://141.218.60.56/~jnz1568/getInfo.php?workbook=18_15.xlsx&amp;sheet=U0&amp;row=764&amp;col=6&amp;number=3&amp;sourceID=14","3")</f>
        <v>3</v>
      </c>
      <c r="G764" s="4" t="str">
        <f>HYPERLINK("http://141.218.60.56/~jnz1568/getInfo.php?workbook=18_15.xlsx&amp;sheet=U0&amp;row=764&amp;col=7&amp;number=0.16&amp;sourceID=14","0.16")</f>
        <v>0.16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HYPERLINK("http://141.218.60.56/~jnz1568/getInfo.php?workbook=18_15.xlsx&amp;sheet=U0&amp;row=765&amp;col=6&amp;number=3.1&amp;sourceID=14","3.1")</f>
        <v>3.1</v>
      </c>
      <c r="G765" s="4" t="str">
        <f>HYPERLINK("http://141.218.60.56/~jnz1568/getInfo.php?workbook=18_15.xlsx&amp;sheet=U0&amp;row=765&amp;col=7&amp;number=0.16&amp;sourceID=14","0.16")</f>
        <v>0.16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HYPERLINK("http://141.218.60.56/~jnz1568/getInfo.php?workbook=18_15.xlsx&amp;sheet=U0&amp;row=766&amp;col=6&amp;number=3.2&amp;sourceID=14","3.2")</f>
        <v>3.2</v>
      </c>
      <c r="G766" s="4" t="str">
        <f>HYPERLINK("http://141.218.60.56/~jnz1568/getInfo.php?workbook=18_15.xlsx&amp;sheet=U0&amp;row=766&amp;col=7&amp;number=0.159&amp;sourceID=14","0.159")</f>
        <v>0.159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HYPERLINK("http://141.218.60.56/~jnz1568/getInfo.php?workbook=18_15.xlsx&amp;sheet=U0&amp;row=767&amp;col=6&amp;number=3.3&amp;sourceID=14","3.3")</f>
        <v>3.3</v>
      </c>
      <c r="G767" s="4" t="str">
        <f>HYPERLINK("http://141.218.60.56/~jnz1568/getInfo.php?workbook=18_15.xlsx&amp;sheet=U0&amp;row=767&amp;col=7&amp;number=0.158&amp;sourceID=14","0.158")</f>
        <v>0.158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HYPERLINK("http://141.218.60.56/~jnz1568/getInfo.php?workbook=18_15.xlsx&amp;sheet=U0&amp;row=768&amp;col=6&amp;number=3.4&amp;sourceID=14","3.4")</f>
        <v>3.4</v>
      </c>
      <c r="G768" s="4" t="str">
        <f>HYPERLINK("http://141.218.60.56/~jnz1568/getInfo.php?workbook=18_15.xlsx&amp;sheet=U0&amp;row=768&amp;col=7&amp;number=0.157&amp;sourceID=14","0.157")</f>
        <v>0.157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HYPERLINK("http://141.218.60.56/~jnz1568/getInfo.php?workbook=18_15.xlsx&amp;sheet=U0&amp;row=769&amp;col=6&amp;number=3.5&amp;sourceID=14","3.5")</f>
        <v>3.5</v>
      </c>
      <c r="G769" s="4" t="str">
        <f>HYPERLINK("http://141.218.60.56/~jnz1568/getInfo.php?workbook=18_15.xlsx&amp;sheet=U0&amp;row=769&amp;col=7&amp;number=0.157&amp;sourceID=14","0.157")</f>
        <v>0.157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HYPERLINK("http://141.218.60.56/~jnz1568/getInfo.php?workbook=18_15.xlsx&amp;sheet=U0&amp;row=770&amp;col=6&amp;number=3.6&amp;sourceID=14","3.6")</f>
        <v>3.6</v>
      </c>
      <c r="G770" s="4" t="str">
        <f>HYPERLINK("http://141.218.60.56/~jnz1568/getInfo.php?workbook=18_15.xlsx&amp;sheet=U0&amp;row=770&amp;col=7&amp;number=0.157&amp;sourceID=14","0.157")</f>
        <v>0.157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HYPERLINK("http://141.218.60.56/~jnz1568/getInfo.php?workbook=18_15.xlsx&amp;sheet=U0&amp;row=771&amp;col=6&amp;number=3.7&amp;sourceID=14","3.7")</f>
        <v>3.7</v>
      </c>
      <c r="G771" s="4" t="str">
        <f>HYPERLINK("http://141.218.60.56/~jnz1568/getInfo.php?workbook=18_15.xlsx&amp;sheet=U0&amp;row=771&amp;col=7&amp;number=0.159&amp;sourceID=14","0.159")</f>
        <v>0.159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HYPERLINK("http://141.218.60.56/~jnz1568/getInfo.php?workbook=18_15.xlsx&amp;sheet=U0&amp;row=772&amp;col=6&amp;number=3.8&amp;sourceID=14","3.8")</f>
        <v>3.8</v>
      </c>
      <c r="G772" s="4" t="str">
        <f>HYPERLINK("http://141.218.60.56/~jnz1568/getInfo.php?workbook=18_15.xlsx&amp;sheet=U0&amp;row=772&amp;col=7&amp;number=0.165&amp;sourceID=14","0.165")</f>
        <v>0.165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HYPERLINK("http://141.218.60.56/~jnz1568/getInfo.php?workbook=18_15.xlsx&amp;sheet=U0&amp;row=773&amp;col=6&amp;number=3.9&amp;sourceID=14","3.9")</f>
        <v>3.9</v>
      </c>
      <c r="G773" s="4" t="str">
        <f>HYPERLINK("http://141.218.60.56/~jnz1568/getInfo.php?workbook=18_15.xlsx&amp;sheet=U0&amp;row=773&amp;col=7&amp;number=0.174&amp;sourceID=14","0.174")</f>
        <v>0.174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HYPERLINK("http://141.218.60.56/~jnz1568/getInfo.php?workbook=18_15.xlsx&amp;sheet=U0&amp;row=774&amp;col=6&amp;number=4&amp;sourceID=14","4")</f>
        <v>4</v>
      </c>
      <c r="G774" s="4" t="str">
        <f>HYPERLINK("http://141.218.60.56/~jnz1568/getInfo.php?workbook=18_15.xlsx&amp;sheet=U0&amp;row=774&amp;col=7&amp;number=0.186&amp;sourceID=14","0.186")</f>
        <v>0.186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HYPERLINK("http://141.218.60.56/~jnz1568/getInfo.php?workbook=18_15.xlsx&amp;sheet=U0&amp;row=775&amp;col=6&amp;number=4.1&amp;sourceID=14","4.1")</f>
        <v>4.1</v>
      </c>
      <c r="G775" s="4" t="str">
        <f>HYPERLINK("http://141.218.60.56/~jnz1568/getInfo.php?workbook=18_15.xlsx&amp;sheet=U0&amp;row=775&amp;col=7&amp;number=0.198&amp;sourceID=14","0.198")</f>
        <v>0.198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HYPERLINK("http://141.218.60.56/~jnz1568/getInfo.php?workbook=18_15.xlsx&amp;sheet=U0&amp;row=776&amp;col=6&amp;number=4.2&amp;sourceID=14","4.2")</f>
        <v>4.2</v>
      </c>
      <c r="G776" s="4" t="str">
        <f>HYPERLINK("http://141.218.60.56/~jnz1568/getInfo.php?workbook=18_15.xlsx&amp;sheet=U0&amp;row=776&amp;col=7&amp;number=0.207&amp;sourceID=14","0.207")</f>
        <v>0.207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HYPERLINK("http://141.218.60.56/~jnz1568/getInfo.php?workbook=18_15.xlsx&amp;sheet=U0&amp;row=777&amp;col=6&amp;number=4.3&amp;sourceID=14","4.3")</f>
        <v>4.3</v>
      </c>
      <c r="G777" s="4" t="str">
        <f>HYPERLINK("http://141.218.60.56/~jnz1568/getInfo.php?workbook=18_15.xlsx&amp;sheet=U0&amp;row=777&amp;col=7&amp;number=0.212&amp;sourceID=14","0.212")</f>
        <v>0.212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HYPERLINK("http://141.218.60.56/~jnz1568/getInfo.php?workbook=18_15.xlsx&amp;sheet=U0&amp;row=778&amp;col=6&amp;number=4.4&amp;sourceID=14","4.4")</f>
        <v>4.4</v>
      </c>
      <c r="G778" s="4" t="str">
        <f>HYPERLINK("http://141.218.60.56/~jnz1568/getInfo.php?workbook=18_15.xlsx&amp;sheet=U0&amp;row=778&amp;col=7&amp;number=0.213&amp;sourceID=14","0.213")</f>
        <v>0.213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HYPERLINK("http://141.218.60.56/~jnz1568/getInfo.php?workbook=18_15.xlsx&amp;sheet=U0&amp;row=779&amp;col=6&amp;number=4.5&amp;sourceID=14","4.5")</f>
        <v>4.5</v>
      </c>
      <c r="G779" s="4" t="str">
        <f>HYPERLINK("http://141.218.60.56/~jnz1568/getInfo.php?workbook=18_15.xlsx&amp;sheet=U0&amp;row=779&amp;col=7&amp;number=0.21&amp;sourceID=14","0.21")</f>
        <v>0.21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HYPERLINK("http://141.218.60.56/~jnz1568/getInfo.php?workbook=18_15.xlsx&amp;sheet=U0&amp;row=780&amp;col=6&amp;number=4.6&amp;sourceID=14","4.6")</f>
        <v>4.6</v>
      </c>
      <c r="G780" s="4" t="str">
        <f>HYPERLINK("http://141.218.60.56/~jnz1568/getInfo.php?workbook=18_15.xlsx&amp;sheet=U0&amp;row=780&amp;col=7&amp;number=0.205&amp;sourceID=14","0.205")</f>
        <v>0.205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HYPERLINK("http://141.218.60.56/~jnz1568/getInfo.php?workbook=18_15.xlsx&amp;sheet=U0&amp;row=781&amp;col=6&amp;number=4.7&amp;sourceID=14","4.7")</f>
        <v>4.7</v>
      </c>
      <c r="G781" s="4" t="str">
        <f>HYPERLINK("http://141.218.60.56/~jnz1568/getInfo.php?workbook=18_15.xlsx&amp;sheet=U0&amp;row=781&amp;col=7&amp;number=0.199&amp;sourceID=14","0.199")</f>
        <v>0.199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HYPERLINK("http://141.218.60.56/~jnz1568/getInfo.php?workbook=18_15.xlsx&amp;sheet=U0&amp;row=782&amp;col=6&amp;number=4.8&amp;sourceID=14","4.8")</f>
        <v>4.8</v>
      </c>
      <c r="G782" s="4" t="str">
        <f>HYPERLINK("http://141.218.60.56/~jnz1568/getInfo.php?workbook=18_15.xlsx&amp;sheet=U0&amp;row=782&amp;col=7&amp;number=0.19&amp;sourceID=14","0.19")</f>
        <v>0.19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HYPERLINK("http://141.218.60.56/~jnz1568/getInfo.php?workbook=18_15.xlsx&amp;sheet=U0&amp;row=783&amp;col=6&amp;number=4.9&amp;sourceID=14","4.9")</f>
        <v>4.9</v>
      </c>
      <c r="G783" s="4" t="str">
        <f>HYPERLINK("http://141.218.60.56/~jnz1568/getInfo.php?workbook=18_15.xlsx&amp;sheet=U0&amp;row=783&amp;col=7&amp;number=0.181&amp;sourceID=14","0.181")</f>
        <v>0.181</v>
      </c>
    </row>
    <row r="784" spans="1:7">
      <c r="A784" s="3">
        <v>18</v>
      </c>
      <c r="B784" s="3">
        <v>15</v>
      </c>
      <c r="C784" s="3">
        <v>2</v>
      </c>
      <c r="D784" s="3">
        <v>14</v>
      </c>
      <c r="E784" s="3">
        <v>1</v>
      </c>
      <c r="F784" s="4" t="str">
        <f>HYPERLINK("http://141.218.60.56/~jnz1568/getInfo.php?workbook=18_15.xlsx&amp;sheet=U0&amp;row=784&amp;col=6&amp;number=3&amp;sourceID=14","3")</f>
        <v>3</v>
      </c>
      <c r="G784" s="4" t="str">
        <f>HYPERLINK("http://141.218.60.56/~jnz1568/getInfo.php?workbook=18_15.xlsx&amp;sheet=U0&amp;row=784&amp;col=7&amp;number=0.592&amp;sourceID=14","0.592")</f>
        <v>0.592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HYPERLINK("http://141.218.60.56/~jnz1568/getInfo.php?workbook=18_15.xlsx&amp;sheet=U0&amp;row=785&amp;col=6&amp;number=3.1&amp;sourceID=14","3.1")</f>
        <v>3.1</v>
      </c>
      <c r="G785" s="4" t="str">
        <f>HYPERLINK("http://141.218.60.56/~jnz1568/getInfo.php?workbook=18_15.xlsx&amp;sheet=U0&amp;row=785&amp;col=7&amp;number=0.591&amp;sourceID=14","0.591")</f>
        <v>0.591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HYPERLINK("http://141.218.60.56/~jnz1568/getInfo.php?workbook=18_15.xlsx&amp;sheet=U0&amp;row=786&amp;col=6&amp;number=3.2&amp;sourceID=14","3.2")</f>
        <v>3.2</v>
      </c>
      <c r="G786" s="4" t="str">
        <f>HYPERLINK("http://141.218.60.56/~jnz1568/getInfo.php?workbook=18_15.xlsx&amp;sheet=U0&amp;row=786&amp;col=7&amp;number=0.591&amp;sourceID=14","0.591")</f>
        <v>0.591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HYPERLINK("http://141.218.60.56/~jnz1568/getInfo.php?workbook=18_15.xlsx&amp;sheet=U0&amp;row=787&amp;col=6&amp;number=3.3&amp;sourceID=14","3.3")</f>
        <v>3.3</v>
      </c>
      <c r="G787" s="4" t="str">
        <f>HYPERLINK("http://141.218.60.56/~jnz1568/getInfo.php?workbook=18_15.xlsx&amp;sheet=U0&amp;row=787&amp;col=7&amp;number=0.59&amp;sourceID=14","0.59")</f>
        <v>0.59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HYPERLINK("http://141.218.60.56/~jnz1568/getInfo.php?workbook=18_15.xlsx&amp;sheet=U0&amp;row=788&amp;col=6&amp;number=3.4&amp;sourceID=14","3.4")</f>
        <v>3.4</v>
      </c>
      <c r="G788" s="4" t="str">
        <f>HYPERLINK("http://141.218.60.56/~jnz1568/getInfo.php?workbook=18_15.xlsx&amp;sheet=U0&amp;row=788&amp;col=7&amp;number=0.588&amp;sourceID=14","0.588")</f>
        <v>0.588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HYPERLINK("http://141.218.60.56/~jnz1568/getInfo.php?workbook=18_15.xlsx&amp;sheet=U0&amp;row=789&amp;col=6&amp;number=3.5&amp;sourceID=14","3.5")</f>
        <v>3.5</v>
      </c>
      <c r="G789" s="4" t="str">
        <f>HYPERLINK("http://141.218.60.56/~jnz1568/getInfo.php?workbook=18_15.xlsx&amp;sheet=U0&amp;row=789&amp;col=7&amp;number=0.586&amp;sourceID=14","0.586")</f>
        <v>0.586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HYPERLINK("http://141.218.60.56/~jnz1568/getInfo.php?workbook=18_15.xlsx&amp;sheet=U0&amp;row=790&amp;col=6&amp;number=3.6&amp;sourceID=14","3.6")</f>
        <v>3.6</v>
      </c>
      <c r="G790" s="4" t="str">
        <f>HYPERLINK("http://141.218.60.56/~jnz1568/getInfo.php?workbook=18_15.xlsx&amp;sheet=U0&amp;row=790&amp;col=7&amp;number=0.583&amp;sourceID=14","0.583")</f>
        <v>0.583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HYPERLINK("http://141.218.60.56/~jnz1568/getInfo.php?workbook=18_15.xlsx&amp;sheet=U0&amp;row=791&amp;col=6&amp;number=3.7&amp;sourceID=14","3.7")</f>
        <v>3.7</v>
      </c>
      <c r="G791" s="4" t="str">
        <f>HYPERLINK("http://141.218.60.56/~jnz1568/getInfo.php?workbook=18_15.xlsx&amp;sheet=U0&amp;row=791&amp;col=7&amp;number=0.578&amp;sourceID=14","0.578")</f>
        <v>0.578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HYPERLINK("http://141.218.60.56/~jnz1568/getInfo.php?workbook=18_15.xlsx&amp;sheet=U0&amp;row=792&amp;col=6&amp;number=3.8&amp;sourceID=14","3.8")</f>
        <v>3.8</v>
      </c>
      <c r="G792" s="4" t="str">
        <f>HYPERLINK("http://141.218.60.56/~jnz1568/getInfo.php?workbook=18_15.xlsx&amp;sheet=U0&amp;row=792&amp;col=7&amp;number=0.571&amp;sourceID=14","0.571")</f>
        <v>0.571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HYPERLINK("http://141.218.60.56/~jnz1568/getInfo.php?workbook=18_15.xlsx&amp;sheet=U0&amp;row=793&amp;col=6&amp;number=3.9&amp;sourceID=14","3.9")</f>
        <v>3.9</v>
      </c>
      <c r="G793" s="4" t="str">
        <f>HYPERLINK("http://141.218.60.56/~jnz1568/getInfo.php?workbook=18_15.xlsx&amp;sheet=U0&amp;row=793&amp;col=7&amp;number=0.558&amp;sourceID=14","0.558")</f>
        <v>0.558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HYPERLINK("http://141.218.60.56/~jnz1568/getInfo.php?workbook=18_15.xlsx&amp;sheet=U0&amp;row=794&amp;col=6&amp;number=4&amp;sourceID=14","4")</f>
        <v>4</v>
      </c>
      <c r="G794" s="4" t="str">
        <f>HYPERLINK("http://141.218.60.56/~jnz1568/getInfo.php?workbook=18_15.xlsx&amp;sheet=U0&amp;row=794&amp;col=7&amp;number=0.541&amp;sourceID=14","0.541")</f>
        <v>0.541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HYPERLINK("http://141.218.60.56/~jnz1568/getInfo.php?workbook=18_15.xlsx&amp;sheet=U0&amp;row=795&amp;col=6&amp;number=4.1&amp;sourceID=14","4.1")</f>
        <v>4.1</v>
      </c>
      <c r="G795" s="4" t="str">
        <f>HYPERLINK("http://141.218.60.56/~jnz1568/getInfo.php?workbook=18_15.xlsx&amp;sheet=U0&amp;row=795&amp;col=7&amp;number=0.519&amp;sourceID=14","0.519")</f>
        <v>0.519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HYPERLINK("http://141.218.60.56/~jnz1568/getInfo.php?workbook=18_15.xlsx&amp;sheet=U0&amp;row=796&amp;col=6&amp;number=4.2&amp;sourceID=14","4.2")</f>
        <v>4.2</v>
      </c>
      <c r="G796" s="4" t="str">
        <f>HYPERLINK("http://141.218.60.56/~jnz1568/getInfo.php?workbook=18_15.xlsx&amp;sheet=U0&amp;row=796&amp;col=7&amp;number=0.496&amp;sourceID=14","0.496")</f>
        <v>0.496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HYPERLINK("http://141.218.60.56/~jnz1568/getInfo.php?workbook=18_15.xlsx&amp;sheet=U0&amp;row=797&amp;col=6&amp;number=4.3&amp;sourceID=14","4.3")</f>
        <v>4.3</v>
      </c>
      <c r="G797" s="4" t="str">
        <f>HYPERLINK("http://141.218.60.56/~jnz1568/getInfo.php?workbook=18_15.xlsx&amp;sheet=U0&amp;row=797&amp;col=7&amp;number=0.478&amp;sourceID=14","0.478")</f>
        <v>0.478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HYPERLINK("http://141.218.60.56/~jnz1568/getInfo.php?workbook=18_15.xlsx&amp;sheet=U0&amp;row=798&amp;col=6&amp;number=4.4&amp;sourceID=14","4.4")</f>
        <v>4.4</v>
      </c>
      <c r="G798" s="4" t="str">
        <f>HYPERLINK("http://141.218.60.56/~jnz1568/getInfo.php?workbook=18_15.xlsx&amp;sheet=U0&amp;row=798&amp;col=7&amp;number=0.463&amp;sourceID=14","0.463")</f>
        <v>0.463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HYPERLINK("http://141.218.60.56/~jnz1568/getInfo.php?workbook=18_15.xlsx&amp;sheet=U0&amp;row=799&amp;col=6&amp;number=4.5&amp;sourceID=14","4.5")</f>
        <v>4.5</v>
      </c>
      <c r="G799" s="4" t="str">
        <f>HYPERLINK("http://141.218.60.56/~jnz1568/getInfo.php?workbook=18_15.xlsx&amp;sheet=U0&amp;row=799&amp;col=7&amp;number=0.446&amp;sourceID=14","0.446")</f>
        <v>0.446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HYPERLINK("http://141.218.60.56/~jnz1568/getInfo.php?workbook=18_15.xlsx&amp;sheet=U0&amp;row=800&amp;col=6&amp;number=4.6&amp;sourceID=14","4.6")</f>
        <v>4.6</v>
      </c>
      <c r="G800" s="4" t="str">
        <f>HYPERLINK("http://141.218.60.56/~jnz1568/getInfo.php?workbook=18_15.xlsx&amp;sheet=U0&amp;row=800&amp;col=7&amp;number=0.428&amp;sourceID=14","0.428")</f>
        <v>0.428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HYPERLINK("http://141.218.60.56/~jnz1568/getInfo.php?workbook=18_15.xlsx&amp;sheet=U0&amp;row=801&amp;col=6&amp;number=4.7&amp;sourceID=14","4.7")</f>
        <v>4.7</v>
      </c>
      <c r="G801" s="4" t="str">
        <f>HYPERLINK("http://141.218.60.56/~jnz1568/getInfo.php?workbook=18_15.xlsx&amp;sheet=U0&amp;row=801&amp;col=7&amp;number=0.412&amp;sourceID=14","0.412")</f>
        <v>0.412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HYPERLINK("http://141.218.60.56/~jnz1568/getInfo.php?workbook=18_15.xlsx&amp;sheet=U0&amp;row=802&amp;col=6&amp;number=4.8&amp;sourceID=14","4.8")</f>
        <v>4.8</v>
      </c>
      <c r="G802" s="4" t="str">
        <f>HYPERLINK("http://141.218.60.56/~jnz1568/getInfo.php?workbook=18_15.xlsx&amp;sheet=U0&amp;row=802&amp;col=7&amp;number=0.4&amp;sourceID=14","0.4")</f>
        <v>0.4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HYPERLINK("http://141.218.60.56/~jnz1568/getInfo.php?workbook=18_15.xlsx&amp;sheet=U0&amp;row=803&amp;col=6&amp;number=4.9&amp;sourceID=14","4.9")</f>
        <v>4.9</v>
      </c>
      <c r="G803" s="4" t="str">
        <f>HYPERLINK("http://141.218.60.56/~jnz1568/getInfo.php?workbook=18_15.xlsx&amp;sheet=U0&amp;row=803&amp;col=7&amp;number=0.384&amp;sourceID=14","0.384")</f>
        <v>0.384</v>
      </c>
    </row>
    <row r="804" spans="1:7">
      <c r="A804" s="3">
        <v>18</v>
      </c>
      <c r="B804" s="3">
        <v>15</v>
      </c>
      <c r="C804" s="3">
        <v>2</v>
      </c>
      <c r="D804" s="3">
        <v>15</v>
      </c>
      <c r="E804" s="3">
        <v>1</v>
      </c>
      <c r="F804" s="4" t="str">
        <f>HYPERLINK("http://141.218.60.56/~jnz1568/getInfo.php?workbook=18_15.xlsx&amp;sheet=U0&amp;row=804&amp;col=6&amp;number=3&amp;sourceID=14","3")</f>
        <v>3</v>
      </c>
      <c r="G804" s="4" t="str">
        <f>HYPERLINK("http://141.218.60.56/~jnz1568/getInfo.php?workbook=18_15.xlsx&amp;sheet=U0&amp;row=804&amp;col=7&amp;number=0.754&amp;sourceID=14","0.754")</f>
        <v>0.754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HYPERLINK("http://141.218.60.56/~jnz1568/getInfo.php?workbook=18_15.xlsx&amp;sheet=U0&amp;row=805&amp;col=6&amp;number=3.1&amp;sourceID=14","3.1")</f>
        <v>3.1</v>
      </c>
      <c r="G805" s="4" t="str">
        <f>HYPERLINK("http://141.218.60.56/~jnz1568/getInfo.php?workbook=18_15.xlsx&amp;sheet=U0&amp;row=805&amp;col=7&amp;number=0.752&amp;sourceID=14","0.752")</f>
        <v>0.752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HYPERLINK("http://141.218.60.56/~jnz1568/getInfo.php?workbook=18_15.xlsx&amp;sheet=U0&amp;row=806&amp;col=6&amp;number=3.2&amp;sourceID=14","3.2")</f>
        <v>3.2</v>
      </c>
      <c r="G806" s="4" t="str">
        <f>HYPERLINK("http://141.218.60.56/~jnz1568/getInfo.php?workbook=18_15.xlsx&amp;sheet=U0&amp;row=806&amp;col=7&amp;number=0.751&amp;sourceID=14","0.751")</f>
        <v>0.751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HYPERLINK("http://141.218.60.56/~jnz1568/getInfo.php?workbook=18_15.xlsx&amp;sheet=U0&amp;row=807&amp;col=6&amp;number=3.3&amp;sourceID=14","3.3")</f>
        <v>3.3</v>
      </c>
      <c r="G807" s="4" t="str">
        <f>HYPERLINK("http://141.218.60.56/~jnz1568/getInfo.php?workbook=18_15.xlsx&amp;sheet=U0&amp;row=807&amp;col=7&amp;number=0.748&amp;sourceID=14","0.748")</f>
        <v>0.748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HYPERLINK("http://141.218.60.56/~jnz1568/getInfo.php?workbook=18_15.xlsx&amp;sheet=U0&amp;row=808&amp;col=6&amp;number=3.4&amp;sourceID=14","3.4")</f>
        <v>3.4</v>
      </c>
      <c r="G808" s="4" t="str">
        <f>HYPERLINK("http://141.218.60.56/~jnz1568/getInfo.php?workbook=18_15.xlsx&amp;sheet=U0&amp;row=808&amp;col=7&amp;number=0.745&amp;sourceID=14","0.745")</f>
        <v>0.745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HYPERLINK("http://141.218.60.56/~jnz1568/getInfo.php?workbook=18_15.xlsx&amp;sheet=U0&amp;row=809&amp;col=6&amp;number=3.5&amp;sourceID=14","3.5")</f>
        <v>3.5</v>
      </c>
      <c r="G809" s="4" t="str">
        <f>HYPERLINK("http://141.218.60.56/~jnz1568/getInfo.php?workbook=18_15.xlsx&amp;sheet=U0&amp;row=809&amp;col=7&amp;number=0.741&amp;sourceID=14","0.741")</f>
        <v>0.741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HYPERLINK("http://141.218.60.56/~jnz1568/getInfo.php?workbook=18_15.xlsx&amp;sheet=U0&amp;row=810&amp;col=6&amp;number=3.6&amp;sourceID=14","3.6")</f>
        <v>3.6</v>
      </c>
      <c r="G810" s="4" t="str">
        <f>HYPERLINK("http://141.218.60.56/~jnz1568/getInfo.php?workbook=18_15.xlsx&amp;sheet=U0&amp;row=810&amp;col=7&amp;number=0.736&amp;sourceID=14","0.736")</f>
        <v>0.736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HYPERLINK("http://141.218.60.56/~jnz1568/getInfo.php?workbook=18_15.xlsx&amp;sheet=U0&amp;row=811&amp;col=6&amp;number=3.7&amp;sourceID=14","3.7")</f>
        <v>3.7</v>
      </c>
      <c r="G811" s="4" t="str">
        <f>HYPERLINK("http://141.218.60.56/~jnz1568/getInfo.php?workbook=18_15.xlsx&amp;sheet=U0&amp;row=811&amp;col=7&amp;number=0.728&amp;sourceID=14","0.728")</f>
        <v>0.728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HYPERLINK("http://141.218.60.56/~jnz1568/getInfo.php?workbook=18_15.xlsx&amp;sheet=U0&amp;row=812&amp;col=6&amp;number=3.8&amp;sourceID=14","3.8")</f>
        <v>3.8</v>
      </c>
      <c r="G812" s="4" t="str">
        <f>HYPERLINK("http://141.218.60.56/~jnz1568/getInfo.php?workbook=18_15.xlsx&amp;sheet=U0&amp;row=812&amp;col=7&amp;number=0.716&amp;sourceID=14","0.716")</f>
        <v>0.716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HYPERLINK("http://141.218.60.56/~jnz1568/getInfo.php?workbook=18_15.xlsx&amp;sheet=U0&amp;row=813&amp;col=6&amp;number=3.9&amp;sourceID=14","3.9")</f>
        <v>3.9</v>
      </c>
      <c r="G813" s="4" t="str">
        <f>HYPERLINK("http://141.218.60.56/~jnz1568/getInfo.php?workbook=18_15.xlsx&amp;sheet=U0&amp;row=813&amp;col=7&amp;number=0.699&amp;sourceID=14","0.699")</f>
        <v>0.699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HYPERLINK("http://141.218.60.56/~jnz1568/getInfo.php?workbook=18_15.xlsx&amp;sheet=U0&amp;row=814&amp;col=6&amp;number=4&amp;sourceID=14","4")</f>
        <v>4</v>
      </c>
      <c r="G814" s="4" t="str">
        <f>HYPERLINK("http://141.218.60.56/~jnz1568/getInfo.php?workbook=18_15.xlsx&amp;sheet=U0&amp;row=814&amp;col=7&amp;number=0.675&amp;sourceID=14","0.675")</f>
        <v>0.675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HYPERLINK("http://141.218.60.56/~jnz1568/getInfo.php?workbook=18_15.xlsx&amp;sheet=U0&amp;row=815&amp;col=6&amp;number=4.1&amp;sourceID=14","4.1")</f>
        <v>4.1</v>
      </c>
      <c r="G815" s="4" t="str">
        <f>HYPERLINK("http://141.218.60.56/~jnz1568/getInfo.php?workbook=18_15.xlsx&amp;sheet=U0&amp;row=815&amp;col=7&amp;number=0.647&amp;sourceID=14","0.647")</f>
        <v>0.647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HYPERLINK("http://141.218.60.56/~jnz1568/getInfo.php?workbook=18_15.xlsx&amp;sheet=U0&amp;row=816&amp;col=6&amp;number=4.2&amp;sourceID=14","4.2")</f>
        <v>4.2</v>
      </c>
      <c r="G816" s="4" t="str">
        <f>HYPERLINK("http://141.218.60.56/~jnz1568/getInfo.php?workbook=18_15.xlsx&amp;sheet=U0&amp;row=816&amp;col=7&amp;number=0.618&amp;sourceID=14","0.618")</f>
        <v>0.618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HYPERLINK("http://141.218.60.56/~jnz1568/getInfo.php?workbook=18_15.xlsx&amp;sheet=U0&amp;row=817&amp;col=6&amp;number=4.3&amp;sourceID=14","4.3")</f>
        <v>4.3</v>
      </c>
      <c r="G817" s="4" t="str">
        <f>HYPERLINK("http://141.218.60.56/~jnz1568/getInfo.php?workbook=18_15.xlsx&amp;sheet=U0&amp;row=817&amp;col=7&amp;number=0.594&amp;sourceID=14","0.594")</f>
        <v>0.594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HYPERLINK("http://141.218.60.56/~jnz1568/getInfo.php?workbook=18_15.xlsx&amp;sheet=U0&amp;row=818&amp;col=6&amp;number=4.4&amp;sourceID=14","4.4")</f>
        <v>4.4</v>
      </c>
      <c r="G818" s="4" t="str">
        <f>HYPERLINK("http://141.218.60.56/~jnz1568/getInfo.php?workbook=18_15.xlsx&amp;sheet=U0&amp;row=818&amp;col=7&amp;number=0.574&amp;sourceID=14","0.574")</f>
        <v>0.574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HYPERLINK("http://141.218.60.56/~jnz1568/getInfo.php?workbook=18_15.xlsx&amp;sheet=U0&amp;row=819&amp;col=6&amp;number=4.5&amp;sourceID=14","4.5")</f>
        <v>4.5</v>
      </c>
      <c r="G819" s="4" t="str">
        <f>HYPERLINK("http://141.218.60.56/~jnz1568/getInfo.php?workbook=18_15.xlsx&amp;sheet=U0&amp;row=819&amp;col=7&amp;number=0.553&amp;sourceID=14","0.553")</f>
        <v>0.553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HYPERLINK("http://141.218.60.56/~jnz1568/getInfo.php?workbook=18_15.xlsx&amp;sheet=U0&amp;row=820&amp;col=6&amp;number=4.6&amp;sourceID=14","4.6")</f>
        <v>4.6</v>
      </c>
      <c r="G820" s="4" t="str">
        <f>HYPERLINK("http://141.218.60.56/~jnz1568/getInfo.php?workbook=18_15.xlsx&amp;sheet=U0&amp;row=820&amp;col=7&amp;number=0.53&amp;sourceID=14","0.53")</f>
        <v>0.53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HYPERLINK("http://141.218.60.56/~jnz1568/getInfo.php?workbook=18_15.xlsx&amp;sheet=U0&amp;row=821&amp;col=6&amp;number=4.7&amp;sourceID=14","4.7")</f>
        <v>4.7</v>
      </c>
      <c r="G821" s="4" t="str">
        <f>HYPERLINK("http://141.218.60.56/~jnz1568/getInfo.php?workbook=18_15.xlsx&amp;sheet=U0&amp;row=821&amp;col=7&amp;number=0.511&amp;sourceID=14","0.511")</f>
        <v>0.511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HYPERLINK("http://141.218.60.56/~jnz1568/getInfo.php?workbook=18_15.xlsx&amp;sheet=U0&amp;row=822&amp;col=6&amp;number=4.8&amp;sourceID=14","4.8")</f>
        <v>4.8</v>
      </c>
      <c r="G822" s="4" t="str">
        <f>HYPERLINK("http://141.218.60.56/~jnz1568/getInfo.php?workbook=18_15.xlsx&amp;sheet=U0&amp;row=822&amp;col=7&amp;number=0.497&amp;sourceID=14","0.497")</f>
        <v>0.497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HYPERLINK("http://141.218.60.56/~jnz1568/getInfo.php?workbook=18_15.xlsx&amp;sheet=U0&amp;row=823&amp;col=6&amp;number=4.9&amp;sourceID=14","4.9")</f>
        <v>4.9</v>
      </c>
      <c r="G823" s="4" t="str">
        <f>HYPERLINK("http://141.218.60.56/~jnz1568/getInfo.php?workbook=18_15.xlsx&amp;sheet=U0&amp;row=823&amp;col=7&amp;number=0.478&amp;sourceID=14","0.478")</f>
        <v>0.478</v>
      </c>
    </row>
    <row r="824" spans="1:7">
      <c r="A824" s="3">
        <v>18</v>
      </c>
      <c r="B824" s="3">
        <v>15</v>
      </c>
      <c r="C824" s="3">
        <v>2</v>
      </c>
      <c r="D824" s="3">
        <v>16</v>
      </c>
      <c r="E824" s="3">
        <v>1</v>
      </c>
      <c r="F824" s="4" t="str">
        <f>HYPERLINK("http://141.218.60.56/~jnz1568/getInfo.php?workbook=18_15.xlsx&amp;sheet=U0&amp;row=824&amp;col=6&amp;number=3&amp;sourceID=14","3")</f>
        <v>3</v>
      </c>
      <c r="G824" s="4" t="str">
        <f>HYPERLINK("http://141.218.60.56/~jnz1568/getInfo.php?workbook=18_15.xlsx&amp;sheet=U0&amp;row=824&amp;col=7&amp;number=0.777&amp;sourceID=14","0.777")</f>
        <v>0.777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HYPERLINK("http://141.218.60.56/~jnz1568/getInfo.php?workbook=18_15.xlsx&amp;sheet=U0&amp;row=825&amp;col=6&amp;number=3.1&amp;sourceID=14","3.1")</f>
        <v>3.1</v>
      </c>
      <c r="G825" s="4" t="str">
        <f>HYPERLINK("http://141.218.60.56/~jnz1568/getInfo.php?workbook=18_15.xlsx&amp;sheet=U0&amp;row=825&amp;col=7&amp;number=0.773&amp;sourceID=14","0.773")</f>
        <v>0.773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HYPERLINK("http://141.218.60.56/~jnz1568/getInfo.php?workbook=18_15.xlsx&amp;sheet=U0&amp;row=826&amp;col=6&amp;number=3.2&amp;sourceID=14","3.2")</f>
        <v>3.2</v>
      </c>
      <c r="G826" s="4" t="str">
        <f>HYPERLINK("http://141.218.60.56/~jnz1568/getInfo.php?workbook=18_15.xlsx&amp;sheet=U0&amp;row=826&amp;col=7&amp;number=0.767&amp;sourceID=14","0.767")</f>
        <v>0.767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HYPERLINK("http://141.218.60.56/~jnz1568/getInfo.php?workbook=18_15.xlsx&amp;sheet=U0&amp;row=827&amp;col=6&amp;number=3.3&amp;sourceID=14","3.3")</f>
        <v>3.3</v>
      </c>
      <c r="G827" s="4" t="str">
        <f>HYPERLINK("http://141.218.60.56/~jnz1568/getInfo.php?workbook=18_15.xlsx&amp;sheet=U0&amp;row=827&amp;col=7&amp;number=0.761&amp;sourceID=14","0.761")</f>
        <v>0.761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HYPERLINK("http://141.218.60.56/~jnz1568/getInfo.php?workbook=18_15.xlsx&amp;sheet=U0&amp;row=828&amp;col=6&amp;number=3.4&amp;sourceID=14","3.4")</f>
        <v>3.4</v>
      </c>
      <c r="G828" s="4" t="str">
        <f>HYPERLINK("http://141.218.60.56/~jnz1568/getInfo.php?workbook=18_15.xlsx&amp;sheet=U0&amp;row=828&amp;col=7&amp;number=0.752&amp;sourceID=14","0.752")</f>
        <v>0.752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HYPERLINK("http://141.218.60.56/~jnz1568/getInfo.php?workbook=18_15.xlsx&amp;sheet=U0&amp;row=829&amp;col=6&amp;number=3.5&amp;sourceID=14","3.5")</f>
        <v>3.5</v>
      </c>
      <c r="G829" s="4" t="str">
        <f>HYPERLINK("http://141.218.60.56/~jnz1568/getInfo.php?workbook=18_15.xlsx&amp;sheet=U0&amp;row=829&amp;col=7&amp;number=0.742&amp;sourceID=14","0.742")</f>
        <v>0.742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HYPERLINK("http://141.218.60.56/~jnz1568/getInfo.php?workbook=18_15.xlsx&amp;sheet=U0&amp;row=830&amp;col=6&amp;number=3.6&amp;sourceID=14","3.6")</f>
        <v>3.6</v>
      </c>
      <c r="G830" s="4" t="str">
        <f>HYPERLINK("http://141.218.60.56/~jnz1568/getInfo.php?workbook=18_15.xlsx&amp;sheet=U0&amp;row=830&amp;col=7&amp;number=0.729&amp;sourceID=14","0.729")</f>
        <v>0.729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HYPERLINK("http://141.218.60.56/~jnz1568/getInfo.php?workbook=18_15.xlsx&amp;sheet=U0&amp;row=831&amp;col=6&amp;number=3.7&amp;sourceID=14","3.7")</f>
        <v>3.7</v>
      </c>
      <c r="G831" s="4" t="str">
        <f>HYPERLINK("http://141.218.60.56/~jnz1568/getInfo.php?workbook=18_15.xlsx&amp;sheet=U0&amp;row=831&amp;col=7&amp;number=0.714&amp;sourceID=14","0.714")</f>
        <v>0.714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HYPERLINK("http://141.218.60.56/~jnz1568/getInfo.php?workbook=18_15.xlsx&amp;sheet=U0&amp;row=832&amp;col=6&amp;number=3.8&amp;sourceID=14","3.8")</f>
        <v>3.8</v>
      </c>
      <c r="G832" s="4" t="str">
        <f>HYPERLINK("http://141.218.60.56/~jnz1568/getInfo.php?workbook=18_15.xlsx&amp;sheet=U0&amp;row=832&amp;col=7&amp;number=0.695&amp;sourceID=14","0.695")</f>
        <v>0.695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HYPERLINK("http://141.218.60.56/~jnz1568/getInfo.php?workbook=18_15.xlsx&amp;sheet=U0&amp;row=833&amp;col=6&amp;number=3.9&amp;sourceID=14","3.9")</f>
        <v>3.9</v>
      </c>
      <c r="G833" s="4" t="str">
        <f>HYPERLINK("http://141.218.60.56/~jnz1568/getInfo.php?workbook=18_15.xlsx&amp;sheet=U0&amp;row=833&amp;col=7&amp;number=0.672&amp;sourceID=14","0.672")</f>
        <v>0.672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HYPERLINK("http://141.218.60.56/~jnz1568/getInfo.php?workbook=18_15.xlsx&amp;sheet=U0&amp;row=834&amp;col=6&amp;number=4&amp;sourceID=14","4")</f>
        <v>4</v>
      </c>
      <c r="G834" s="4" t="str">
        <f>HYPERLINK("http://141.218.60.56/~jnz1568/getInfo.php?workbook=18_15.xlsx&amp;sheet=U0&amp;row=834&amp;col=7&amp;number=0.646&amp;sourceID=14","0.646")</f>
        <v>0.646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HYPERLINK("http://141.218.60.56/~jnz1568/getInfo.php?workbook=18_15.xlsx&amp;sheet=U0&amp;row=835&amp;col=6&amp;number=4.1&amp;sourceID=14","4.1")</f>
        <v>4.1</v>
      </c>
      <c r="G835" s="4" t="str">
        <f>HYPERLINK("http://141.218.60.56/~jnz1568/getInfo.php?workbook=18_15.xlsx&amp;sheet=U0&amp;row=835&amp;col=7&amp;number=0.617&amp;sourceID=14","0.617")</f>
        <v>0.617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HYPERLINK("http://141.218.60.56/~jnz1568/getInfo.php?workbook=18_15.xlsx&amp;sheet=U0&amp;row=836&amp;col=6&amp;number=4.2&amp;sourceID=14","4.2")</f>
        <v>4.2</v>
      </c>
      <c r="G836" s="4" t="str">
        <f>HYPERLINK("http://141.218.60.56/~jnz1568/getInfo.php?workbook=18_15.xlsx&amp;sheet=U0&amp;row=836&amp;col=7&amp;number=0.589&amp;sourceID=14","0.589")</f>
        <v>0.589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HYPERLINK("http://141.218.60.56/~jnz1568/getInfo.php?workbook=18_15.xlsx&amp;sheet=U0&amp;row=837&amp;col=6&amp;number=4.3&amp;sourceID=14","4.3")</f>
        <v>4.3</v>
      </c>
      <c r="G837" s="4" t="str">
        <f>HYPERLINK("http://141.218.60.56/~jnz1568/getInfo.php?workbook=18_15.xlsx&amp;sheet=U0&amp;row=837&amp;col=7&amp;number=0.564&amp;sourceID=14","0.564")</f>
        <v>0.564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HYPERLINK("http://141.218.60.56/~jnz1568/getInfo.php?workbook=18_15.xlsx&amp;sheet=U0&amp;row=838&amp;col=6&amp;number=4.4&amp;sourceID=14","4.4")</f>
        <v>4.4</v>
      </c>
      <c r="G838" s="4" t="str">
        <f>HYPERLINK("http://141.218.60.56/~jnz1568/getInfo.php?workbook=18_15.xlsx&amp;sheet=U0&amp;row=838&amp;col=7&amp;number=0.542&amp;sourceID=14","0.542")</f>
        <v>0.542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HYPERLINK("http://141.218.60.56/~jnz1568/getInfo.php?workbook=18_15.xlsx&amp;sheet=U0&amp;row=839&amp;col=6&amp;number=4.5&amp;sourceID=14","4.5")</f>
        <v>4.5</v>
      </c>
      <c r="G839" s="4" t="str">
        <f>HYPERLINK("http://141.218.60.56/~jnz1568/getInfo.php?workbook=18_15.xlsx&amp;sheet=U0&amp;row=839&amp;col=7&amp;number=0.519&amp;sourceID=14","0.519")</f>
        <v>0.519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HYPERLINK("http://141.218.60.56/~jnz1568/getInfo.php?workbook=18_15.xlsx&amp;sheet=U0&amp;row=840&amp;col=6&amp;number=4.6&amp;sourceID=14","4.6")</f>
        <v>4.6</v>
      </c>
      <c r="G840" s="4" t="str">
        <f>HYPERLINK("http://141.218.60.56/~jnz1568/getInfo.php?workbook=18_15.xlsx&amp;sheet=U0&amp;row=840&amp;col=7&amp;number=0.496&amp;sourceID=14","0.496")</f>
        <v>0.496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HYPERLINK("http://141.218.60.56/~jnz1568/getInfo.php?workbook=18_15.xlsx&amp;sheet=U0&amp;row=841&amp;col=6&amp;number=4.7&amp;sourceID=14","4.7")</f>
        <v>4.7</v>
      </c>
      <c r="G841" s="4" t="str">
        <f>HYPERLINK("http://141.218.60.56/~jnz1568/getInfo.php?workbook=18_15.xlsx&amp;sheet=U0&amp;row=841&amp;col=7&amp;number=0.477&amp;sourceID=14","0.477")</f>
        <v>0.477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HYPERLINK("http://141.218.60.56/~jnz1568/getInfo.php?workbook=18_15.xlsx&amp;sheet=U0&amp;row=842&amp;col=6&amp;number=4.8&amp;sourceID=14","4.8")</f>
        <v>4.8</v>
      </c>
      <c r="G842" s="4" t="str">
        <f>HYPERLINK("http://141.218.60.56/~jnz1568/getInfo.php?workbook=18_15.xlsx&amp;sheet=U0&amp;row=842&amp;col=7&amp;number=0.461&amp;sourceID=14","0.461")</f>
        <v>0.461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HYPERLINK("http://141.218.60.56/~jnz1568/getInfo.php?workbook=18_15.xlsx&amp;sheet=U0&amp;row=843&amp;col=6&amp;number=4.9&amp;sourceID=14","4.9")</f>
        <v>4.9</v>
      </c>
      <c r="G843" s="4" t="str">
        <f>HYPERLINK("http://141.218.60.56/~jnz1568/getInfo.php?workbook=18_15.xlsx&amp;sheet=U0&amp;row=843&amp;col=7&amp;number=0.442&amp;sourceID=14","0.442")</f>
        <v>0.442</v>
      </c>
    </row>
    <row r="844" spans="1:7">
      <c r="A844" s="3">
        <v>18</v>
      </c>
      <c r="B844" s="3">
        <v>15</v>
      </c>
      <c r="C844" s="3">
        <v>2</v>
      </c>
      <c r="D844" s="3">
        <v>17</v>
      </c>
      <c r="E844" s="3">
        <v>1</v>
      </c>
      <c r="F844" s="4" t="str">
        <f>HYPERLINK("http://141.218.60.56/~jnz1568/getInfo.php?workbook=18_15.xlsx&amp;sheet=U0&amp;row=844&amp;col=6&amp;number=3&amp;sourceID=14","3")</f>
        <v>3</v>
      </c>
      <c r="G844" s="4" t="str">
        <f>HYPERLINK("http://141.218.60.56/~jnz1568/getInfo.php?workbook=18_15.xlsx&amp;sheet=U0&amp;row=844&amp;col=7&amp;number=0.531&amp;sourceID=14","0.531")</f>
        <v>0.531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HYPERLINK("http://141.218.60.56/~jnz1568/getInfo.php?workbook=18_15.xlsx&amp;sheet=U0&amp;row=845&amp;col=6&amp;number=3.1&amp;sourceID=14","3.1")</f>
        <v>3.1</v>
      </c>
      <c r="G845" s="4" t="str">
        <f>HYPERLINK("http://141.218.60.56/~jnz1568/getInfo.php?workbook=18_15.xlsx&amp;sheet=U0&amp;row=845&amp;col=7&amp;number=0.527&amp;sourceID=14","0.527")</f>
        <v>0.527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HYPERLINK("http://141.218.60.56/~jnz1568/getInfo.php?workbook=18_15.xlsx&amp;sheet=U0&amp;row=846&amp;col=6&amp;number=3.2&amp;sourceID=14","3.2")</f>
        <v>3.2</v>
      </c>
      <c r="G846" s="4" t="str">
        <f>HYPERLINK("http://141.218.60.56/~jnz1568/getInfo.php?workbook=18_15.xlsx&amp;sheet=U0&amp;row=846&amp;col=7&amp;number=0.521&amp;sourceID=14","0.521")</f>
        <v>0.521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HYPERLINK("http://141.218.60.56/~jnz1568/getInfo.php?workbook=18_15.xlsx&amp;sheet=U0&amp;row=847&amp;col=6&amp;number=3.3&amp;sourceID=14","3.3")</f>
        <v>3.3</v>
      </c>
      <c r="G847" s="4" t="str">
        <f>HYPERLINK("http://141.218.60.56/~jnz1568/getInfo.php?workbook=18_15.xlsx&amp;sheet=U0&amp;row=847&amp;col=7&amp;number=0.514&amp;sourceID=14","0.514")</f>
        <v>0.514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HYPERLINK("http://141.218.60.56/~jnz1568/getInfo.php?workbook=18_15.xlsx&amp;sheet=U0&amp;row=848&amp;col=6&amp;number=3.4&amp;sourceID=14","3.4")</f>
        <v>3.4</v>
      </c>
      <c r="G848" s="4" t="str">
        <f>HYPERLINK("http://141.218.60.56/~jnz1568/getInfo.php?workbook=18_15.xlsx&amp;sheet=U0&amp;row=848&amp;col=7&amp;number=0.505&amp;sourceID=14","0.505")</f>
        <v>0.505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HYPERLINK("http://141.218.60.56/~jnz1568/getInfo.php?workbook=18_15.xlsx&amp;sheet=U0&amp;row=849&amp;col=6&amp;number=3.5&amp;sourceID=14","3.5")</f>
        <v>3.5</v>
      </c>
      <c r="G849" s="4" t="str">
        <f>HYPERLINK("http://141.218.60.56/~jnz1568/getInfo.php?workbook=18_15.xlsx&amp;sheet=U0&amp;row=849&amp;col=7&amp;number=0.494&amp;sourceID=14","0.494")</f>
        <v>0.494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HYPERLINK("http://141.218.60.56/~jnz1568/getInfo.php?workbook=18_15.xlsx&amp;sheet=U0&amp;row=850&amp;col=6&amp;number=3.6&amp;sourceID=14","3.6")</f>
        <v>3.6</v>
      </c>
      <c r="G850" s="4" t="str">
        <f>HYPERLINK("http://141.218.60.56/~jnz1568/getInfo.php?workbook=18_15.xlsx&amp;sheet=U0&amp;row=850&amp;col=7&amp;number=0.481&amp;sourceID=14","0.481")</f>
        <v>0.481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HYPERLINK("http://141.218.60.56/~jnz1568/getInfo.php?workbook=18_15.xlsx&amp;sheet=U0&amp;row=851&amp;col=6&amp;number=3.7&amp;sourceID=14","3.7")</f>
        <v>3.7</v>
      </c>
      <c r="G851" s="4" t="str">
        <f>HYPERLINK("http://141.218.60.56/~jnz1568/getInfo.php?workbook=18_15.xlsx&amp;sheet=U0&amp;row=851&amp;col=7&amp;number=0.466&amp;sourceID=14","0.466")</f>
        <v>0.466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HYPERLINK("http://141.218.60.56/~jnz1568/getInfo.php?workbook=18_15.xlsx&amp;sheet=U0&amp;row=852&amp;col=6&amp;number=3.8&amp;sourceID=14","3.8")</f>
        <v>3.8</v>
      </c>
      <c r="G852" s="4" t="str">
        <f>HYPERLINK("http://141.218.60.56/~jnz1568/getInfo.php?workbook=18_15.xlsx&amp;sheet=U0&amp;row=852&amp;col=7&amp;number=0.447&amp;sourceID=14","0.447")</f>
        <v>0.447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HYPERLINK("http://141.218.60.56/~jnz1568/getInfo.php?workbook=18_15.xlsx&amp;sheet=U0&amp;row=853&amp;col=6&amp;number=3.9&amp;sourceID=14","3.9")</f>
        <v>3.9</v>
      </c>
      <c r="G853" s="4" t="str">
        <f>HYPERLINK("http://141.218.60.56/~jnz1568/getInfo.php?workbook=18_15.xlsx&amp;sheet=U0&amp;row=853&amp;col=7&amp;number=0.426&amp;sourceID=14","0.426")</f>
        <v>0.426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HYPERLINK("http://141.218.60.56/~jnz1568/getInfo.php?workbook=18_15.xlsx&amp;sheet=U0&amp;row=854&amp;col=6&amp;number=4&amp;sourceID=14","4")</f>
        <v>4</v>
      </c>
      <c r="G854" s="4" t="str">
        <f>HYPERLINK("http://141.218.60.56/~jnz1568/getInfo.php?workbook=18_15.xlsx&amp;sheet=U0&amp;row=854&amp;col=7&amp;number=0.403&amp;sourceID=14","0.403")</f>
        <v>0.403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HYPERLINK("http://141.218.60.56/~jnz1568/getInfo.php?workbook=18_15.xlsx&amp;sheet=U0&amp;row=855&amp;col=6&amp;number=4.1&amp;sourceID=14","4.1")</f>
        <v>4.1</v>
      </c>
      <c r="G855" s="4" t="str">
        <f>HYPERLINK("http://141.218.60.56/~jnz1568/getInfo.php?workbook=18_15.xlsx&amp;sheet=U0&amp;row=855&amp;col=7&amp;number=0.378&amp;sourceID=14","0.378")</f>
        <v>0.378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HYPERLINK("http://141.218.60.56/~jnz1568/getInfo.php?workbook=18_15.xlsx&amp;sheet=U0&amp;row=856&amp;col=6&amp;number=4.2&amp;sourceID=14","4.2")</f>
        <v>4.2</v>
      </c>
      <c r="G856" s="4" t="str">
        <f>HYPERLINK("http://141.218.60.56/~jnz1568/getInfo.php?workbook=18_15.xlsx&amp;sheet=U0&amp;row=856&amp;col=7&amp;number=0.355&amp;sourceID=14","0.355")</f>
        <v>0.355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HYPERLINK("http://141.218.60.56/~jnz1568/getInfo.php?workbook=18_15.xlsx&amp;sheet=U0&amp;row=857&amp;col=6&amp;number=4.3&amp;sourceID=14","4.3")</f>
        <v>4.3</v>
      </c>
      <c r="G857" s="4" t="str">
        <f>HYPERLINK("http://141.218.60.56/~jnz1568/getInfo.php?workbook=18_15.xlsx&amp;sheet=U0&amp;row=857&amp;col=7&amp;number=0.335&amp;sourceID=14","0.335")</f>
        <v>0.335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HYPERLINK("http://141.218.60.56/~jnz1568/getInfo.php?workbook=18_15.xlsx&amp;sheet=U0&amp;row=858&amp;col=6&amp;number=4.4&amp;sourceID=14","4.4")</f>
        <v>4.4</v>
      </c>
      <c r="G858" s="4" t="str">
        <f>HYPERLINK("http://141.218.60.56/~jnz1568/getInfo.php?workbook=18_15.xlsx&amp;sheet=U0&amp;row=858&amp;col=7&amp;number=0.318&amp;sourceID=14","0.318")</f>
        <v>0.318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HYPERLINK("http://141.218.60.56/~jnz1568/getInfo.php?workbook=18_15.xlsx&amp;sheet=U0&amp;row=859&amp;col=6&amp;number=4.5&amp;sourceID=14","4.5")</f>
        <v>4.5</v>
      </c>
      <c r="G859" s="4" t="str">
        <f>HYPERLINK("http://141.218.60.56/~jnz1568/getInfo.php?workbook=18_15.xlsx&amp;sheet=U0&amp;row=859&amp;col=7&amp;number=0.301&amp;sourceID=14","0.301")</f>
        <v>0.301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HYPERLINK("http://141.218.60.56/~jnz1568/getInfo.php?workbook=18_15.xlsx&amp;sheet=U0&amp;row=860&amp;col=6&amp;number=4.6&amp;sourceID=14","4.6")</f>
        <v>4.6</v>
      </c>
      <c r="G860" s="4" t="str">
        <f>HYPERLINK("http://141.218.60.56/~jnz1568/getInfo.php?workbook=18_15.xlsx&amp;sheet=U0&amp;row=860&amp;col=7&amp;number=0.283&amp;sourceID=14","0.283")</f>
        <v>0.283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HYPERLINK("http://141.218.60.56/~jnz1568/getInfo.php?workbook=18_15.xlsx&amp;sheet=U0&amp;row=861&amp;col=6&amp;number=4.7&amp;sourceID=14","4.7")</f>
        <v>4.7</v>
      </c>
      <c r="G861" s="4" t="str">
        <f>HYPERLINK("http://141.218.60.56/~jnz1568/getInfo.php?workbook=18_15.xlsx&amp;sheet=U0&amp;row=861&amp;col=7&amp;number=0.269&amp;sourceID=14","0.269")</f>
        <v>0.269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HYPERLINK("http://141.218.60.56/~jnz1568/getInfo.php?workbook=18_15.xlsx&amp;sheet=U0&amp;row=862&amp;col=6&amp;number=4.8&amp;sourceID=14","4.8")</f>
        <v>4.8</v>
      </c>
      <c r="G862" s="4" t="str">
        <f>HYPERLINK("http://141.218.60.56/~jnz1568/getInfo.php?workbook=18_15.xlsx&amp;sheet=U0&amp;row=862&amp;col=7&amp;number=0.257&amp;sourceID=14","0.257")</f>
        <v>0.257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HYPERLINK("http://141.218.60.56/~jnz1568/getInfo.php?workbook=18_15.xlsx&amp;sheet=U0&amp;row=863&amp;col=6&amp;number=4.9&amp;sourceID=14","4.9")</f>
        <v>4.9</v>
      </c>
      <c r="G863" s="4" t="str">
        <f>HYPERLINK("http://141.218.60.56/~jnz1568/getInfo.php?workbook=18_15.xlsx&amp;sheet=U0&amp;row=863&amp;col=7&amp;number=0.243&amp;sourceID=14","0.243")</f>
        <v>0.243</v>
      </c>
    </row>
    <row r="864" spans="1:7">
      <c r="A864" s="3">
        <v>18</v>
      </c>
      <c r="B864" s="3">
        <v>15</v>
      </c>
      <c r="C864" s="3">
        <v>2</v>
      </c>
      <c r="D864" s="3">
        <v>18</v>
      </c>
      <c r="E864" s="3">
        <v>1</v>
      </c>
      <c r="F864" s="4" t="str">
        <f>HYPERLINK("http://141.218.60.56/~jnz1568/getInfo.php?workbook=18_15.xlsx&amp;sheet=U0&amp;row=864&amp;col=6&amp;number=3&amp;sourceID=14","3")</f>
        <v>3</v>
      </c>
      <c r="G864" s="4" t="str">
        <f>HYPERLINK("http://141.218.60.56/~jnz1568/getInfo.php?workbook=18_15.xlsx&amp;sheet=U0&amp;row=864&amp;col=7&amp;number=0.132&amp;sourceID=14","0.132")</f>
        <v>0.132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HYPERLINK("http://141.218.60.56/~jnz1568/getInfo.php?workbook=18_15.xlsx&amp;sheet=U0&amp;row=865&amp;col=6&amp;number=3.1&amp;sourceID=14","3.1")</f>
        <v>3.1</v>
      </c>
      <c r="G865" s="4" t="str">
        <f>HYPERLINK("http://141.218.60.56/~jnz1568/getInfo.php?workbook=18_15.xlsx&amp;sheet=U0&amp;row=865&amp;col=7&amp;number=0.13&amp;sourceID=14","0.13")</f>
        <v>0.13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HYPERLINK("http://141.218.60.56/~jnz1568/getInfo.php?workbook=18_15.xlsx&amp;sheet=U0&amp;row=866&amp;col=6&amp;number=3.2&amp;sourceID=14","3.2")</f>
        <v>3.2</v>
      </c>
      <c r="G866" s="4" t="str">
        <f>HYPERLINK("http://141.218.60.56/~jnz1568/getInfo.php?workbook=18_15.xlsx&amp;sheet=U0&amp;row=866&amp;col=7&amp;number=0.127&amp;sourceID=14","0.127")</f>
        <v>0.127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HYPERLINK("http://141.218.60.56/~jnz1568/getInfo.php?workbook=18_15.xlsx&amp;sheet=U0&amp;row=867&amp;col=6&amp;number=3.3&amp;sourceID=14","3.3")</f>
        <v>3.3</v>
      </c>
      <c r="G867" s="4" t="str">
        <f>HYPERLINK("http://141.218.60.56/~jnz1568/getInfo.php?workbook=18_15.xlsx&amp;sheet=U0&amp;row=867&amp;col=7&amp;number=0.123&amp;sourceID=14","0.123")</f>
        <v>0.123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HYPERLINK("http://141.218.60.56/~jnz1568/getInfo.php?workbook=18_15.xlsx&amp;sheet=U0&amp;row=868&amp;col=6&amp;number=3.4&amp;sourceID=14","3.4")</f>
        <v>3.4</v>
      </c>
      <c r="G868" s="4" t="str">
        <f>HYPERLINK("http://141.218.60.56/~jnz1568/getInfo.php?workbook=18_15.xlsx&amp;sheet=U0&amp;row=868&amp;col=7&amp;number=0.119&amp;sourceID=14","0.119")</f>
        <v>0.119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HYPERLINK("http://141.218.60.56/~jnz1568/getInfo.php?workbook=18_15.xlsx&amp;sheet=U0&amp;row=869&amp;col=6&amp;number=3.5&amp;sourceID=14","3.5")</f>
        <v>3.5</v>
      </c>
      <c r="G869" s="4" t="str">
        <f>HYPERLINK("http://141.218.60.56/~jnz1568/getInfo.php?workbook=18_15.xlsx&amp;sheet=U0&amp;row=869&amp;col=7&amp;number=0.115&amp;sourceID=14","0.115")</f>
        <v>0.115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HYPERLINK("http://141.218.60.56/~jnz1568/getInfo.php?workbook=18_15.xlsx&amp;sheet=U0&amp;row=870&amp;col=6&amp;number=3.6&amp;sourceID=14","3.6")</f>
        <v>3.6</v>
      </c>
      <c r="G870" s="4" t="str">
        <f>HYPERLINK("http://141.218.60.56/~jnz1568/getInfo.php?workbook=18_15.xlsx&amp;sheet=U0&amp;row=870&amp;col=7&amp;number=0.111&amp;sourceID=14","0.111")</f>
        <v>0.111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HYPERLINK("http://141.218.60.56/~jnz1568/getInfo.php?workbook=18_15.xlsx&amp;sheet=U0&amp;row=871&amp;col=6&amp;number=3.7&amp;sourceID=14","3.7")</f>
        <v>3.7</v>
      </c>
      <c r="G871" s="4" t="str">
        <f>HYPERLINK("http://141.218.60.56/~jnz1568/getInfo.php?workbook=18_15.xlsx&amp;sheet=U0&amp;row=871&amp;col=7&amp;number=0.107&amp;sourceID=14","0.107")</f>
        <v>0.107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HYPERLINK("http://141.218.60.56/~jnz1568/getInfo.php?workbook=18_15.xlsx&amp;sheet=U0&amp;row=872&amp;col=6&amp;number=3.8&amp;sourceID=14","3.8")</f>
        <v>3.8</v>
      </c>
      <c r="G872" s="4" t="str">
        <f>HYPERLINK("http://141.218.60.56/~jnz1568/getInfo.php?workbook=18_15.xlsx&amp;sheet=U0&amp;row=872&amp;col=7&amp;number=0.106&amp;sourceID=14","0.106")</f>
        <v>0.106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HYPERLINK("http://141.218.60.56/~jnz1568/getInfo.php?workbook=18_15.xlsx&amp;sheet=U0&amp;row=873&amp;col=6&amp;number=3.9&amp;sourceID=14","3.9")</f>
        <v>3.9</v>
      </c>
      <c r="G873" s="4" t="str">
        <f>HYPERLINK("http://141.218.60.56/~jnz1568/getInfo.php?workbook=18_15.xlsx&amp;sheet=U0&amp;row=873&amp;col=7&amp;number=0.108&amp;sourceID=14","0.108")</f>
        <v>0.108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HYPERLINK("http://141.218.60.56/~jnz1568/getInfo.php?workbook=18_15.xlsx&amp;sheet=U0&amp;row=874&amp;col=6&amp;number=4&amp;sourceID=14","4")</f>
        <v>4</v>
      </c>
      <c r="G874" s="4" t="str">
        <f>HYPERLINK("http://141.218.60.56/~jnz1568/getInfo.php?workbook=18_15.xlsx&amp;sheet=U0&amp;row=874&amp;col=7&amp;number=0.113&amp;sourceID=14","0.113")</f>
        <v>0.113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HYPERLINK("http://141.218.60.56/~jnz1568/getInfo.php?workbook=18_15.xlsx&amp;sheet=U0&amp;row=875&amp;col=6&amp;number=4.1&amp;sourceID=14","4.1")</f>
        <v>4.1</v>
      </c>
      <c r="G875" s="4" t="str">
        <f>HYPERLINK("http://141.218.60.56/~jnz1568/getInfo.php?workbook=18_15.xlsx&amp;sheet=U0&amp;row=875&amp;col=7&amp;number=0.119&amp;sourceID=14","0.119")</f>
        <v>0.119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HYPERLINK("http://141.218.60.56/~jnz1568/getInfo.php?workbook=18_15.xlsx&amp;sheet=U0&amp;row=876&amp;col=6&amp;number=4.2&amp;sourceID=14","4.2")</f>
        <v>4.2</v>
      </c>
      <c r="G876" s="4" t="str">
        <f>HYPERLINK("http://141.218.60.56/~jnz1568/getInfo.php?workbook=18_15.xlsx&amp;sheet=U0&amp;row=876&amp;col=7&amp;number=0.123&amp;sourceID=14","0.123")</f>
        <v>0.123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HYPERLINK("http://141.218.60.56/~jnz1568/getInfo.php?workbook=18_15.xlsx&amp;sheet=U0&amp;row=877&amp;col=6&amp;number=4.3&amp;sourceID=14","4.3")</f>
        <v>4.3</v>
      </c>
      <c r="G877" s="4" t="str">
        <f>HYPERLINK("http://141.218.60.56/~jnz1568/getInfo.php?workbook=18_15.xlsx&amp;sheet=U0&amp;row=877&amp;col=7&amp;number=0.125&amp;sourceID=14","0.125")</f>
        <v>0.125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HYPERLINK("http://141.218.60.56/~jnz1568/getInfo.php?workbook=18_15.xlsx&amp;sheet=U0&amp;row=878&amp;col=6&amp;number=4.4&amp;sourceID=14","4.4")</f>
        <v>4.4</v>
      </c>
      <c r="G878" s="4" t="str">
        <f>HYPERLINK("http://141.218.60.56/~jnz1568/getInfo.php?workbook=18_15.xlsx&amp;sheet=U0&amp;row=878&amp;col=7&amp;number=0.127&amp;sourceID=14","0.127")</f>
        <v>0.127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HYPERLINK("http://141.218.60.56/~jnz1568/getInfo.php?workbook=18_15.xlsx&amp;sheet=U0&amp;row=879&amp;col=6&amp;number=4.5&amp;sourceID=14","4.5")</f>
        <v>4.5</v>
      </c>
      <c r="G879" s="4" t="str">
        <f>HYPERLINK("http://141.218.60.56/~jnz1568/getInfo.php?workbook=18_15.xlsx&amp;sheet=U0&amp;row=879&amp;col=7&amp;number=0.128&amp;sourceID=14","0.128")</f>
        <v>0.128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HYPERLINK("http://141.218.60.56/~jnz1568/getInfo.php?workbook=18_15.xlsx&amp;sheet=U0&amp;row=880&amp;col=6&amp;number=4.6&amp;sourceID=14","4.6")</f>
        <v>4.6</v>
      </c>
      <c r="G880" s="4" t="str">
        <f>HYPERLINK("http://141.218.60.56/~jnz1568/getInfo.php?workbook=18_15.xlsx&amp;sheet=U0&amp;row=880&amp;col=7&amp;number=0.128&amp;sourceID=14","0.128")</f>
        <v>0.128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HYPERLINK("http://141.218.60.56/~jnz1568/getInfo.php?workbook=18_15.xlsx&amp;sheet=U0&amp;row=881&amp;col=6&amp;number=4.7&amp;sourceID=14","4.7")</f>
        <v>4.7</v>
      </c>
      <c r="G881" s="4" t="str">
        <f>HYPERLINK("http://141.218.60.56/~jnz1568/getInfo.php?workbook=18_15.xlsx&amp;sheet=U0&amp;row=881&amp;col=7&amp;number=0.127&amp;sourceID=14","0.127")</f>
        <v>0.127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HYPERLINK("http://141.218.60.56/~jnz1568/getInfo.php?workbook=18_15.xlsx&amp;sheet=U0&amp;row=882&amp;col=6&amp;number=4.8&amp;sourceID=14","4.8")</f>
        <v>4.8</v>
      </c>
      <c r="G882" s="4" t="str">
        <f>HYPERLINK("http://141.218.60.56/~jnz1568/getInfo.php?workbook=18_15.xlsx&amp;sheet=U0&amp;row=882&amp;col=7&amp;number=0.125&amp;sourceID=14","0.125")</f>
        <v>0.125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HYPERLINK("http://141.218.60.56/~jnz1568/getInfo.php?workbook=18_15.xlsx&amp;sheet=U0&amp;row=883&amp;col=6&amp;number=4.9&amp;sourceID=14","4.9")</f>
        <v>4.9</v>
      </c>
      <c r="G883" s="4" t="str">
        <f>HYPERLINK("http://141.218.60.56/~jnz1568/getInfo.php?workbook=18_15.xlsx&amp;sheet=U0&amp;row=883&amp;col=7&amp;number=0.123&amp;sourceID=14","0.123")</f>
        <v>0.123</v>
      </c>
    </row>
    <row r="884" spans="1:7">
      <c r="A884" s="3">
        <v>18</v>
      </c>
      <c r="B884" s="3">
        <v>15</v>
      </c>
      <c r="C884" s="3">
        <v>2</v>
      </c>
      <c r="D884" s="3">
        <v>19</v>
      </c>
      <c r="E884" s="3">
        <v>1</v>
      </c>
      <c r="F884" s="4" t="str">
        <f>HYPERLINK("http://141.218.60.56/~jnz1568/getInfo.php?workbook=18_15.xlsx&amp;sheet=U0&amp;row=884&amp;col=6&amp;number=3&amp;sourceID=14","3")</f>
        <v>3</v>
      </c>
      <c r="G884" s="4" t="str">
        <f>HYPERLINK("http://141.218.60.56/~jnz1568/getInfo.php?workbook=18_15.xlsx&amp;sheet=U0&amp;row=884&amp;col=7&amp;number=0.24&amp;sourceID=14","0.24")</f>
        <v>0.24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HYPERLINK("http://141.218.60.56/~jnz1568/getInfo.php?workbook=18_15.xlsx&amp;sheet=U0&amp;row=885&amp;col=6&amp;number=3.1&amp;sourceID=14","3.1")</f>
        <v>3.1</v>
      </c>
      <c r="G885" s="4" t="str">
        <f>HYPERLINK("http://141.218.60.56/~jnz1568/getInfo.php?workbook=18_15.xlsx&amp;sheet=U0&amp;row=885&amp;col=7&amp;number=0.236&amp;sourceID=14","0.236")</f>
        <v>0.236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HYPERLINK("http://141.218.60.56/~jnz1568/getInfo.php?workbook=18_15.xlsx&amp;sheet=U0&amp;row=886&amp;col=6&amp;number=3.2&amp;sourceID=14","3.2")</f>
        <v>3.2</v>
      </c>
      <c r="G886" s="4" t="str">
        <f>HYPERLINK("http://141.218.60.56/~jnz1568/getInfo.php?workbook=18_15.xlsx&amp;sheet=U0&amp;row=886&amp;col=7&amp;number=0.23&amp;sourceID=14","0.23")</f>
        <v>0.23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HYPERLINK("http://141.218.60.56/~jnz1568/getInfo.php?workbook=18_15.xlsx&amp;sheet=U0&amp;row=887&amp;col=6&amp;number=3.3&amp;sourceID=14","3.3")</f>
        <v>3.3</v>
      </c>
      <c r="G887" s="4" t="str">
        <f>HYPERLINK("http://141.218.60.56/~jnz1568/getInfo.php?workbook=18_15.xlsx&amp;sheet=U0&amp;row=887&amp;col=7&amp;number=0.224&amp;sourceID=14","0.224")</f>
        <v>0.224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HYPERLINK("http://141.218.60.56/~jnz1568/getInfo.php?workbook=18_15.xlsx&amp;sheet=U0&amp;row=888&amp;col=6&amp;number=3.4&amp;sourceID=14","3.4")</f>
        <v>3.4</v>
      </c>
      <c r="G888" s="4" t="str">
        <f>HYPERLINK("http://141.218.60.56/~jnz1568/getInfo.php?workbook=18_15.xlsx&amp;sheet=U0&amp;row=888&amp;col=7&amp;number=0.217&amp;sourceID=14","0.217")</f>
        <v>0.217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HYPERLINK("http://141.218.60.56/~jnz1568/getInfo.php?workbook=18_15.xlsx&amp;sheet=U0&amp;row=889&amp;col=6&amp;number=3.5&amp;sourceID=14","3.5")</f>
        <v>3.5</v>
      </c>
      <c r="G889" s="4" t="str">
        <f>HYPERLINK("http://141.218.60.56/~jnz1568/getInfo.php?workbook=18_15.xlsx&amp;sheet=U0&amp;row=889&amp;col=7&amp;number=0.209&amp;sourceID=14","0.209")</f>
        <v>0.209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HYPERLINK("http://141.218.60.56/~jnz1568/getInfo.php?workbook=18_15.xlsx&amp;sheet=U0&amp;row=890&amp;col=6&amp;number=3.6&amp;sourceID=14","3.6")</f>
        <v>3.6</v>
      </c>
      <c r="G890" s="4" t="str">
        <f>HYPERLINK("http://141.218.60.56/~jnz1568/getInfo.php?workbook=18_15.xlsx&amp;sheet=U0&amp;row=890&amp;col=7&amp;number=0.201&amp;sourceID=14","0.201")</f>
        <v>0.201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HYPERLINK("http://141.218.60.56/~jnz1568/getInfo.php?workbook=18_15.xlsx&amp;sheet=U0&amp;row=891&amp;col=6&amp;number=3.7&amp;sourceID=14","3.7")</f>
        <v>3.7</v>
      </c>
      <c r="G891" s="4" t="str">
        <f>HYPERLINK("http://141.218.60.56/~jnz1568/getInfo.php?workbook=18_15.xlsx&amp;sheet=U0&amp;row=891&amp;col=7&amp;number=0.195&amp;sourceID=14","0.195")</f>
        <v>0.195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HYPERLINK("http://141.218.60.56/~jnz1568/getInfo.php?workbook=18_15.xlsx&amp;sheet=U0&amp;row=892&amp;col=6&amp;number=3.8&amp;sourceID=14","3.8")</f>
        <v>3.8</v>
      </c>
      <c r="G892" s="4" t="str">
        <f>HYPERLINK("http://141.218.60.56/~jnz1568/getInfo.php?workbook=18_15.xlsx&amp;sheet=U0&amp;row=892&amp;col=7&amp;number=0.192&amp;sourceID=14","0.192")</f>
        <v>0.192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HYPERLINK("http://141.218.60.56/~jnz1568/getInfo.php?workbook=18_15.xlsx&amp;sheet=U0&amp;row=893&amp;col=6&amp;number=3.9&amp;sourceID=14","3.9")</f>
        <v>3.9</v>
      </c>
      <c r="G893" s="4" t="str">
        <f>HYPERLINK("http://141.218.60.56/~jnz1568/getInfo.php?workbook=18_15.xlsx&amp;sheet=U0&amp;row=893&amp;col=7&amp;number=0.195&amp;sourceID=14","0.195")</f>
        <v>0.195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HYPERLINK("http://141.218.60.56/~jnz1568/getInfo.php?workbook=18_15.xlsx&amp;sheet=U0&amp;row=894&amp;col=6&amp;number=4&amp;sourceID=14","4")</f>
        <v>4</v>
      </c>
      <c r="G894" s="4" t="str">
        <f>HYPERLINK("http://141.218.60.56/~jnz1568/getInfo.php?workbook=18_15.xlsx&amp;sheet=U0&amp;row=894&amp;col=7&amp;number=0.203&amp;sourceID=14","0.203")</f>
        <v>0.203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HYPERLINK("http://141.218.60.56/~jnz1568/getInfo.php?workbook=18_15.xlsx&amp;sheet=U0&amp;row=895&amp;col=6&amp;number=4.1&amp;sourceID=14","4.1")</f>
        <v>4.1</v>
      </c>
      <c r="G895" s="4" t="str">
        <f>HYPERLINK("http://141.218.60.56/~jnz1568/getInfo.php?workbook=18_15.xlsx&amp;sheet=U0&amp;row=895&amp;col=7&amp;number=0.213&amp;sourceID=14","0.213")</f>
        <v>0.213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HYPERLINK("http://141.218.60.56/~jnz1568/getInfo.php?workbook=18_15.xlsx&amp;sheet=U0&amp;row=896&amp;col=6&amp;number=4.2&amp;sourceID=14","4.2")</f>
        <v>4.2</v>
      </c>
      <c r="G896" s="4" t="str">
        <f>HYPERLINK("http://141.218.60.56/~jnz1568/getInfo.php?workbook=18_15.xlsx&amp;sheet=U0&amp;row=896&amp;col=7&amp;number=0.22&amp;sourceID=14","0.22")</f>
        <v>0.22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HYPERLINK("http://141.218.60.56/~jnz1568/getInfo.php?workbook=18_15.xlsx&amp;sheet=U0&amp;row=897&amp;col=6&amp;number=4.3&amp;sourceID=14","4.3")</f>
        <v>4.3</v>
      </c>
      <c r="G897" s="4" t="str">
        <f>HYPERLINK("http://141.218.60.56/~jnz1568/getInfo.php?workbook=18_15.xlsx&amp;sheet=U0&amp;row=897&amp;col=7&amp;number=0.225&amp;sourceID=14","0.225")</f>
        <v>0.225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HYPERLINK("http://141.218.60.56/~jnz1568/getInfo.php?workbook=18_15.xlsx&amp;sheet=U0&amp;row=898&amp;col=6&amp;number=4.4&amp;sourceID=14","4.4")</f>
        <v>4.4</v>
      </c>
      <c r="G898" s="4" t="str">
        <f>HYPERLINK("http://141.218.60.56/~jnz1568/getInfo.php?workbook=18_15.xlsx&amp;sheet=U0&amp;row=898&amp;col=7&amp;number=0.228&amp;sourceID=14","0.228")</f>
        <v>0.228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HYPERLINK("http://141.218.60.56/~jnz1568/getInfo.php?workbook=18_15.xlsx&amp;sheet=U0&amp;row=899&amp;col=6&amp;number=4.5&amp;sourceID=14","4.5")</f>
        <v>4.5</v>
      </c>
      <c r="G899" s="4" t="str">
        <f>HYPERLINK("http://141.218.60.56/~jnz1568/getInfo.php?workbook=18_15.xlsx&amp;sheet=U0&amp;row=899&amp;col=7&amp;number=0.229&amp;sourceID=14","0.229")</f>
        <v>0.229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HYPERLINK("http://141.218.60.56/~jnz1568/getInfo.php?workbook=18_15.xlsx&amp;sheet=U0&amp;row=900&amp;col=6&amp;number=4.6&amp;sourceID=14","4.6")</f>
        <v>4.6</v>
      </c>
      <c r="G900" s="4" t="str">
        <f>HYPERLINK("http://141.218.60.56/~jnz1568/getInfo.php?workbook=18_15.xlsx&amp;sheet=U0&amp;row=900&amp;col=7&amp;number=0.23&amp;sourceID=14","0.23")</f>
        <v>0.23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HYPERLINK("http://141.218.60.56/~jnz1568/getInfo.php?workbook=18_15.xlsx&amp;sheet=U0&amp;row=901&amp;col=6&amp;number=4.7&amp;sourceID=14","4.7")</f>
        <v>4.7</v>
      </c>
      <c r="G901" s="4" t="str">
        <f>HYPERLINK("http://141.218.60.56/~jnz1568/getInfo.php?workbook=18_15.xlsx&amp;sheet=U0&amp;row=901&amp;col=7&amp;number=0.228&amp;sourceID=14","0.228")</f>
        <v>0.228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HYPERLINK("http://141.218.60.56/~jnz1568/getInfo.php?workbook=18_15.xlsx&amp;sheet=U0&amp;row=902&amp;col=6&amp;number=4.8&amp;sourceID=14","4.8")</f>
        <v>4.8</v>
      </c>
      <c r="G902" s="4" t="str">
        <f>HYPERLINK("http://141.218.60.56/~jnz1568/getInfo.php?workbook=18_15.xlsx&amp;sheet=U0&amp;row=902&amp;col=7&amp;number=0.225&amp;sourceID=14","0.225")</f>
        <v>0.225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HYPERLINK("http://141.218.60.56/~jnz1568/getInfo.php?workbook=18_15.xlsx&amp;sheet=U0&amp;row=903&amp;col=6&amp;number=4.9&amp;sourceID=14","4.9")</f>
        <v>4.9</v>
      </c>
      <c r="G903" s="4" t="str">
        <f>HYPERLINK("http://141.218.60.56/~jnz1568/getInfo.php?workbook=18_15.xlsx&amp;sheet=U0&amp;row=903&amp;col=7&amp;number=0.219&amp;sourceID=14","0.219")</f>
        <v>0.219</v>
      </c>
    </row>
    <row r="904" spans="1:7">
      <c r="A904" s="3">
        <v>18</v>
      </c>
      <c r="B904" s="3">
        <v>15</v>
      </c>
      <c r="C904" s="3">
        <v>2</v>
      </c>
      <c r="D904" s="3">
        <v>20</v>
      </c>
      <c r="E904" s="3">
        <v>1</v>
      </c>
      <c r="F904" s="4" t="str">
        <f>HYPERLINK("http://141.218.60.56/~jnz1568/getInfo.php?workbook=18_15.xlsx&amp;sheet=U0&amp;row=904&amp;col=6&amp;number=3&amp;sourceID=14","3")</f>
        <v>3</v>
      </c>
      <c r="G904" s="4" t="str">
        <f>HYPERLINK("http://141.218.60.56/~jnz1568/getInfo.php?workbook=18_15.xlsx&amp;sheet=U0&amp;row=904&amp;col=7&amp;number=0.301&amp;sourceID=14","0.301")</f>
        <v>0.301</v>
      </c>
    </row>
    <row r="905" spans="1:7">
      <c r="A905" s="3"/>
      <c r="B905" s="3"/>
      <c r="C905" s="3"/>
      <c r="D905" s="3"/>
      <c r="E905" s="3">
        <v>2</v>
      </c>
      <c r="F905" s="4" t="str">
        <f>HYPERLINK("http://141.218.60.56/~jnz1568/getInfo.php?workbook=18_15.xlsx&amp;sheet=U0&amp;row=905&amp;col=6&amp;number=3.1&amp;sourceID=14","3.1")</f>
        <v>3.1</v>
      </c>
      <c r="G905" s="4" t="str">
        <f>HYPERLINK("http://141.218.60.56/~jnz1568/getInfo.php?workbook=18_15.xlsx&amp;sheet=U0&amp;row=905&amp;col=7&amp;number=0.295&amp;sourceID=14","0.295")</f>
        <v>0.295</v>
      </c>
    </row>
    <row r="906" spans="1:7">
      <c r="A906" s="3"/>
      <c r="B906" s="3"/>
      <c r="C906" s="3"/>
      <c r="D906" s="3"/>
      <c r="E906" s="3">
        <v>3</v>
      </c>
      <c r="F906" s="4" t="str">
        <f>HYPERLINK("http://141.218.60.56/~jnz1568/getInfo.php?workbook=18_15.xlsx&amp;sheet=U0&amp;row=906&amp;col=6&amp;number=3.2&amp;sourceID=14","3.2")</f>
        <v>3.2</v>
      </c>
      <c r="G906" s="4" t="str">
        <f>HYPERLINK("http://141.218.60.56/~jnz1568/getInfo.php?workbook=18_15.xlsx&amp;sheet=U0&amp;row=906&amp;col=7&amp;number=0.288&amp;sourceID=14","0.288")</f>
        <v>0.288</v>
      </c>
    </row>
    <row r="907" spans="1:7">
      <c r="A907" s="3"/>
      <c r="B907" s="3"/>
      <c r="C907" s="3"/>
      <c r="D907" s="3"/>
      <c r="E907" s="3">
        <v>4</v>
      </c>
      <c r="F907" s="4" t="str">
        <f>HYPERLINK("http://141.218.60.56/~jnz1568/getInfo.php?workbook=18_15.xlsx&amp;sheet=U0&amp;row=907&amp;col=6&amp;number=3.3&amp;sourceID=14","3.3")</f>
        <v>3.3</v>
      </c>
      <c r="G907" s="4" t="str">
        <f>HYPERLINK("http://141.218.60.56/~jnz1568/getInfo.php?workbook=18_15.xlsx&amp;sheet=U0&amp;row=907&amp;col=7&amp;number=0.28&amp;sourceID=14","0.28")</f>
        <v>0.28</v>
      </c>
    </row>
    <row r="908" spans="1:7">
      <c r="A908" s="3"/>
      <c r="B908" s="3"/>
      <c r="C908" s="3"/>
      <c r="D908" s="3"/>
      <c r="E908" s="3">
        <v>5</v>
      </c>
      <c r="F908" s="4" t="str">
        <f>HYPERLINK("http://141.218.60.56/~jnz1568/getInfo.php?workbook=18_15.xlsx&amp;sheet=U0&amp;row=908&amp;col=6&amp;number=3.4&amp;sourceID=14","3.4")</f>
        <v>3.4</v>
      </c>
      <c r="G908" s="4" t="str">
        <f>HYPERLINK("http://141.218.60.56/~jnz1568/getInfo.php?workbook=18_15.xlsx&amp;sheet=U0&amp;row=908&amp;col=7&amp;number=0.271&amp;sourceID=14","0.271")</f>
        <v>0.271</v>
      </c>
    </row>
    <row r="909" spans="1:7">
      <c r="A909" s="3"/>
      <c r="B909" s="3"/>
      <c r="C909" s="3"/>
      <c r="D909" s="3"/>
      <c r="E909" s="3">
        <v>6</v>
      </c>
      <c r="F909" s="4" t="str">
        <f>HYPERLINK("http://141.218.60.56/~jnz1568/getInfo.php?workbook=18_15.xlsx&amp;sheet=U0&amp;row=909&amp;col=6&amp;number=3.5&amp;sourceID=14","3.5")</f>
        <v>3.5</v>
      </c>
      <c r="G909" s="4" t="str">
        <f>HYPERLINK("http://141.218.60.56/~jnz1568/getInfo.php?workbook=18_15.xlsx&amp;sheet=U0&amp;row=909&amp;col=7&amp;number=0.261&amp;sourceID=14","0.261")</f>
        <v>0.261</v>
      </c>
    </row>
    <row r="910" spans="1:7">
      <c r="A910" s="3"/>
      <c r="B910" s="3"/>
      <c r="C910" s="3"/>
      <c r="D910" s="3"/>
      <c r="E910" s="3">
        <v>7</v>
      </c>
      <c r="F910" s="4" t="str">
        <f>HYPERLINK("http://141.218.60.56/~jnz1568/getInfo.php?workbook=18_15.xlsx&amp;sheet=U0&amp;row=910&amp;col=6&amp;number=3.6&amp;sourceID=14","3.6")</f>
        <v>3.6</v>
      </c>
      <c r="G910" s="4" t="str">
        <f>HYPERLINK("http://141.218.60.56/~jnz1568/getInfo.php?workbook=18_15.xlsx&amp;sheet=U0&amp;row=910&amp;col=7&amp;number=0.25&amp;sourceID=14","0.25")</f>
        <v>0.25</v>
      </c>
    </row>
    <row r="911" spans="1:7">
      <c r="A911" s="3"/>
      <c r="B911" s="3"/>
      <c r="C911" s="3"/>
      <c r="D911" s="3"/>
      <c r="E911" s="3">
        <v>8</v>
      </c>
      <c r="F911" s="4" t="str">
        <f>HYPERLINK("http://141.218.60.56/~jnz1568/getInfo.php?workbook=18_15.xlsx&amp;sheet=U0&amp;row=911&amp;col=6&amp;number=3.7&amp;sourceID=14","3.7")</f>
        <v>3.7</v>
      </c>
      <c r="G911" s="4" t="str">
        <f>HYPERLINK("http://141.218.60.56/~jnz1568/getInfo.php?workbook=18_15.xlsx&amp;sheet=U0&amp;row=911&amp;col=7&amp;number=0.242&amp;sourceID=14","0.242")</f>
        <v>0.242</v>
      </c>
    </row>
    <row r="912" spans="1:7">
      <c r="A912" s="3"/>
      <c r="B912" s="3"/>
      <c r="C912" s="3"/>
      <c r="D912" s="3"/>
      <c r="E912" s="3">
        <v>9</v>
      </c>
      <c r="F912" s="4" t="str">
        <f>HYPERLINK("http://141.218.60.56/~jnz1568/getInfo.php?workbook=18_15.xlsx&amp;sheet=U0&amp;row=912&amp;col=6&amp;number=3.8&amp;sourceID=14","3.8")</f>
        <v>3.8</v>
      </c>
      <c r="G912" s="4" t="str">
        <f>HYPERLINK("http://141.218.60.56/~jnz1568/getInfo.php?workbook=18_15.xlsx&amp;sheet=U0&amp;row=912&amp;col=7&amp;number=0.238&amp;sourceID=14","0.238")</f>
        <v>0.238</v>
      </c>
    </row>
    <row r="913" spans="1:7">
      <c r="A913" s="3"/>
      <c r="B913" s="3"/>
      <c r="C913" s="3"/>
      <c r="D913" s="3"/>
      <c r="E913" s="3">
        <v>10</v>
      </c>
      <c r="F913" s="4" t="str">
        <f>HYPERLINK("http://141.218.60.56/~jnz1568/getInfo.php?workbook=18_15.xlsx&amp;sheet=U0&amp;row=913&amp;col=6&amp;number=3.9&amp;sourceID=14","3.9")</f>
        <v>3.9</v>
      </c>
      <c r="G913" s="4" t="str">
        <f>HYPERLINK("http://141.218.60.56/~jnz1568/getInfo.php?workbook=18_15.xlsx&amp;sheet=U0&amp;row=913&amp;col=7&amp;number=0.241&amp;sourceID=14","0.241")</f>
        <v>0.241</v>
      </c>
    </row>
    <row r="914" spans="1:7">
      <c r="A914" s="3"/>
      <c r="B914" s="3"/>
      <c r="C914" s="3"/>
      <c r="D914" s="3"/>
      <c r="E914" s="3">
        <v>11</v>
      </c>
      <c r="F914" s="4" t="str">
        <f>HYPERLINK("http://141.218.60.56/~jnz1568/getInfo.php?workbook=18_15.xlsx&amp;sheet=U0&amp;row=914&amp;col=6&amp;number=4&amp;sourceID=14","4")</f>
        <v>4</v>
      </c>
      <c r="G914" s="4" t="str">
        <f>HYPERLINK("http://141.218.60.56/~jnz1568/getInfo.php?workbook=18_15.xlsx&amp;sheet=U0&amp;row=914&amp;col=7&amp;number=0.249&amp;sourceID=14","0.249")</f>
        <v>0.249</v>
      </c>
    </row>
    <row r="915" spans="1:7">
      <c r="A915" s="3"/>
      <c r="B915" s="3"/>
      <c r="C915" s="3"/>
      <c r="D915" s="3"/>
      <c r="E915" s="3">
        <v>12</v>
      </c>
      <c r="F915" s="4" t="str">
        <f>HYPERLINK("http://141.218.60.56/~jnz1568/getInfo.php?workbook=18_15.xlsx&amp;sheet=U0&amp;row=915&amp;col=6&amp;number=4.1&amp;sourceID=14","4.1")</f>
        <v>4.1</v>
      </c>
      <c r="G915" s="4" t="str">
        <f>HYPERLINK("http://141.218.60.56/~jnz1568/getInfo.php?workbook=18_15.xlsx&amp;sheet=U0&amp;row=915&amp;col=7&amp;number=0.26&amp;sourceID=14","0.26")</f>
        <v>0.26</v>
      </c>
    </row>
    <row r="916" spans="1:7">
      <c r="A916" s="3"/>
      <c r="B916" s="3"/>
      <c r="C916" s="3"/>
      <c r="D916" s="3"/>
      <c r="E916" s="3">
        <v>13</v>
      </c>
      <c r="F916" s="4" t="str">
        <f>HYPERLINK("http://141.218.60.56/~jnz1568/getInfo.php?workbook=18_15.xlsx&amp;sheet=U0&amp;row=916&amp;col=6&amp;number=4.2&amp;sourceID=14","4.2")</f>
        <v>4.2</v>
      </c>
      <c r="G916" s="4" t="str">
        <f>HYPERLINK("http://141.218.60.56/~jnz1568/getInfo.php?workbook=18_15.xlsx&amp;sheet=U0&amp;row=916&amp;col=7&amp;number=0.267&amp;sourceID=14","0.267")</f>
        <v>0.267</v>
      </c>
    </row>
    <row r="917" spans="1:7">
      <c r="A917" s="3"/>
      <c r="B917" s="3"/>
      <c r="C917" s="3"/>
      <c r="D917" s="3"/>
      <c r="E917" s="3">
        <v>14</v>
      </c>
      <c r="F917" s="4" t="str">
        <f>HYPERLINK("http://141.218.60.56/~jnz1568/getInfo.php?workbook=18_15.xlsx&amp;sheet=U0&amp;row=917&amp;col=6&amp;number=4.3&amp;sourceID=14","4.3")</f>
        <v>4.3</v>
      </c>
      <c r="G917" s="4" t="str">
        <f>HYPERLINK("http://141.218.60.56/~jnz1568/getInfo.php?workbook=18_15.xlsx&amp;sheet=U0&amp;row=917&amp;col=7&amp;number=0.272&amp;sourceID=14","0.272")</f>
        <v>0.272</v>
      </c>
    </row>
    <row r="918" spans="1:7">
      <c r="A918" s="3"/>
      <c r="B918" s="3"/>
      <c r="C918" s="3"/>
      <c r="D918" s="3"/>
      <c r="E918" s="3">
        <v>15</v>
      </c>
      <c r="F918" s="4" t="str">
        <f>HYPERLINK("http://141.218.60.56/~jnz1568/getInfo.php?workbook=18_15.xlsx&amp;sheet=U0&amp;row=918&amp;col=6&amp;number=4.4&amp;sourceID=14","4.4")</f>
        <v>4.4</v>
      </c>
      <c r="G918" s="4" t="str">
        <f>HYPERLINK("http://141.218.60.56/~jnz1568/getInfo.php?workbook=18_15.xlsx&amp;sheet=U0&amp;row=918&amp;col=7&amp;number=0.275&amp;sourceID=14","0.275")</f>
        <v>0.275</v>
      </c>
    </row>
    <row r="919" spans="1:7">
      <c r="A919" s="3"/>
      <c r="B919" s="3"/>
      <c r="C919" s="3"/>
      <c r="D919" s="3"/>
      <c r="E919" s="3">
        <v>16</v>
      </c>
      <c r="F919" s="4" t="str">
        <f>HYPERLINK("http://141.218.60.56/~jnz1568/getInfo.php?workbook=18_15.xlsx&amp;sheet=U0&amp;row=919&amp;col=6&amp;number=4.5&amp;sourceID=14","4.5")</f>
        <v>4.5</v>
      </c>
      <c r="G919" s="4" t="str">
        <f>HYPERLINK("http://141.218.60.56/~jnz1568/getInfo.php?workbook=18_15.xlsx&amp;sheet=U0&amp;row=919&amp;col=7&amp;number=0.278&amp;sourceID=14","0.278")</f>
        <v>0.278</v>
      </c>
    </row>
    <row r="920" spans="1:7">
      <c r="A920" s="3"/>
      <c r="B920" s="3"/>
      <c r="C920" s="3"/>
      <c r="D920" s="3"/>
      <c r="E920" s="3">
        <v>17</v>
      </c>
      <c r="F920" s="4" t="str">
        <f>HYPERLINK("http://141.218.60.56/~jnz1568/getInfo.php?workbook=18_15.xlsx&amp;sheet=U0&amp;row=920&amp;col=6&amp;number=4.6&amp;sourceID=14","4.6")</f>
        <v>4.6</v>
      </c>
      <c r="G920" s="4" t="str">
        <f>HYPERLINK("http://141.218.60.56/~jnz1568/getInfo.php?workbook=18_15.xlsx&amp;sheet=U0&amp;row=920&amp;col=7&amp;number=0.279&amp;sourceID=14","0.279")</f>
        <v>0.279</v>
      </c>
    </row>
    <row r="921" spans="1:7">
      <c r="A921" s="3"/>
      <c r="B921" s="3"/>
      <c r="C921" s="3"/>
      <c r="D921" s="3"/>
      <c r="E921" s="3">
        <v>18</v>
      </c>
      <c r="F921" s="4" t="str">
        <f>HYPERLINK("http://141.218.60.56/~jnz1568/getInfo.php?workbook=18_15.xlsx&amp;sheet=U0&amp;row=921&amp;col=6&amp;number=4.7&amp;sourceID=14","4.7")</f>
        <v>4.7</v>
      </c>
      <c r="G921" s="4" t="str">
        <f>HYPERLINK("http://141.218.60.56/~jnz1568/getInfo.php?workbook=18_15.xlsx&amp;sheet=U0&amp;row=921&amp;col=7&amp;number=0.277&amp;sourceID=14","0.277")</f>
        <v>0.277</v>
      </c>
    </row>
    <row r="922" spans="1:7">
      <c r="A922" s="3"/>
      <c r="B922" s="3"/>
      <c r="C922" s="3"/>
      <c r="D922" s="3"/>
      <c r="E922" s="3">
        <v>19</v>
      </c>
      <c r="F922" s="4" t="str">
        <f>HYPERLINK("http://141.218.60.56/~jnz1568/getInfo.php?workbook=18_15.xlsx&amp;sheet=U0&amp;row=922&amp;col=6&amp;number=4.8&amp;sourceID=14","4.8")</f>
        <v>4.8</v>
      </c>
      <c r="G922" s="4" t="str">
        <f>HYPERLINK("http://141.218.60.56/~jnz1568/getInfo.php?workbook=18_15.xlsx&amp;sheet=U0&amp;row=922&amp;col=7&amp;number=0.273&amp;sourceID=14","0.273")</f>
        <v>0.273</v>
      </c>
    </row>
    <row r="923" spans="1:7">
      <c r="A923" s="3"/>
      <c r="B923" s="3"/>
      <c r="C923" s="3"/>
      <c r="D923" s="3"/>
      <c r="E923" s="3">
        <v>20</v>
      </c>
      <c r="F923" s="4" t="str">
        <f>HYPERLINK("http://141.218.60.56/~jnz1568/getInfo.php?workbook=18_15.xlsx&amp;sheet=U0&amp;row=923&amp;col=6&amp;number=4.9&amp;sourceID=14","4.9")</f>
        <v>4.9</v>
      </c>
      <c r="G923" s="4" t="str">
        <f>HYPERLINK("http://141.218.60.56/~jnz1568/getInfo.php?workbook=18_15.xlsx&amp;sheet=U0&amp;row=923&amp;col=7&amp;number=0.267&amp;sourceID=14","0.267")</f>
        <v>0.267</v>
      </c>
    </row>
    <row r="924" spans="1:7">
      <c r="A924" s="3">
        <v>18</v>
      </c>
      <c r="B924" s="3">
        <v>15</v>
      </c>
      <c r="C924" s="3">
        <v>2</v>
      </c>
      <c r="D924" s="3">
        <v>21</v>
      </c>
      <c r="E924" s="3">
        <v>1</v>
      </c>
      <c r="F924" s="4" t="str">
        <f>HYPERLINK("http://141.218.60.56/~jnz1568/getInfo.php?workbook=18_15.xlsx&amp;sheet=U0&amp;row=924&amp;col=6&amp;number=3&amp;sourceID=14","3")</f>
        <v>3</v>
      </c>
      <c r="G924" s="4" t="str">
        <f>HYPERLINK("http://141.218.60.56/~jnz1568/getInfo.php?workbook=18_15.xlsx&amp;sheet=U0&amp;row=924&amp;col=7&amp;number=0.291&amp;sourceID=14","0.291")</f>
        <v>0.291</v>
      </c>
    </row>
    <row r="925" spans="1:7">
      <c r="A925" s="3"/>
      <c r="B925" s="3"/>
      <c r="C925" s="3"/>
      <c r="D925" s="3"/>
      <c r="E925" s="3">
        <v>2</v>
      </c>
      <c r="F925" s="4" t="str">
        <f>HYPERLINK("http://141.218.60.56/~jnz1568/getInfo.php?workbook=18_15.xlsx&amp;sheet=U0&amp;row=925&amp;col=6&amp;number=3.1&amp;sourceID=14","3.1")</f>
        <v>3.1</v>
      </c>
      <c r="G925" s="4" t="str">
        <f>HYPERLINK("http://141.218.60.56/~jnz1568/getInfo.php?workbook=18_15.xlsx&amp;sheet=U0&amp;row=925&amp;col=7&amp;number=0.285&amp;sourceID=14","0.285")</f>
        <v>0.285</v>
      </c>
    </row>
    <row r="926" spans="1:7">
      <c r="A926" s="3"/>
      <c r="B926" s="3"/>
      <c r="C926" s="3"/>
      <c r="D926" s="3"/>
      <c r="E926" s="3">
        <v>3</v>
      </c>
      <c r="F926" s="4" t="str">
        <f>HYPERLINK("http://141.218.60.56/~jnz1568/getInfo.php?workbook=18_15.xlsx&amp;sheet=U0&amp;row=926&amp;col=6&amp;number=3.2&amp;sourceID=14","3.2")</f>
        <v>3.2</v>
      </c>
      <c r="G926" s="4" t="str">
        <f>HYPERLINK("http://141.218.60.56/~jnz1568/getInfo.php?workbook=18_15.xlsx&amp;sheet=U0&amp;row=926&amp;col=7&amp;number=0.278&amp;sourceID=14","0.278")</f>
        <v>0.278</v>
      </c>
    </row>
    <row r="927" spans="1:7">
      <c r="A927" s="3"/>
      <c r="B927" s="3"/>
      <c r="C927" s="3"/>
      <c r="D927" s="3"/>
      <c r="E927" s="3">
        <v>4</v>
      </c>
      <c r="F927" s="4" t="str">
        <f>HYPERLINK("http://141.218.60.56/~jnz1568/getInfo.php?workbook=18_15.xlsx&amp;sheet=U0&amp;row=927&amp;col=6&amp;number=3.3&amp;sourceID=14","3.3")</f>
        <v>3.3</v>
      </c>
      <c r="G927" s="4" t="str">
        <f>HYPERLINK("http://141.218.60.56/~jnz1568/getInfo.php?workbook=18_15.xlsx&amp;sheet=U0&amp;row=927&amp;col=7&amp;number=0.27&amp;sourceID=14","0.27")</f>
        <v>0.27</v>
      </c>
    </row>
    <row r="928" spans="1:7">
      <c r="A928" s="3"/>
      <c r="B928" s="3"/>
      <c r="C928" s="3"/>
      <c r="D928" s="3"/>
      <c r="E928" s="3">
        <v>5</v>
      </c>
      <c r="F928" s="4" t="str">
        <f>HYPERLINK("http://141.218.60.56/~jnz1568/getInfo.php?workbook=18_15.xlsx&amp;sheet=U0&amp;row=928&amp;col=6&amp;number=3.4&amp;sourceID=14","3.4")</f>
        <v>3.4</v>
      </c>
      <c r="G928" s="4" t="str">
        <f>HYPERLINK("http://141.218.60.56/~jnz1568/getInfo.php?workbook=18_15.xlsx&amp;sheet=U0&amp;row=928&amp;col=7&amp;number=0.26&amp;sourceID=14","0.26")</f>
        <v>0.26</v>
      </c>
    </row>
    <row r="929" spans="1:7">
      <c r="A929" s="3"/>
      <c r="B929" s="3"/>
      <c r="C929" s="3"/>
      <c r="D929" s="3"/>
      <c r="E929" s="3">
        <v>6</v>
      </c>
      <c r="F929" s="4" t="str">
        <f>HYPERLINK("http://141.218.60.56/~jnz1568/getInfo.php?workbook=18_15.xlsx&amp;sheet=U0&amp;row=929&amp;col=6&amp;number=3.5&amp;sourceID=14","3.5")</f>
        <v>3.5</v>
      </c>
      <c r="G929" s="4" t="str">
        <f>HYPERLINK("http://141.218.60.56/~jnz1568/getInfo.php?workbook=18_15.xlsx&amp;sheet=U0&amp;row=929&amp;col=7&amp;number=0.25&amp;sourceID=14","0.25")</f>
        <v>0.25</v>
      </c>
    </row>
    <row r="930" spans="1:7">
      <c r="A930" s="3"/>
      <c r="B930" s="3"/>
      <c r="C930" s="3"/>
      <c r="D930" s="3"/>
      <c r="E930" s="3">
        <v>7</v>
      </c>
      <c r="F930" s="4" t="str">
        <f>HYPERLINK("http://141.218.60.56/~jnz1568/getInfo.php?workbook=18_15.xlsx&amp;sheet=U0&amp;row=930&amp;col=6&amp;number=3.6&amp;sourceID=14","3.6")</f>
        <v>3.6</v>
      </c>
      <c r="G930" s="4" t="str">
        <f>HYPERLINK("http://141.218.60.56/~jnz1568/getInfo.php?workbook=18_15.xlsx&amp;sheet=U0&amp;row=930&amp;col=7&amp;number=0.239&amp;sourceID=14","0.239")</f>
        <v>0.239</v>
      </c>
    </row>
    <row r="931" spans="1:7">
      <c r="A931" s="3"/>
      <c r="B931" s="3"/>
      <c r="C931" s="3"/>
      <c r="D931" s="3"/>
      <c r="E931" s="3">
        <v>8</v>
      </c>
      <c r="F931" s="4" t="str">
        <f>HYPERLINK("http://141.218.60.56/~jnz1568/getInfo.php?workbook=18_15.xlsx&amp;sheet=U0&amp;row=931&amp;col=6&amp;number=3.7&amp;sourceID=14","3.7")</f>
        <v>3.7</v>
      </c>
      <c r="G931" s="4" t="str">
        <f>HYPERLINK("http://141.218.60.56/~jnz1568/getInfo.php?workbook=18_15.xlsx&amp;sheet=U0&amp;row=931&amp;col=7&amp;number=0.229&amp;sourceID=14","0.229")</f>
        <v>0.229</v>
      </c>
    </row>
    <row r="932" spans="1:7">
      <c r="A932" s="3"/>
      <c r="B932" s="3"/>
      <c r="C932" s="3"/>
      <c r="D932" s="3"/>
      <c r="E932" s="3">
        <v>9</v>
      </c>
      <c r="F932" s="4" t="str">
        <f>HYPERLINK("http://141.218.60.56/~jnz1568/getInfo.php?workbook=18_15.xlsx&amp;sheet=U0&amp;row=932&amp;col=6&amp;number=3.8&amp;sourceID=14","3.8")</f>
        <v>3.8</v>
      </c>
      <c r="G932" s="4" t="str">
        <f>HYPERLINK("http://141.218.60.56/~jnz1568/getInfo.php?workbook=18_15.xlsx&amp;sheet=U0&amp;row=932&amp;col=7&amp;number=0.223&amp;sourceID=14","0.223")</f>
        <v>0.223</v>
      </c>
    </row>
    <row r="933" spans="1:7">
      <c r="A933" s="3"/>
      <c r="B933" s="3"/>
      <c r="C933" s="3"/>
      <c r="D933" s="3"/>
      <c r="E933" s="3">
        <v>10</v>
      </c>
      <c r="F933" s="4" t="str">
        <f>HYPERLINK("http://141.218.60.56/~jnz1568/getInfo.php?workbook=18_15.xlsx&amp;sheet=U0&amp;row=933&amp;col=6&amp;number=3.9&amp;sourceID=14","3.9")</f>
        <v>3.9</v>
      </c>
      <c r="G933" s="4" t="str">
        <f>HYPERLINK("http://141.218.60.56/~jnz1568/getInfo.php?workbook=18_15.xlsx&amp;sheet=U0&amp;row=933&amp;col=7&amp;number=0.223&amp;sourceID=14","0.223")</f>
        <v>0.223</v>
      </c>
    </row>
    <row r="934" spans="1:7">
      <c r="A934" s="3"/>
      <c r="B934" s="3"/>
      <c r="C934" s="3"/>
      <c r="D934" s="3"/>
      <c r="E934" s="3">
        <v>11</v>
      </c>
      <c r="F934" s="4" t="str">
        <f>HYPERLINK("http://141.218.60.56/~jnz1568/getInfo.php?workbook=18_15.xlsx&amp;sheet=U0&amp;row=934&amp;col=6&amp;number=4&amp;sourceID=14","4")</f>
        <v>4</v>
      </c>
      <c r="G934" s="4" t="str">
        <f>HYPERLINK("http://141.218.60.56/~jnz1568/getInfo.php?workbook=18_15.xlsx&amp;sheet=U0&amp;row=934&amp;col=7&amp;number=0.227&amp;sourceID=14","0.227")</f>
        <v>0.227</v>
      </c>
    </row>
    <row r="935" spans="1:7">
      <c r="A935" s="3"/>
      <c r="B935" s="3"/>
      <c r="C935" s="3"/>
      <c r="D935" s="3"/>
      <c r="E935" s="3">
        <v>12</v>
      </c>
      <c r="F935" s="4" t="str">
        <f>HYPERLINK("http://141.218.60.56/~jnz1568/getInfo.php?workbook=18_15.xlsx&amp;sheet=U0&amp;row=935&amp;col=6&amp;number=4.1&amp;sourceID=14","4.1")</f>
        <v>4.1</v>
      </c>
      <c r="G935" s="4" t="str">
        <f>HYPERLINK("http://141.218.60.56/~jnz1568/getInfo.php?workbook=18_15.xlsx&amp;sheet=U0&amp;row=935&amp;col=7&amp;number=0.234&amp;sourceID=14","0.234")</f>
        <v>0.234</v>
      </c>
    </row>
    <row r="936" spans="1:7">
      <c r="A936" s="3"/>
      <c r="B936" s="3"/>
      <c r="C936" s="3"/>
      <c r="D936" s="3"/>
      <c r="E936" s="3">
        <v>13</v>
      </c>
      <c r="F936" s="4" t="str">
        <f>HYPERLINK("http://141.218.60.56/~jnz1568/getInfo.php?workbook=18_15.xlsx&amp;sheet=U0&amp;row=936&amp;col=6&amp;number=4.2&amp;sourceID=14","4.2")</f>
        <v>4.2</v>
      </c>
      <c r="G936" s="4" t="str">
        <f>HYPERLINK("http://141.218.60.56/~jnz1568/getInfo.php?workbook=18_15.xlsx&amp;sheet=U0&amp;row=936&amp;col=7&amp;number=0.239&amp;sourceID=14","0.239")</f>
        <v>0.239</v>
      </c>
    </row>
    <row r="937" spans="1:7">
      <c r="A937" s="3"/>
      <c r="B937" s="3"/>
      <c r="C937" s="3"/>
      <c r="D937" s="3"/>
      <c r="E937" s="3">
        <v>14</v>
      </c>
      <c r="F937" s="4" t="str">
        <f>HYPERLINK("http://141.218.60.56/~jnz1568/getInfo.php?workbook=18_15.xlsx&amp;sheet=U0&amp;row=937&amp;col=6&amp;number=4.3&amp;sourceID=14","4.3")</f>
        <v>4.3</v>
      </c>
      <c r="G937" s="4" t="str">
        <f>HYPERLINK("http://141.218.60.56/~jnz1568/getInfo.php?workbook=18_15.xlsx&amp;sheet=U0&amp;row=937&amp;col=7&amp;number=0.243&amp;sourceID=14","0.243")</f>
        <v>0.243</v>
      </c>
    </row>
    <row r="938" spans="1:7">
      <c r="A938" s="3"/>
      <c r="B938" s="3"/>
      <c r="C938" s="3"/>
      <c r="D938" s="3"/>
      <c r="E938" s="3">
        <v>15</v>
      </c>
      <c r="F938" s="4" t="str">
        <f>HYPERLINK("http://141.218.60.56/~jnz1568/getInfo.php?workbook=18_15.xlsx&amp;sheet=U0&amp;row=938&amp;col=6&amp;number=4.4&amp;sourceID=14","4.4")</f>
        <v>4.4</v>
      </c>
      <c r="G938" s="4" t="str">
        <f>HYPERLINK("http://141.218.60.56/~jnz1568/getInfo.php?workbook=18_15.xlsx&amp;sheet=U0&amp;row=938&amp;col=7&amp;number=0.247&amp;sourceID=14","0.247")</f>
        <v>0.247</v>
      </c>
    </row>
    <row r="939" spans="1:7">
      <c r="A939" s="3"/>
      <c r="B939" s="3"/>
      <c r="C939" s="3"/>
      <c r="D939" s="3"/>
      <c r="E939" s="3">
        <v>16</v>
      </c>
      <c r="F939" s="4" t="str">
        <f>HYPERLINK("http://141.218.60.56/~jnz1568/getInfo.php?workbook=18_15.xlsx&amp;sheet=U0&amp;row=939&amp;col=6&amp;number=4.5&amp;sourceID=14","4.5")</f>
        <v>4.5</v>
      </c>
      <c r="G939" s="4" t="str">
        <f>HYPERLINK("http://141.218.60.56/~jnz1568/getInfo.php?workbook=18_15.xlsx&amp;sheet=U0&amp;row=939&amp;col=7&amp;number=0.252&amp;sourceID=14","0.252")</f>
        <v>0.252</v>
      </c>
    </row>
    <row r="940" spans="1:7">
      <c r="A940" s="3"/>
      <c r="B940" s="3"/>
      <c r="C940" s="3"/>
      <c r="D940" s="3"/>
      <c r="E940" s="3">
        <v>17</v>
      </c>
      <c r="F940" s="4" t="str">
        <f>HYPERLINK("http://141.218.60.56/~jnz1568/getInfo.php?workbook=18_15.xlsx&amp;sheet=U0&amp;row=940&amp;col=6&amp;number=4.6&amp;sourceID=14","4.6")</f>
        <v>4.6</v>
      </c>
      <c r="G940" s="4" t="str">
        <f>HYPERLINK("http://141.218.60.56/~jnz1568/getInfo.php?workbook=18_15.xlsx&amp;sheet=U0&amp;row=940&amp;col=7&amp;number=0.256&amp;sourceID=14","0.256")</f>
        <v>0.256</v>
      </c>
    </row>
    <row r="941" spans="1:7">
      <c r="A941" s="3"/>
      <c r="B941" s="3"/>
      <c r="C941" s="3"/>
      <c r="D941" s="3"/>
      <c r="E941" s="3">
        <v>18</v>
      </c>
      <c r="F941" s="4" t="str">
        <f>HYPERLINK("http://141.218.60.56/~jnz1568/getInfo.php?workbook=18_15.xlsx&amp;sheet=U0&amp;row=941&amp;col=6&amp;number=4.7&amp;sourceID=14","4.7")</f>
        <v>4.7</v>
      </c>
      <c r="G941" s="4" t="str">
        <f>HYPERLINK("http://141.218.60.56/~jnz1568/getInfo.php?workbook=18_15.xlsx&amp;sheet=U0&amp;row=941&amp;col=7&amp;number=0.259&amp;sourceID=14","0.259")</f>
        <v>0.259</v>
      </c>
    </row>
    <row r="942" spans="1:7">
      <c r="A942" s="3"/>
      <c r="B942" s="3"/>
      <c r="C942" s="3"/>
      <c r="D942" s="3"/>
      <c r="E942" s="3">
        <v>19</v>
      </c>
      <c r="F942" s="4" t="str">
        <f>HYPERLINK("http://141.218.60.56/~jnz1568/getInfo.php?workbook=18_15.xlsx&amp;sheet=U0&amp;row=942&amp;col=6&amp;number=4.8&amp;sourceID=14","4.8")</f>
        <v>4.8</v>
      </c>
      <c r="G942" s="4" t="str">
        <f>HYPERLINK("http://141.218.60.56/~jnz1568/getInfo.php?workbook=18_15.xlsx&amp;sheet=U0&amp;row=942&amp;col=7&amp;number=0.259&amp;sourceID=14","0.259")</f>
        <v>0.259</v>
      </c>
    </row>
    <row r="943" spans="1:7">
      <c r="A943" s="3"/>
      <c r="B943" s="3"/>
      <c r="C943" s="3"/>
      <c r="D943" s="3"/>
      <c r="E943" s="3">
        <v>20</v>
      </c>
      <c r="F943" s="4" t="str">
        <f>HYPERLINK("http://141.218.60.56/~jnz1568/getInfo.php?workbook=18_15.xlsx&amp;sheet=U0&amp;row=943&amp;col=6&amp;number=4.9&amp;sourceID=14","4.9")</f>
        <v>4.9</v>
      </c>
      <c r="G943" s="4" t="str">
        <f>HYPERLINK("http://141.218.60.56/~jnz1568/getInfo.php?workbook=18_15.xlsx&amp;sheet=U0&amp;row=943&amp;col=7&amp;number=0.256&amp;sourceID=14","0.256")</f>
        <v>0.256</v>
      </c>
    </row>
    <row r="944" spans="1:7">
      <c r="A944" s="3">
        <v>18</v>
      </c>
      <c r="B944" s="3">
        <v>15</v>
      </c>
      <c r="C944" s="3">
        <v>2</v>
      </c>
      <c r="D944" s="3">
        <v>22</v>
      </c>
      <c r="E944" s="3">
        <v>1</v>
      </c>
      <c r="F944" s="4" t="str">
        <f>HYPERLINK("http://141.218.60.56/~jnz1568/getInfo.php?workbook=18_15.xlsx&amp;sheet=U0&amp;row=944&amp;col=6&amp;number=3&amp;sourceID=14","3")</f>
        <v>3</v>
      </c>
      <c r="G944" s="4" t="str">
        <f>HYPERLINK("http://141.218.60.56/~jnz1568/getInfo.php?workbook=18_15.xlsx&amp;sheet=U0&amp;row=944&amp;col=7&amp;number=0.666&amp;sourceID=14","0.666")</f>
        <v>0.666</v>
      </c>
    </row>
    <row r="945" spans="1:7">
      <c r="A945" s="3"/>
      <c r="B945" s="3"/>
      <c r="C945" s="3"/>
      <c r="D945" s="3"/>
      <c r="E945" s="3">
        <v>2</v>
      </c>
      <c r="F945" s="4" t="str">
        <f>HYPERLINK("http://141.218.60.56/~jnz1568/getInfo.php?workbook=18_15.xlsx&amp;sheet=U0&amp;row=945&amp;col=6&amp;number=3.1&amp;sourceID=14","3.1")</f>
        <v>3.1</v>
      </c>
      <c r="G945" s="4" t="str">
        <f>HYPERLINK("http://141.218.60.56/~jnz1568/getInfo.php?workbook=18_15.xlsx&amp;sheet=U0&amp;row=945&amp;col=7&amp;number=0.697&amp;sourceID=14","0.697")</f>
        <v>0.697</v>
      </c>
    </row>
    <row r="946" spans="1:7">
      <c r="A946" s="3"/>
      <c r="B946" s="3"/>
      <c r="C946" s="3"/>
      <c r="D946" s="3"/>
      <c r="E946" s="3">
        <v>3</v>
      </c>
      <c r="F946" s="4" t="str">
        <f>HYPERLINK("http://141.218.60.56/~jnz1568/getInfo.php?workbook=18_15.xlsx&amp;sheet=U0&amp;row=946&amp;col=6&amp;number=3.2&amp;sourceID=14","3.2")</f>
        <v>3.2</v>
      </c>
      <c r="G946" s="4" t="str">
        <f>HYPERLINK("http://141.218.60.56/~jnz1568/getInfo.php?workbook=18_15.xlsx&amp;sheet=U0&amp;row=946&amp;col=7&amp;number=0.736&amp;sourceID=14","0.736")</f>
        <v>0.736</v>
      </c>
    </row>
    <row r="947" spans="1:7">
      <c r="A947" s="3"/>
      <c r="B947" s="3"/>
      <c r="C947" s="3"/>
      <c r="D947" s="3"/>
      <c r="E947" s="3">
        <v>4</v>
      </c>
      <c r="F947" s="4" t="str">
        <f>HYPERLINK("http://141.218.60.56/~jnz1568/getInfo.php?workbook=18_15.xlsx&amp;sheet=U0&amp;row=947&amp;col=6&amp;number=3.3&amp;sourceID=14","3.3")</f>
        <v>3.3</v>
      </c>
      <c r="G947" s="4" t="str">
        <f>HYPERLINK("http://141.218.60.56/~jnz1568/getInfo.php?workbook=18_15.xlsx&amp;sheet=U0&amp;row=947&amp;col=7&amp;number=0.784&amp;sourceID=14","0.784")</f>
        <v>0.784</v>
      </c>
    </row>
    <row r="948" spans="1:7">
      <c r="A948" s="3"/>
      <c r="B948" s="3"/>
      <c r="C948" s="3"/>
      <c r="D948" s="3"/>
      <c r="E948" s="3">
        <v>5</v>
      </c>
      <c r="F948" s="4" t="str">
        <f>HYPERLINK("http://141.218.60.56/~jnz1568/getInfo.php?workbook=18_15.xlsx&amp;sheet=U0&amp;row=948&amp;col=6&amp;number=3.4&amp;sourceID=14","3.4")</f>
        <v>3.4</v>
      </c>
      <c r="G948" s="4" t="str">
        <f>HYPERLINK("http://141.218.60.56/~jnz1568/getInfo.php?workbook=18_15.xlsx&amp;sheet=U0&amp;row=948&amp;col=7&amp;number=0.843&amp;sourceID=14","0.843")</f>
        <v>0.843</v>
      </c>
    </row>
    <row r="949" spans="1:7">
      <c r="A949" s="3"/>
      <c r="B949" s="3"/>
      <c r="C949" s="3"/>
      <c r="D949" s="3"/>
      <c r="E949" s="3">
        <v>6</v>
      </c>
      <c r="F949" s="4" t="str">
        <f>HYPERLINK("http://141.218.60.56/~jnz1568/getInfo.php?workbook=18_15.xlsx&amp;sheet=U0&amp;row=949&amp;col=6&amp;number=3.5&amp;sourceID=14","3.5")</f>
        <v>3.5</v>
      </c>
      <c r="G949" s="4" t="str">
        <f>HYPERLINK("http://141.218.60.56/~jnz1568/getInfo.php?workbook=18_15.xlsx&amp;sheet=U0&amp;row=949&amp;col=7&amp;number=0.915&amp;sourceID=14","0.915")</f>
        <v>0.915</v>
      </c>
    </row>
    <row r="950" spans="1:7">
      <c r="A950" s="3"/>
      <c r="B950" s="3"/>
      <c r="C950" s="3"/>
      <c r="D950" s="3"/>
      <c r="E950" s="3">
        <v>7</v>
      </c>
      <c r="F950" s="4" t="str">
        <f>HYPERLINK("http://141.218.60.56/~jnz1568/getInfo.php?workbook=18_15.xlsx&amp;sheet=U0&amp;row=950&amp;col=6&amp;number=3.6&amp;sourceID=14","3.6")</f>
        <v>3.6</v>
      </c>
      <c r="G950" s="4" t="str">
        <f>HYPERLINK("http://141.218.60.56/~jnz1568/getInfo.php?workbook=18_15.xlsx&amp;sheet=U0&amp;row=950&amp;col=7&amp;number=1&amp;sourceID=14","1")</f>
        <v>1</v>
      </c>
    </row>
    <row r="951" spans="1:7">
      <c r="A951" s="3"/>
      <c r="B951" s="3"/>
      <c r="C951" s="3"/>
      <c r="D951" s="3"/>
      <c r="E951" s="3">
        <v>8</v>
      </c>
      <c r="F951" s="4" t="str">
        <f>HYPERLINK("http://141.218.60.56/~jnz1568/getInfo.php?workbook=18_15.xlsx&amp;sheet=U0&amp;row=951&amp;col=6&amp;number=3.7&amp;sourceID=14","3.7")</f>
        <v>3.7</v>
      </c>
      <c r="G951" s="4" t="str">
        <f>HYPERLINK("http://141.218.60.56/~jnz1568/getInfo.php?workbook=18_15.xlsx&amp;sheet=U0&amp;row=951&amp;col=7&amp;number=1.11&amp;sourceID=14","1.11")</f>
        <v>1.11</v>
      </c>
    </row>
    <row r="952" spans="1:7">
      <c r="A952" s="3"/>
      <c r="B952" s="3"/>
      <c r="C952" s="3"/>
      <c r="D952" s="3"/>
      <c r="E952" s="3">
        <v>9</v>
      </c>
      <c r="F952" s="4" t="str">
        <f>HYPERLINK("http://141.218.60.56/~jnz1568/getInfo.php?workbook=18_15.xlsx&amp;sheet=U0&amp;row=952&amp;col=6&amp;number=3.8&amp;sourceID=14","3.8")</f>
        <v>3.8</v>
      </c>
      <c r="G952" s="4" t="str">
        <f>HYPERLINK("http://141.218.60.56/~jnz1568/getInfo.php?workbook=18_15.xlsx&amp;sheet=U0&amp;row=952&amp;col=7&amp;number=1.23&amp;sourceID=14","1.23")</f>
        <v>1.23</v>
      </c>
    </row>
    <row r="953" spans="1:7">
      <c r="A953" s="3"/>
      <c r="B953" s="3"/>
      <c r="C953" s="3"/>
      <c r="D953" s="3"/>
      <c r="E953" s="3">
        <v>10</v>
      </c>
      <c r="F953" s="4" t="str">
        <f>HYPERLINK("http://141.218.60.56/~jnz1568/getInfo.php?workbook=18_15.xlsx&amp;sheet=U0&amp;row=953&amp;col=6&amp;number=3.9&amp;sourceID=14","3.9")</f>
        <v>3.9</v>
      </c>
      <c r="G953" s="4" t="str">
        <f>HYPERLINK("http://141.218.60.56/~jnz1568/getInfo.php?workbook=18_15.xlsx&amp;sheet=U0&amp;row=953&amp;col=7&amp;number=1.37&amp;sourceID=14","1.37")</f>
        <v>1.37</v>
      </c>
    </row>
    <row r="954" spans="1:7">
      <c r="A954" s="3"/>
      <c r="B954" s="3"/>
      <c r="C954" s="3"/>
      <c r="D954" s="3"/>
      <c r="E954" s="3">
        <v>11</v>
      </c>
      <c r="F954" s="4" t="str">
        <f>HYPERLINK("http://141.218.60.56/~jnz1568/getInfo.php?workbook=18_15.xlsx&amp;sheet=U0&amp;row=954&amp;col=6&amp;number=4&amp;sourceID=14","4")</f>
        <v>4</v>
      </c>
      <c r="G954" s="4" t="str">
        <f>HYPERLINK("http://141.218.60.56/~jnz1568/getInfo.php?workbook=18_15.xlsx&amp;sheet=U0&amp;row=954&amp;col=7&amp;number=1.53&amp;sourceID=14","1.53")</f>
        <v>1.53</v>
      </c>
    </row>
    <row r="955" spans="1:7">
      <c r="A955" s="3"/>
      <c r="B955" s="3"/>
      <c r="C955" s="3"/>
      <c r="D955" s="3"/>
      <c r="E955" s="3">
        <v>12</v>
      </c>
      <c r="F955" s="4" t="str">
        <f>HYPERLINK("http://141.218.60.56/~jnz1568/getInfo.php?workbook=18_15.xlsx&amp;sheet=U0&amp;row=955&amp;col=6&amp;number=4.1&amp;sourceID=14","4.1")</f>
        <v>4.1</v>
      </c>
      <c r="G955" s="4" t="str">
        <f>HYPERLINK("http://141.218.60.56/~jnz1568/getInfo.php?workbook=18_15.xlsx&amp;sheet=U0&amp;row=955&amp;col=7&amp;number=1.68&amp;sourceID=14","1.68")</f>
        <v>1.68</v>
      </c>
    </row>
    <row r="956" spans="1:7">
      <c r="A956" s="3"/>
      <c r="B956" s="3"/>
      <c r="C956" s="3"/>
      <c r="D956" s="3"/>
      <c r="E956" s="3">
        <v>13</v>
      </c>
      <c r="F956" s="4" t="str">
        <f>HYPERLINK("http://141.218.60.56/~jnz1568/getInfo.php?workbook=18_15.xlsx&amp;sheet=U0&amp;row=956&amp;col=6&amp;number=4.2&amp;sourceID=14","4.2")</f>
        <v>4.2</v>
      </c>
      <c r="G956" s="4" t="str">
        <f>HYPERLINK("http://141.218.60.56/~jnz1568/getInfo.php?workbook=18_15.xlsx&amp;sheet=U0&amp;row=956&amp;col=7&amp;number=1.83&amp;sourceID=14","1.83")</f>
        <v>1.83</v>
      </c>
    </row>
    <row r="957" spans="1:7">
      <c r="A957" s="3"/>
      <c r="B957" s="3"/>
      <c r="C957" s="3"/>
      <c r="D957" s="3"/>
      <c r="E957" s="3">
        <v>14</v>
      </c>
      <c r="F957" s="4" t="str">
        <f>HYPERLINK("http://141.218.60.56/~jnz1568/getInfo.php?workbook=18_15.xlsx&amp;sheet=U0&amp;row=957&amp;col=6&amp;number=4.3&amp;sourceID=14","4.3")</f>
        <v>4.3</v>
      </c>
      <c r="G957" s="4" t="str">
        <f>HYPERLINK("http://141.218.60.56/~jnz1568/getInfo.php?workbook=18_15.xlsx&amp;sheet=U0&amp;row=957&amp;col=7&amp;number=1.94&amp;sourceID=14","1.94")</f>
        <v>1.94</v>
      </c>
    </row>
    <row r="958" spans="1:7">
      <c r="A958" s="3"/>
      <c r="B958" s="3"/>
      <c r="C958" s="3"/>
      <c r="D958" s="3"/>
      <c r="E958" s="3">
        <v>15</v>
      </c>
      <c r="F958" s="4" t="str">
        <f>HYPERLINK("http://141.218.60.56/~jnz1568/getInfo.php?workbook=18_15.xlsx&amp;sheet=U0&amp;row=958&amp;col=6&amp;number=4.4&amp;sourceID=14","4.4")</f>
        <v>4.4</v>
      </c>
      <c r="G958" s="4" t="str">
        <f>HYPERLINK("http://141.218.60.56/~jnz1568/getInfo.php?workbook=18_15.xlsx&amp;sheet=U0&amp;row=958&amp;col=7&amp;number=1.99&amp;sourceID=14","1.99")</f>
        <v>1.99</v>
      </c>
    </row>
    <row r="959" spans="1:7">
      <c r="A959" s="3"/>
      <c r="B959" s="3"/>
      <c r="C959" s="3"/>
      <c r="D959" s="3"/>
      <c r="E959" s="3">
        <v>16</v>
      </c>
      <c r="F959" s="4" t="str">
        <f>HYPERLINK("http://141.218.60.56/~jnz1568/getInfo.php?workbook=18_15.xlsx&amp;sheet=U0&amp;row=959&amp;col=6&amp;number=4.5&amp;sourceID=14","4.5")</f>
        <v>4.5</v>
      </c>
      <c r="G959" s="4" t="str">
        <f>HYPERLINK("http://141.218.60.56/~jnz1568/getInfo.php?workbook=18_15.xlsx&amp;sheet=U0&amp;row=959&amp;col=7&amp;number=1.95&amp;sourceID=14","1.95")</f>
        <v>1.95</v>
      </c>
    </row>
    <row r="960" spans="1:7">
      <c r="A960" s="3"/>
      <c r="B960" s="3"/>
      <c r="C960" s="3"/>
      <c r="D960" s="3"/>
      <c r="E960" s="3">
        <v>17</v>
      </c>
      <c r="F960" s="4" t="str">
        <f>HYPERLINK("http://141.218.60.56/~jnz1568/getInfo.php?workbook=18_15.xlsx&amp;sheet=U0&amp;row=960&amp;col=6&amp;number=4.6&amp;sourceID=14","4.6")</f>
        <v>4.6</v>
      </c>
      <c r="G960" s="4" t="str">
        <f>HYPERLINK("http://141.218.60.56/~jnz1568/getInfo.php?workbook=18_15.xlsx&amp;sheet=U0&amp;row=960&amp;col=7&amp;number=1.87&amp;sourceID=14","1.87")</f>
        <v>1.87</v>
      </c>
    </row>
    <row r="961" spans="1:7">
      <c r="A961" s="3"/>
      <c r="B961" s="3"/>
      <c r="C961" s="3"/>
      <c r="D961" s="3"/>
      <c r="E961" s="3">
        <v>18</v>
      </c>
      <c r="F961" s="4" t="str">
        <f>HYPERLINK("http://141.218.60.56/~jnz1568/getInfo.php?workbook=18_15.xlsx&amp;sheet=U0&amp;row=961&amp;col=6&amp;number=4.7&amp;sourceID=14","4.7")</f>
        <v>4.7</v>
      </c>
      <c r="G961" s="4" t="str">
        <f>HYPERLINK("http://141.218.60.56/~jnz1568/getInfo.php?workbook=18_15.xlsx&amp;sheet=U0&amp;row=961&amp;col=7&amp;number=1.77&amp;sourceID=14","1.77")</f>
        <v>1.77</v>
      </c>
    </row>
    <row r="962" spans="1:7">
      <c r="A962" s="3"/>
      <c r="B962" s="3"/>
      <c r="C962" s="3"/>
      <c r="D962" s="3"/>
      <c r="E962" s="3">
        <v>19</v>
      </c>
      <c r="F962" s="4" t="str">
        <f>HYPERLINK("http://141.218.60.56/~jnz1568/getInfo.php?workbook=18_15.xlsx&amp;sheet=U0&amp;row=962&amp;col=6&amp;number=4.8&amp;sourceID=14","4.8")</f>
        <v>4.8</v>
      </c>
      <c r="G962" s="4" t="str">
        <f>HYPERLINK("http://141.218.60.56/~jnz1568/getInfo.php?workbook=18_15.xlsx&amp;sheet=U0&amp;row=962&amp;col=7&amp;number=1.68&amp;sourceID=14","1.68")</f>
        <v>1.68</v>
      </c>
    </row>
    <row r="963" spans="1:7">
      <c r="A963" s="3"/>
      <c r="B963" s="3"/>
      <c r="C963" s="3"/>
      <c r="D963" s="3"/>
      <c r="E963" s="3">
        <v>20</v>
      </c>
      <c r="F963" s="4" t="str">
        <f>HYPERLINK("http://141.218.60.56/~jnz1568/getInfo.php?workbook=18_15.xlsx&amp;sheet=U0&amp;row=963&amp;col=6&amp;number=4.9&amp;sourceID=14","4.9")</f>
        <v>4.9</v>
      </c>
      <c r="G963" s="4" t="str">
        <f>HYPERLINK("http://141.218.60.56/~jnz1568/getInfo.php?workbook=18_15.xlsx&amp;sheet=U0&amp;row=963&amp;col=7&amp;number=1.57&amp;sourceID=14","1.57")</f>
        <v>1.57</v>
      </c>
    </row>
    <row r="964" spans="1:7">
      <c r="A964" s="3">
        <v>18</v>
      </c>
      <c r="B964" s="3">
        <v>15</v>
      </c>
      <c r="C964" s="3">
        <v>2</v>
      </c>
      <c r="D964" s="3">
        <v>23</v>
      </c>
      <c r="E964" s="3">
        <v>1</v>
      </c>
      <c r="F964" s="4" t="str">
        <f>HYPERLINK("http://141.218.60.56/~jnz1568/getInfo.php?workbook=18_15.xlsx&amp;sheet=U0&amp;row=964&amp;col=6&amp;number=3&amp;sourceID=14","3")</f>
        <v>3</v>
      </c>
      <c r="G964" s="4" t="str">
        <f>HYPERLINK("http://141.218.60.56/~jnz1568/getInfo.php?workbook=18_15.xlsx&amp;sheet=U0&amp;row=964&amp;col=7&amp;number=1.05&amp;sourceID=14","1.05")</f>
        <v>1.05</v>
      </c>
    </row>
    <row r="965" spans="1:7">
      <c r="A965" s="3"/>
      <c r="B965" s="3"/>
      <c r="C965" s="3"/>
      <c r="D965" s="3"/>
      <c r="E965" s="3">
        <v>2</v>
      </c>
      <c r="F965" s="4" t="str">
        <f>HYPERLINK("http://141.218.60.56/~jnz1568/getInfo.php?workbook=18_15.xlsx&amp;sheet=U0&amp;row=965&amp;col=6&amp;number=3.1&amp;sourceID=14","3.1")</f>
        <v>3.1</v>
      </c>
      <c r="G965" s="4" t="str">
        <f>HYPERLINK("http://141.218.60.56/~jnz1568/getInfo.php?workbook=18_15.xlsx&amp;sheet=U0&amp;row=965&amp;col=7&amp;number=1.07&amp;sourceID=14","1.07")</f>
        <v>1.07</v>
      </c>
    </row>
    <row r="966" spans="1:7">
      <c r="A966" s="3"/>
      <c r="B966" s="3"/>
      <c r="C966" s="3"/>
      <c r="D966" s="3"/>
      <c r="E966" s="3">
        <v>3</v>
      </c>
      <c r="F966" s="4" t="str">
        <f>HYPERLINK("http://141.218.60.56/~jnz1568/getInfo.php?workbook=18_15.xlsx&amp;sheet=U0&amp;row=966&amp;col=6&amp;number=3.2&amp;sourceID=14","3.2")</f>
        <v>3.2</v>
      </c>
      <c r="G966" s="4" t="str">
        <f>HYPERLINK("http://141.218.60.56/~jnz1568/getInfo.php?workbook=18_15.xlsx&amp;sheet=U0&amp;row=966&amp;col=7&amp;number=1.1&amp;sourceID=14","1.1")</f>
        <v>1.1</v>
      </c>
    </row>
    <row r="967" spans="1:7">
      <c r="A967" s="3"/>
      <c r="B967" s="3"/>
      <c r="C967" s="3"/>
      <c r="D967" s="3"/>
      <c r="E967" s="3">
        <v>4</v>
      </c>
      <c r="F967" s="4" t="str">
        <f>HYPERLINK("http://141.218.60.56/~jnz1568/getInfo.php?workbook=18_15.xlsx&amp;sheet=U0&amp;row=967&amp;col=6&amp;number=3.3&amp;sourceID=14","3.3")</f>
        <v>3.3</v>
      </c>
      <c r="G967" s="4" t="str">
        <f>HYPERLINK("http://141.218.60.56/~jnz1568/getInfo.php?workbook=18_15.xlsx&amp;sheet=U0&amp;row=967&amp;col=7&amp;number=1.13&amp;sourceID=14","1.13")</f>
        <v>1.13</v>
      </c>
    </row>
    <row r="968" spans="1:7">
      <c r="A968" s="3"/>
      <c r="B968" s="3"/>
      <c r="C968" s="3"/>
      <c r="D968" s="3"/>
      <c r="E968" s="3">
        <v>5</v>
      </c>
      <c r="F968" s="4" t="str">
        <f>HYPERLINK("http://141.218.60.56/~jnz1568/getInfo.php?workbook=18_15.xlsx&amp;sheet=U0&amp;row=968&amp;col=6&amp;number=3.4&amp;sourceID=14","3.4")</f>
        <v>3.4</v>
      </c>
      <c r="G968" s="4" t="str">
        <f>HYPERLINK("http://141.218.60.56/~jnz1568/getInfo.php?workbook=18_15.xlsx&amp;sheet=U0&amp;row=968&amp;col=7&amp;number=1.17&amp;sourceID=14","1.17")</f>
        <v>1.17</v>
      </c>
    </row>
    <row r="969" spans="1:7">
      <c r="A969" s="3"/>
      <c r="B969" s="3"/>
      <c r="C969" s="3"/>
      <c r="D969" s="3"/>
      <c r="E969" s="3">
        <v>6</v>
      </c>
      <c r="F969" s="4" t="str">
        <f>HYPERLINK("http://141.218.60.56/~jnz1568/getInfo.php?workbook=18_15.xlsx&amp;sheet=U0&amp;row=969&amp;col=6&amp;number=3.5&amp;sourceID=14","3.5")</f>
        <v>3.5</v>
      </c>
      <c r="G969" s="4" t="str">
        <f>HYPERLINK("http://141.218.60.56/~jnz1568/getInfo.php?workbook=18_15.xlsx&amp;sheet=U0&amp;row=969&amp;col=7&amp;number=1.22&amp;sourceID=14","1.22")</f>
        <v>1.22</v>
      </c>
    </row>
    <row r="970" spans="1:7">
      <c r="A970" s="3"/>
      <c r="B970" s="3"/>
      <c r="C970" s="3"/>
      <c r="D970" s="3"/>
      <c r="E970" s="3">
        <v>7</v>
      </c>
      <c r="F970" s="4" t="str">
        <f>HYPERLINK("http://141.218.60.56/~jnz1568/getInfo.php?workbook=18_15.xlsx&amp;sheet=U0&amp;row=970&amp;col=6&amp;number=3.6&amp;sourceID=14","3.6")</f>
        <v>3.6</v>
      </c>
      <c r="G970" s="4" t="str">
        <f>HYPERLINK("http://141.218.60.56/~jnz1568/getInfo.php?workbook=18_15.xlsx&amp;sheet=U0&amp;row=970&amp;col=7&amp;number=1.29&amp;sourceID=14","1.29")</f>
        <v>1.29</v>
      </c>
    </row>
    <row r="971" spans="1:7">
      <c r="A971" s="3"/>
      <c r="B971" s="3"/>
      <c r="C971" s="3"/>
      <c r="D971" s="3"/>
      <c r="E971" s="3">
        <v>8</v>
      </c>
      <c r="F971" s="4" t="str">
        <f>HYPERLINK("http://141.218.60.56/~jnz1568/getInfo.php?workbook=18_15.xlsx&amp;sheet=U0&amp;row=971&amp;col=6&amp;number=3.7&amp;sourceID=14","3.7")</f>
        <v>3.7</v>
      </c>
      <c r="G971" s="4" t="str">
        <f>HYPERLINK("http://141.218.60.56/~jnz1568/getInfo.php?workbook=18_15.xlsx&amp;sheet=U0&amp;row=971&amp;col=7&amp;number=1.36&amp;sourceID=14","1.36")</f>
        <v>1.36</v>
      </c>
    </row>
    <row r="972" spans="1:7">
      <c r="A972" s="3"/>
      <c r="B972" s="3"/>
      <c r="C972" s="3"/>
      <c r="D972" s="3"/>
      <c r="E972" s="3">
        <v>9</v>
      </c>
      <c r="F972" s="4" t="str">
        <f>HYPERLINK("http://141.218.60.56/~jnz1568/getInfo.php?workbook=18_15.xlsx&amp;sheet=U0&amp;row=972&amp;col=6&amp;number=3.8&amp;sourceID=14","3.8")</f>
        <v>3.8</v>
      </c>
      <c r="G972" s="4" t="str">
        <f>HYPERLINK("http://141.218.60.56/~jnz1568/getInfo.php?workbook=18_15.xlsx&amp;sheet=U0&amp;row=972&amp;col=7&amp;number=1.46&amp;sourceID=14","1.46")</f>
        <v>1.46</v>
      </c>
    </row>
    <row r="973" spans="1:7">
      <c r="A973" s="3"/>
      <c r="B973" s="3"/>
      <c r="C973" s="3"/>
      <c r="D973" s="3"/>
      <c r="E973" s="3">
        <v>10</v>
      </c>
      <c r="F973" s="4" t="str">
        <f>HYPERLINK("http://141.218.60.56/~jnz1568/getInfo.php?workbook=18_15.xlsx&amp;sheet=U0&amp;row=973&amp;col=6&amp;number=3.9&amp;sourceID=14","3.9")</f>
        <v>3.9</v>
      </c>
      <c r="G973" s="4" t="str">
        <f>HYPERLINK("http://141.218.60.56/~jnz1568/getInfo.php?workbook=18_15.xlsx&amp;sheet=U0&amp;row=973&amp;col=7&amp;number=1.57&amp;sourceID=14","1.57")</f>
        <v>1.57</v>
      </c>
    </row>
    <row r="974" spans="1:7">
      <c r="A974" s="3"/>
      <c r="B974" s="3"/>
      <c r="C974" s="3"/>
      <c r="D974" s="3"/>
      <c r="E974" s="3">
        <v>11</v>
      </c>
      <c r="F974" s="4" t="str">
        <f>HYPERLINK("http://141.218.60.56/~jnz1568/getInfo.php?workbook=18_15.xlsx&amp;sheet=U0&amp;row=974&amp;col=6&amp;number=4&amp;sourceID=14","4")</f>
        <v>4</v>
      </c>
      <c r="G974" s="4" t="str">
        <f>HYPERLINK("http://141.218.60.56/~jnz1568/getInfo.php?workbook=18_15.xlsx&amp;sheet=U0&amp;row=974&amp;col=7&amp;number=1.7&amp;sourceID=14","1.7")</f>
        <v>1.7</v>
      </c>
    </row>
    <row r="975" spans="1:7">
      <c r="A975" s="3"/>
      <c r="B975" s="3"/>
      <c r="C975" s="3"/>
      <c r="D975" s="3"/>
      <c r="E975" s="3">
        <v>12</v>
      </c>
      <c r="F975" s="4" t="str">
        <f>HYPERLINK("http://141.218.60.56/~jnz1568/getInfo.php?workbook=18_15.xlsx&amp;sheet=U0&amp;row=975&amp;col=6&amp;number=4.1&amp;sourceID=14","4.1")</f>
        <v>4.1</v>
      </c>
      <c r="G975" s="4" t="str">
        <f>HYPERLINK("http://141.218.60.56/~jnz1568/getInfo.php?workbook=18_15.xlsx&amp;sheet=U0&amp;row=975&amp;col=7&amp;number=1.83&amp;sourceID=14","1.83")</f>
        <v>1.83</v>
      </c>
    </row>
    <row r="976" spans="1:7">
      <c r="A976" s="3"/>
      <c r="B976" s="3"/>
      <c r="C976" s="3"/>
      <c r="D976" s="3"/>
      <c r="E976" s="3">
        <v>13</v>
      </c>
      <c r="F976" s="4" t="str">
        <f>HYPERLINK("http://141.218.60.56/~jnz1568/getInfo.php?workbook=18_15.xlsx&amp;sheet=U0&amp;row=976&amp;col=6&amp;number=4.2&amp;sourceID=14","4.2")</f>
        <v>4.2</v>
      </c>
      <c r="G976" s="4" t="str">
        <f>HYPERLINK("http://141.218.60.56/~jnz1568/getInfo.php?workbook=18_15.xlsx&amp;sheet=U0&amp;row=976&amp;col=7&amp;number=1.95&amp;sourceID=14","1.95")</f>
        <v>1.95</v>
      </c>
    </row>
    <row r="977" spans="1:7">
      <c r="A977" s="3"/>
      <c r="B977" s="3"/>
      <c r="C977" s="3"/>
      <c r="D977" s="3"/>
      <c r="E977" s="3">
        <v>14</v>
      </c>
      <c r="F977" s="4" t="str">
        <f>HYPERLINK("http://141.218.60.56/~jnz1568/getInfo.php?workbook=18_15.xlsx&amp;sheet=U0&amp;row=977&amp;col=6&amp;number=4.3&amp;sourceID=14","4.3")</f>
        <v>4.3</v>
      </c>
      <c r="G977" s="4" t="str">
        <f>HYPERLINK("http://141.218.60.56/~jnz1568/getInfo.php?workbook=18_15.xlsx&amp;sheet=U0&amp;row=977&amp;col=7&amp;number=2.01&amp;sourceID=14","2.01")</f>
        <v>2.01</v>
      </c>
    </row>
    <row r="978" spans="1:7">
      <c r="A978" s="3"/>
      <c r="B978" s="3"/>
      <c r="C978" s="3"/>
      <c r="D978" s="3"/>
      <c r="E978" s="3">
        <v>15</v>
      </c>
      <c r="F978" s="4" t="str">
        <f>HYPERLINK("http://141.218.60.56/~jnz1568/getInfo.php?workbook=18_15.xlsx&amp;sheet=U0&amp;row=978&amp;col=6&amp;number=4.4&amp;sourceID=14","4.4")</f>
        <v>4.4</v>
      </c>
      <c r="G978" s="4" t="str">
        <f>HYPERLINK("http://141.218.60.56/~jnz1568/getInfo.php?workbook=18_15.xlsx&amp;sheet=U0&amp;row=978&amp;col=7&amp;number=2.02&amp;sourceID=14","2.02")</f>
        <v>2.02</v>
      </c>
    </row>
    <row r="979" spans="1:7">
      <c r="A979" s="3"/>
      <c r="B979" s="3"/>
      <c r="C979" s="3"/>
      <c r="D979" s="3"/>
      <c r="E979" s="3">
        <v>16</v>
      </c>
      <c r="F979" s="4" t="str">
        <f>HYPERLINK("http://141.218.60.56/~jnz1568/getInfo.php?workbook=18_15.xlsx&amp;sheet=U0&amp;row=979&amp;col=6&amp;number=4.5&amp;sourceID=14","4.5")</f>
        <v>4.5</v>
      </c>
      <c r="G979" s="4" t="str">
        <f>HYPERLINK("http://141.218.60.56/~jnz1568/getInfo.php?workbook=18_15.xlsx&amp;sheet=U0&amp;row=979&amp;col=7&amp;number=1.98&amp;sourceID=14","1.98")</f>
        <v>1.98</v>
      </c>
    </row>
    <row r="980" spans="1:7">
      <c r="A980" s="3"/>
      <c r="B980" s="3"/>
      <c r="C980" s="3"/>
      <c r="D980" s="3"/>
      <c r="E980" s="3">
        <v>17</v>
      </c>
      <c r="F980" s="4" t="str">
        <f>HYPERLINK("http://141.218.60.56/~jnz1568/getInfo.php?workbook=18_15.xlsx&amp;sheet=U0&amp;row=980&amp;col=6&amp;number=4.6&amp;sourceID=14","4.6")</f>
        <v>4.6</v>
      </c>
      <c r="G980" s="4" t="str">
        <f>HYPERLINK("http://141.218.60.56/~jnz1568/getInfo.php?workbook=18_15.xlsx&amp;sheet=U0&amp;row=980&amp;col=7&amp;number=1.92&amp;sourceID=14","1.92")</f>
        <v>1.92</v>
      </c>
    </row>
    <row r="981" spans="1:7">
      <c r="A981" s="3"/>
      <c r="B981" s="3"/>
      <c r="C981" s="3"/>
      <c r="D981" s="3"/>
      <c r="E981" s="3">
        <v>18</v>
      </c>
      <c r="F981" s="4" t="str">
        <f>HYPERLINK("http://141.218.60.56/~jnz1568/getInfo.php?workbook=18_15.xlsx&amp;sheet=U0&amp;row=981&amp;col=6&amp;number=4.7&amp;sourceID=14","4.7")</f>
        <v>4.7</v>
      </c>
      <c r="G981" s="4" t="str">
        <f>HYPERLINK("http://141.218.60.56/~jnz1568/getInfo.php?workbook=18_15.xlsx&amp;sheet=U0&amp;row=981&amp;col=7&amp;number=1.83&amp;sourceID=14","1.83")</f>
        <v>1.83</v>
      </c>
    </row>
    <row r="982" spans="1:7">
      <c r="A982" s="3"/>
      <c r="B982" s="3"/>
      <c r="C982" s="3"/>
      <c r="D982" s="3"/>
      <c r="E982" s="3">
        <v>19</v>
      </c>
      <c r="F982" s="4" t="str">
        <f>HYPERLINK("http://141.218.60.56/~jnz1568/getInfo.php?workbook=18_15.xlsx&amp;sheet=U0&amp;row=982&amp;col=6&amp;number=4.8&amp;sourceID=14","4.8")</f>
        <v>4.8</v>
      </c>
      <c r="G982" s="4" t="str">
        <f>HYPERLINK("http://141.218.60.56/~jnz1568/getInfo.php?workbook=18_15.xlsx&amp;sheet=U0&amp;row=982&amp;col=7&amp;number=1.73&amp;sourceID=14","1.73")</f>
        <v>1.73</v>
      </c>
    </row>
    <row r="983" spans="1:7">
      <c r="A983" s="3"/>
      <c r="B983" s="3"/>
      <c r="C983" s="3"/>
      <c r="D983" s="3"/>
      <c r="E983" s="3">
        <v>20</v>
      </c>
      <c r="F983" s="4" t="str">
        <f>HYPERLINK("http://141.218.60.56/~jnz1568/getInfo.php?workbook=18_15.xlsx&amp;sheet=U0&amp;row=983&amp;col=6&amp;number=4.9&amp;sourceID=14","4.9")</f>
        <v>4.9</v>
      </c>
      <c r="G983" s="4" t="str">
        <f>HYPERLINK("http://141.218.60.56/~jnz1568/getInfo.php?workbook=18_15.xlsx&amp;sheet=U0&amp;row=983&amp;col=7&amp;number=1.61&amp;sourceID=14","1.61")</f>
        <v>1.61</v>
      </c>
    </row>
    <row r="984" spans="1:7">
      <c r="A984" s="3">
        <v>18</v>
      </c>
      <c r="B984" s="3">
        <v>15</v>
      </c>
      <c r="C984" s="3">
        <v>2</v>
      </c>
      <c r="D984" s="3">
        <v>24</v>
      </c>
      <c r="E984" s="3">
        <v>1</v>
      </c>
      <c r="F984" s="4" t="str">
        <f>HYPERLINK("http://141.218.60.56/~jnz1568/getInfo.php?workbook=18_15.xlsx&amp;sheet=U0&amp;row=984&amp;col=6&amp;number=3&amp;sourceID=14","3")</f>
        <v>3</v>
      </c>
      <c r="G984" s="4" t="str">
        <f>HYPERLINK("http://141.218.60.56/~jnz1568/getInfo.php?workbook=18_15.xlsx&amp;sheet=U0&amp;row=984&amp;col=7&amp;number=0.297&amp;sourceID=14","0.297")</f>
        <v>0.297</v>
      </c>
    </row>
    <row r="985" spans="1:7">
      <c r="A985" s="3"/>
      <c r="B985" s="3"/>
      <c r="C985" s="3"/>
      <c r="D985" s="3"/>
      <c r="E985" s="3">
        <v>2</v>
      </c>
      <c r="F985" s="4" t="str">
        <f>HYPERLINK("http://141.218.60.56/~jnz1568/getInfo.php?workbook=18_15.xlsx&amp;sheet=U0&amp;row=985&amp;col=6&amp;number=3.1&amp;sourceID=14","3.1")</f>
        <v>3.1</v>
      </c>
      <c r="G985" s="4" t="str">
        <f>HYPERLINK("http://141.218.60.56/~jnz1568/getInfo.php?workbook=18_15.xlsx&amp;sheet=U0&amp;row=985&amp;col=7&amp;number=0.317&amp;sourceID=14","0.317")</f>
        <v>0.317</v>
      </c>
    </row>
    <row r="986" spans="1:7">
      <c r="A986" s="3"/>
      <c r="B986" s="3"/>
      <c r="C986" s="3"/>
      <c r="D986" s="3"/>
      <c r="E986" s="3">
        <v>3</v>
      </c>
      <c r="F986" s="4" t="str">
        <f>HYPERLINK("http://141.218.60.56/~jnz1568/getInfo.php?workbook=18_15.xlsx&amp;sheet=U0&amp;row=986&amp;col=6&amp;number=3.2&amp;sourceID=14","3.2")</f>
        <v>3.2</v>
      </c>
      <c r="G986" s="4" t="str">
        <f>HYPERLINK("http://141.218.60.56/~jnz1568/getInfo.php?workbook=18_15.xlsx&amp;sheet=U0&amp;row=986&amp;col=7&amp;number=0.341&amp;sourceID=14","0.341")</f>
        <v>0.341</v>
      </c>
    </row>
    <row r="987" spans="1:7">
      <c r="A987" s="3"/>
      <c r="B987" s="3"/>
      <c r="C987" s="3"/>
      <c r="D987" s="3"/>
      <c r="E987" s="3">
        <v>4</v>
      </c>
      <c r="F987" s="4" t="str">
        <f>HYPERLINK("http://141.218.60.56/~jnz1568/getInfo.php?workbook=18_15.xlsx&amp;sheet=U0&amp;row=987&amp;col=6&amp;number=3.3&amp;sourceID=14","3.3")</f>
        <v>3.3</v>
      </c>
      <c r="G987" s="4" t="str">
        <f>HYPERLINK("http://141.218.60.56/~jnz1568/getInfo.php?workbook=18_15.xlsx&amp;sheet=U0&amp;row=987&amp;col=7&amp;number=0.371&amp;sourceID=14","0.371")</f>
        <v>0.371</v>
      </c>
    </row>
    <row r="988" spans="1:7">
      <c r="A988" s="3"/>
      <c r="B988" s="3"/>
      <c r="C988" s="3"/>
      <c r="D988" s="3"/>
      <c r="E988" s="3">
        <v>5</v>
      </c>
      <c r="F988" s="4" t="str">
        <f>HYPERLINK("http://141.218.60.56/~jnz1568/getInfo.php?workbook=18_15.xlsx&amp;sheet=U0&amp;row=988&amp;col=6&amp;number=3.4&amp;sourceID=14","3.4")</f>
        <v>3.4</v>
      </c>
      <c r="G988" s="4" t="str">
        <f>HYPERLINK("http://141.218.60.56/~jnz1568/getInfo.php?workbook=18_15.xlsx&amp;sheet=U0&amp;row=988&amp;col=7&amp;number=0.409&amp;sourceID=14","0.409")</f>
        <v>0.409</v>
      </c>
    </row>
    <row r="989" spans="1:7">
      <c r="A989" s="3"/>
      <c r="B989" s="3"/>
      <c r="C989" s="3"/>
      <c r="D989" s="3"/>
      <c r="E989" s="3">
        <v>6</v>
      </c>
      <c r="F989" s="4" t="str">
        <f>HYPERLINK("http://141.218.60.56/~jnz1568/getInfo.php?workbook=18_15.xlsx&amp;sheet=U0&amp;row=989&amp;col=6&amp;number=3.5&amp;sourceID=14","3.5")</f>
        <v>3.5</v>
      </c>
      <c r="G989" s="4" t="str">
        <f>HYPERLINK("http://141.218.60.56/~jnz1568/getInfo.php?workbook=18_15.xlsx&amp;sheet=U0&amp;row=989&amp;col=7&amp;number=0.454&amp;sourceID=14","0.454")</f>
        <v>0.454</v>
      </c>
    </row>
    <row r="990" spans="1:7">
      <c r="A990" s="3"/>
      <c r="B990" s="3"/>
      <c r="C990" s="3"/>
      <c r="D990" s="3"/>
      <c r="E990" s="3">
        <v>7</v>
      </c>
      <c r="F990" s="4" t="str">
        <f>HYPERLINK("http://141.218.60.56/~jnz1568/getInfo.php?workbook=18_15.xlsx&amp;sheet=U0&amp;row=990&amp;col=6&amp;number=3.6&amp;sourceID=14","3.6")</f>
        <v>3.6</v>
      </c>
      <c r="G990" s="4" t="str">
        <f>HYPERLINK("http://141.218.60.56/~jnz1568/getInfo.php?workbook=18_15.xlsx&amp;sheet=U0&amp;row=990&amp;col=7&amp;number=0.509&amp;sourceID=14","0.509")</f>
        <v>0.509</v>
      </c>
    </row>
    <row r="991" spans="1:7">
      <c r="A991" s="3"/>
      <c r="B991" s="3"/>
      <c r="C991" s="3"/>
      <c r="D991" s="3"/>
      <c r="E991" s="3">
        <v>8</v>
      </c>
      <c r="F991" s="4" t="str">
        <f>HYPERLINK("http://141.218.60.56/~jnz1568/getInfo.php?workbook=18_15.xlsx&amp;sheet=U0&amp;row=991&amp;col=6&amp;number=3.7&amp;sourceID=14","3.7")</f>
        <v>3.7</v>
      </c>
      <c r="G991" s="4" t="str">
        <f>HYPERLINK("http://141.218.60.56/~jnz1568/getInfo.php?workbook=18_15.xlsx&amp;sheet=U0&amp;row=991&amp;col=7&amp;number=0.576&amp;sourceID=14","0.576")</f>
        <v>0.576</v>
      </c>
    </row>
    <row r="992" spans="1:7">
      <c r="A992" s="3"/>
      <c r="B992" s="3"/>
      <c r="C992" s="3"/>
      <c r="D992" s="3"/>
      <c r="E992" s="3">
        <v>9</v>
      </c>
      <c r="F992" s="4" t="str">
        <f>HYPERLINK("http://141.218.60.56/~jnz1568/getInfo.php?workbook=18_15.xlsx&amp;sheet=U0&amp;row=992&amp;col=6&amp;number=3.8&amp;sourceID=14","3.8")</f>
        <v>3.8</v>
      </c>
      <c r="G992" s="4" t="str">
        <f>HYPERLINK("http://141.218.60.56/~jnz1568/getInfo.php?workbook=18_15.xlsx&amp;sheet=U0&amp;row=992&amp;col=7&amp;number=0.655&amp;sourceID=14","0.655")</f>
        <v>0.655</v>
      </c>
    </row>
    <row r="993" spans="1:7">
      <c r="A993" s="3"/>
      <c r="B993" s="3"/>
      <c r="C993" s="3"/>
      <c r="D993" s="3"/>
      <c r="E993" s="3">
        <v>10</v>
      </c>
      <c r="F993" s="4" t="str">
        <f>HYPERLINK("http://141.218.60.56/~jnz1568/getInfo.php?workbook=18_15.xlsx&amp;sheet=U0&amp;row=993&amp;col=6&amp;number=3.9&amp;sourceID=14","3.9")</f>
        <v>3.9</v>
      </c>
      <c r="G993" s="4" t="str">
        <f>HYPERLINK("http://141.218.60.56/~jnz1568/getInfo.php?workbook=18_15.xlsx&amp;sheet=U0&amp;row=993&amp;col=7&amp;number=0.746&amp;sourceID=14","0.746")</f>
        <v>0.746</v>
      </c>
    </row>
    <row r="994" spans="1:7">
      <c r="A994" s="3"/>
      <c r="B994" s="3"/>
      <c r="C994" s="3"/>
      <c r="D994" s="3"/>
      <c r="E994" s="3">
        <v>11</v>
      </c>
      <c r="F994" s="4" t="str">
        <f>HYPERLINK("http://141.218.60.56/~jnz1568/getInfo.php?workbook=18_15.xlsx&amp;sheet=U0&amp;row=994&amp;col=6&amp;number=4&amp;sourceID=14","4")</f>
        <v>4</v>
      </c>
      <c r="G994" s="4" t="str">
        <f>HYPERLINK("http://141.218.60.56/~jnz1568/getInfo.php?workbook=18_15.xlsx&amp;sheet=U0&amp;row=994&amp;col=7&amp;number=0.84&amp;sourceID=14","0.84")</f>
        <v>0.84</v>
      </c>
    </row>
    <row r="995" spans="1:7">
      <c r="A995" s="3"/>
      <c r="B995" s="3"/>
      <c r="C995" s="3"/>
      <c r="D995" s="3"/>
      <c r="E995" s="3">
        <v>12</v>
      </c>
      <c r="F995" s="4" t="str">
        <f>HYPERLINK("http://141.218.60.56/~jnz1568/getInfo.php?workbook=18_15.xlsx&amp;sheet=U0&amp;row=995&amp;col=6&amp;number=4.1&amp;sourceID=14","4.1")</f>
        <v>4.1</v>
      </c>
      <c r="G995" s="4" t="str">
        <f>HYPERLINK("http://141.218.60.56/~jnz1568/getInfo.php?workbook=18_15.xlsx&amp;sheet=U0&amp;row=995&amp;col=7&amp;number=0.923&amp;sourceID=14","0.923")</f>
        <v>0.923</v>
      </c>
    </row>
    <row r="996" spans="1:7">
      <c r="A996" s="3"/>
      <c r="B996" s="3"/>
      <c r="C996" s="3"/>
      <c r="D996" s="3"/>
      <c r="E996" s="3">
        <v>13</v>
      </c>
      <c r="F996" s="4" t="str">
        <f>HYPERLINK("http://141.218.60.56/~jnz1568/getInfo.php?workbook=18_15.xlsx&amp;sheet=U0&amp;row=996&amp;col=6&amp;number=4.2&amp;sourceID=14","4.2")</f>
        <v>4.2</v>
      </c>
      <c r="G996" s="4" t="str">
        <f>HYPERLINK("http://141.218.60.56/~jnz1568/getInfo.php?workbook=18_15.xlsx&amp;sheet=U0&amp;row=996&amp;col=7&amp;number=0.967&amp;sourceID=14","0.967")</f>
        <v>0.967</v>
      </c>
    </row>
    <row r="997" spans="1:7">
      <c r="A997" s="3"/>
      <c r="B997" s="3"/>
      <c r="C997" s="3"/>
      <c r="D997" s="3"/>
      <c r="E997" s="3">
        <v>14</v>
      </c>
      <c r="F997" s="4" t="str">
        <f>HYPERLINK("http://141.218.60.56/~jnz1568/getInfo.php?workbook=18_15.xlsx&amp;sheet=U0&amp;row=997&amp;col=6&amp;number=4.3&amp;sourceID=14","4.3")</f>
        <v>4.3</v>
      </c>
      <c r="G997" s="4" t="str">
        <f>HYPERLINK("http://141.218.60.56/~jnz1568/getInfo.php?workbook=18_15.xlsx&amp;sheet=U0&amp;row=997&amp;col=7&amp;number=0.964&amp;sourceID=14","0.964")</f>
        <v>0.964</v>
      </c>
    </row>
    <row r="998" spans="1:7">
      <c r="A998" s="3"/>
      <c r="B998" s="3"/>
      <c r="C998" s="3"/>
      <c r="D998" s="3"/>
      <c r="E998" s="3">
        <v>15</v>
      </c>
      <c r="F998" s="4" t="str">
        <f>HYPERLINK("http://141.218.60.56/~jnz1568/getInfo.php?workbook=18_15.xlsx&amp;sheet=U0&amp;row=998&amp;col=6&amp;number=4.4&amp;sourceID=14","4.4")</f>
        <v>4.4</v>
      </c>
      <c r="G998" s="4" t="str">
        <f>HYPERLINK("http://141.218.60.56/~jnz1568/getInfo.php?workbook=18_15.xlsx&amp;sheet=U0&amp;row=998&amp;col=7&amp;number=0.938&amp;sourceID=14","0.938")</f>
        <v>0.938</v>
      </c>
    </row>
    <row r="999" spans="1:7">
      <c r="A999" s="3"/>
      <c r="B999" s="3"/>
      <c r="C999" s="3"/>
      <c r="D999" s="3"/>
      <c r="E999" s="3">
        <v>16</v>
      </c>
      <c r="F999" s="4" t="str">
        <f>HYPERLINK("http://141.218.60.56/~jnz1568/getInfo.php?workbook=18_15.xlsx&amp;sheet=U0&amp;row=999&amp;col=6&amp;number=4.5&amp;sourceID=14","4.5")</f>
        <v>4.5</v>
      </c>
      <c r="G999" s="4" t="str">
        <f>HYPERLINK("http://141.218.60.56/~jnz1568/getInfo.php?workbook=18_15.xlsx&amp;sheet=U0&amp;row=999&amp;col=7&amp;number=0.919&amp;sourceID=14","0.919")</f>
        <v>0.919</v>
      </c>
    </row>
    <row r="1000" spans="1:7">
      <c r="A1000" s="3"/>
      <c r="B1000" s="3"/>
      <c r="C1000" s="3"/>
      <c r="D1000" s="3"/>
      <c r="E1000" s="3">
        <v>17</v>
      </c>
      <c r="F1000" s="4" t="str">
        <f>HYPERLINK("http://141.218.60.56/~jnz1568/getInfo.php?workbook=18_15.xlsx&amp;sheet=U0&amp;row=1000&amp;col=6&amp;number=4.6&amp;sourceID=14","4.6")</f>
        <v>4.6</v>
      </c>
      <c r="G1000" s="4" t="str">
        <f>HYPERLINK("http://141.218.60.56/~jnz1568/getInfo.php?workbook=18_15.xlsx&amp;sheet=U0&amp;row=1000&amp;col=7&amp;number=0.903&amp;sourceID=14","0.903")</f>
        <v>0.903</v>
      </c>
    </row>
    <row r="1001" spans="1:7">
      <c r="A1001" s="3"/>
      <c r="B1001" s="3"/>
      <c r="C1001" s="3"/>
      <c r="D1001" s="3"/>
      <c r="E1001" s="3">
        <v>18</v>
      </c>
      <c r="F1001" s="4" t="str">
        <f>HYPERLINK("http://141.218.60.56/~jnz1568/getInfo.php?workbook=18_15.xlsx&amp;sheet=U0&amp;row=1001&amp;col=6&amp;number=4.7&amp;sourceID=14","4.7")</f>
        <v>4.7</v>
      </c>
      <c r="G1001" s="4" t="str">
        <f>HYPERLINK("http://141.218.60.56/~jnz1568/getInfo.php?workbook=18_15.xlsx&amp;sheet=U0&amp;row=1001&amp;col=7&amp;number=0.875&amp;sourceID=14","0.875")</f>
        <v>0.875</v>
      </c>
    </row>
    <row r="1002" spans="1:7">
      <c r="A1002" s="3"/>
      <c r="B1002" s="3"/>
      <c r="C1002" s="3"/>
      <c r="D1002" s="3"/>
      <c r="E1002" s="3">
        <v>19</v>
      </c>
      <c r="F1002" s="4" t="str">
        <f>HYPERLINK("http://141.218.60.56/~jnz1568/getInfo.php?workbook=18_15.xlsx&amp;sheet=U0&amp;row=1002&amp;col=6&amp;number=4.8&amp;sourceID=14","4.8")</f>
        <v>4.8</v>
      </c>
      <c r="G1002" s="4" t="str">
        <f>HYPERLINK("http://141.218.60.56/~jnz1568/getInfo.php?workbook=18_15.xlsx&amp;sheet=U0&amp;row=1002&amp;col=7&amp;number=0.836&amp;sourceID=14","0.836")</f>
        <v>0.836</v>
      </c>
    </row>
    <row r="1003" spans="1:7">
      <c r="A1003" s="3"/>
      <c r="B1003" s="3"/>
      <c r="C1003" s="3"/>
      <c r="D1003" s="3"/>
      <c r="E1003" s="3">
        <v>20</v>
      </c>
      <c r="F1003" s="4" t="str">
        <f>HYPERLINK("http://141.218.60.56/~jnz1568/getInfo.php?workbook=18_15.xlsx&amp;sheet=U0&amp;row=1003&amp;col=6&amp;number=4.9&amp;sourceID=14","4.9")</f>
        <v>4.9</v>
      </c>
      <c r="G1003" s="4" t="str">
        <f>HYPERLINK("http://141.218.60.56/~jnz1568/getInfo.php?workbook=18_15.xlsx&amp;sheet=U0&amp;row=1003&amp;col=7&amp;number=0.795&amp;sourceID=14","0.795")</f>
        <v>0.795</v>
      </c>
    </row>
    <row r="1004" spans="1:7">
      <c r="A1004" s="3">
        <v>18</v>
      </c>
      <c r="B1004" s="3">
        <v>15</v>
      </c>
      <c r="C1004" s="3">
        <v>2</v>
      </c>
      <c r="D1004" s="3">
        <v>25</v>
      </c>
      <c r="E1004" s="3">
        <v>1</v>
      </c>
      <c r="F1004" s="4" t="str">
        <f>HYPERLINK("http://141.218.60.56/~jnz1568/getInfo.php?workbook=18_15.xlsx&amp;sheet=U0&amp;row=1004&amp;col=6&amp;number=3&amp;sourceID=14","3")</f>
        <v>3</v>
      </c>
      <c r="G1004" s="4" t="str">
        <f>HYPERLINK("http://141.218.60.56/~jnz1568/getInfo.php?workbook=18_15.xlsx&amp;sheet=U0&amp;row=1004&amp;col=7&amp;number=0.439&amp;sourceID=14","0.439")</f>
        <v>0.439</v>
      </c>
    </row>
    <row r="1005" spans="1:7">
      <c r="A1005" s="3"/>
      <c r="B1005" s="3"/>
      <c r="C1005" s="3"/>
      <c r="D1005" s="3"/>
      <c r="E1005" s="3">
        <v>2</v>
      </c>
      <c r="F1005" s="4" t="str">
        <f>HYPERLINK("http://141.218.60.56/~jnz1568/getInfo.php?workbook=18_15.xlsx&amp;sheet=U0&amp;row=1005&amp;col=6&amp;number=3.1&amp;sourceID=14","3.1")</f>
        <v>3.1</v>
      </c>
      <c r="G1005" s="4" t="str">
        <f>HYPERLINK("http://141.218.60.56/~jnz1568/getInfo.php?workbook=18_15.xlsx&amp;sheet=U0&amp;row=1005&amp;col=7&amp;number=0.453&amp;sourceID=14","0.453")</f>
        <v>0.453</v>
      </c>
    </row>
    <row r="1006" spans="1:7">
      <c r="A1006" s="3"/>
      <c r="B1006" s="3"/>
      <c r="C1006" s="3"/>
      <c r="D1006" s="3"/>
      <c r="E1006" s="3">
        <v>3</v>
      </c>
      <c r="F1006" s="4" t="str">
        <f>HYPERLINK("http://141.218.60.56/~jnz1568/getInfo.php?workbook=18_15.xlsx&amp;sheet=U0&amp;row=1006&amp;col=6&amp;number=3.2&amp;sourceID=14","3.2")</f>
        <v>3.2</v>
      </c>
      <c r="G1006" s="4" t="str">
        <f>HYPERLINK("http://141.218.60.56/~jnz1568/getInfo.php?workbook=18_15.xlsx&amp;sheet=U0&amp;row=1006&amp;col=7&amp;number=0.47&amp;sourceID=14","0.47")</f>
        <v>0.47</v>
      </c>
    </row>
    <row r="1007" spans="1:7">
      <c r="A1007" s="3"/>
      <c r="B1007" s="3"/>
      <c r="C1007" s="3"/>
      <c r="D1007" s="3"/>
      <c r="E1007" s="3">
        <v>4</v>
      </c>
      <c r="F1007" s="4" t="str">
        <f>HYPERLINK("http://141.218.60.56/~jnz1568/getInfo.php?workbook=18_15.xlsx&amp;sheet=U0&amp;row=1007&amp;col=6&amp;number=3.3&amp;sourceID=14","3.3")</f>
        <v>3.3</v>
      </c>
      <c r="G1007" s="4" t="str">
        <f>HYPERLINK("http://141.218.60.56/~jnz1568/getInfo.php?workbook=18_15.xlsx&amp;sheet=U0&amp;row=1007&amp;col=7&amp;number=0.49&amp;sourceID=14","0.49")</f>
        <v>0.49</v>
      </c>
    </row>
    <row r="1008" spans="1:7">
      <c r="A1008" s="3"/>
      <c r="B1008" s="3"/>
      <c r="C1008" s="3"/>
      <c r="D1008" s="3"/>
      <c r="E1008" s="3">
        <v>5</v>
      </c>
      <c r="F1008" s="4" t="str">
        <f>HYPERLINK("http://141.218.60.56/~jnz1568/getInfo.php?workbook=18_15.xlsx&amp;sheet=U0&amp;row=1008&amp;col=6&amp;number=3.4&amp;sourceID=14","3.4")</f>
        <v>3.4</v>
      </c>
      <c r="G1008" s="4" t="str">
        <f>HYPERLINK("http://141.218.60.56/~jnz1568/getInfo.php?workbook=18_15.xlsx&amp;sheet=U0&amp;row=1008&amp;col=7&amp;number=0.516&amp;sourceID=14","0.516")</f>
        <v>0.516</v>
      </c>
    </row>
    <row r="1009" spans="1:7">
      <c r="A1009" s="3"/>
      <c r="B1009" s="3"/>
      <c r="C1009" s="3"/>
      <c r="D1009" s="3"/>
      <c r="E1009" s="3">
        <v>6</v>
      </c>
      <c r="F1009" s="4" t="str">
        <f>HYPERLINK("http://141.218.60.56/~jnz1568/getInfo.php?workbook=18_15.xlsx&amp;sheet=U0&amp;row=1009&amp;col=6&amp;number=3.5&amp;sourceID=14","3.5")</f>
        <v>3.5</v>
      </c>
      <c r="G1009" s="4" t="str">
        <f>HYPERLINK("http://141.218.60.56/~jnz1568/getInfo.php?workbook=18_15.xlsx&amp;sheet=U0&amp;row=1009&amp;col=7&amp;number=0.547&amp;sourceID=14","0.547")</f>
        <v>0.547</v>
      </c>
    </row>
    <row r="1010" spans="1:7">
      <c r="A1010" s="3"/>
      <c r="B1010" s="3"/>
      <c r="C1010" s="3"/>
      <c r="D1010" s="3"/>
      <c r="E1010" s="3">
        <v>7</v>
      </c>
      <c r="F1010" s="4" t="str">
        <f>HYPERLINK("http://141.218.60.56/~jnz1568/getInfo.php?workbook=18_15.xlsx&amp;sheet=U0&amp;row=1010&amp;col=6&amp;number=3.6&amp;sourceID=14","3.6")</f>
        <v>3.6</v>
      </c>
      <c r="G1010" s="4" t="str">
        <f>HYPERLINK("http://141.218.60.56/~jnz1568/getInfo.php?workbook=18_15.xlsx&amp;sheet=U0&amp;row=1010&amp;col=7&amp;number=0.585&amp;sourceID=14","0.585")</f>
        <v>0.585</v>
      </c>
    </row>
    <row r="1011" spans="1:7">
      <c r="A1011" s="3"/>
      <c r="B1011" s="3"/>
      <c r="C1011" s="3"/>
      <c r="D1011" s="3"/>
      <c r="E1011" s="3">
        <v>8</v>
      </c>
      <c r="F1011" s="4" t="str">
        <f>HYPERLINK("http://141.218.60.56/~jnz1568/getInfo.php?workbook=18_15.xlsx&amp;sheet=U0&amp;row=1011&amp;col=6&amp;number=3.7&amp;sourceID=14","3.7")</f>
        <v>3.7</v>
      </c>
      <c r="G1011" s="4" t="str">
        <f>HYPERLINK("http://141.218.60.56/~jnz1568/getInfo.php?workbook=18_15.xlsx&amp;sheet=U0&amp;row=1011&amp;col=7&amp;number=0.631&amp;sourceID=14","0.631")</f>
        <v>0.631</v>
      </c>
    </row>
    <row r="1012" spans="1:7">
      <c r="A1012" s="3"/>
      <c r="B1012" s="3"/>
      <c r="C1012" s="3"/>
      <c r="D1012" s="3"/>
      <c r="E1012" s="3">
        <v>9</v>
      </c>
      <c r="F1012" s="4" t="str">
        <f>HYPERLINK("http://141.218.60.56/~jnz1568/getInfo.php?workbook=18_15.xlsx&amp;sheet=U0&amp;row=1012&amp;col=6&amp;number=3.8&amp;sourceID=14","3.8")</f>
        <v>3.8</v>
      </c>
      <c r="G1012" s="4" t="str">
        <f>HYPERLINK("http://141.218.60.56/~jnz1568/getInfo.php?workbook=18_15.xlsx&amp;sheet=U0&amp;row=1012&amp;col=7&amp;number=0.685&amp;sourceID=14","0.685")</f>
        <v>0.685</v>
      </c>
    </row>
    <row r="1013" spans="1:7">
      <c r="A1013" s="3"/>
      <c r="B1013" s="3"/>
      <c r="C1013" s="3"/>
      <c r="D1013" s="3"/>
      <c r="E1013" s="3">
        <v>10</v>
      </c>
      <c r="F1013" s="4" t="str">
        <f>HYPERLINK("http://141.218.60.56/~jnz1568/getInfo.php?workbook=18_15.xlsx&amp;sheet=U0&amp;row=1013&amp;col=6&amp;number=3.9&amp;sourceID=14","3.9")</f>
        <v>3.9</v>
      </c>
      <c r="G1013" s="4" t="str">
        <f>HYPERLINK("http://141.218.60.56/~jnz1568/getInfo.php?workbook=18_15.xlsx&amp;sheet=U0&amp;row=1013&amp;col=7&amp;number=0.747&amp;sourceID=14","0.747")</f>
        <v>0.747</v>
      </c>
    </row>
    <row r="1014" spans="1:7">
      <c r="A1014" s="3"/>
      <c r="B1014" s="3"/>
      <c r="C1014" s="3"/>
      <c r="D1014" s="3"/>
      <c r="E1014" s="3">
        <v>11</v>
      </c>
      <c r="F1014" s="4" t="str">
        <f>HYPERLINK("http://141.218.60.56/~jnz1568/getInfo.php?workbook=18_15.xlsx&amp;sheet=U0&amp;row=1014&amp;col=6&amp;number=4&amp;sourceID=14","4")</f>
        <v>4</v>
      </c>
      <c r="G1014" s="4" t="str">
        <f>HYPERLINK("http://141.218.60.56/~jnz1568/getInfo.php?workbook=18_15.xlsx&amp;sheet=U0&amp;row=1014&amp;col=7&amp;number=0.816&amp;sourceID=14","0.816")</f>
        <v>0.816</v>
      </c>
    </row>
    <row r="1015" spans="1:7">
      <c r="A1015" s="3"/>
      <c r="B1015" s="3"/>
      <c r="C1015" s="3"/>
      <c r="D1015" s="3"/>
      <c r="E1015" s="3">
        <v>12</v>
      </c>
      <c r="F1015" s="4" t="str">
        <f>HYPERLINK("http://141.218.60.56/~jnz1568/getInfo.php?workbook=18_15.xlsx&amp;sheet=U0&amp;row=1015&amp;col=6&amp;number=4.1&amp;sourceID=14","4.1")</f>
        <v>4.1</v>
      </c>
      <c r="G1015" s="4" t="str">
        <f>HYPERLINK("http://141.218.60.56/~jnz1568/getInfo.php?workbook=18_15.xlsx&amp;sheet=U0&amp;row=1015&amp;col=7&amp;number=0.889&amp;sourceID=14","0.889")</f>
        <v>0.889</v>
      </c>
    </row>
    <row r="1016" spans="1:7">
      <c r="A1016" s="3"/>
      <c r="B1016" s="3"/>
      <c r="C1016" s="3"/>
      <c r="D1016" s="3"/>
      <c r="E1016" s="3">
        <v>13</v>
      </c>
      <c r="F1016" s="4" t="str">
        <f>HYPERLINK("http://141.218.60.56/~jnz1568/getInfo.php?workbook=18_15.xlsx&amp;sheet=U0&amp;row=1016&amp;col=6&amp;number=4.2&amp;sourceID=14","4.2")</f>
        <v>4.2</v>
      </c>
      <c r="G1016" s="4" t="str">
        <f>HYPERLINK("http://141.218.60.56/~jnz1568/getInfo.php?workbook=18_15.xlsx&amp;sheet=U0&amp;row=1016&amp;col=7&amp;number=0.96&amp;sourceID=14","0.96")</f>
        <v>0.96</v>
      </c>
    </row>
    <row r="1017" spans="1:7">
      <c r="A1017" s="3"/>
      <c r="B1017" s="3"/>
      <c r="C1017" s="3"/>
      <c r="D1017" s="3"/>
      <c r="E1017" s="3">
        <v>14</v>
      </c>
      <c r="F1017" s="4" t="str">
        <f>HYPERLINK("http://141.218.60.56/~jnz1568/getInfo.php?workbook=18_15.xlsx&amp;sheet=U0&amp;row=1017&amp;col=6&amp;number=4.3&amp;sourceID=14","4.3")</f>
        <v>4.3</v>
      </c>
      <c r="G1017" s="4" t="str">
        <f>HYPERLINK("http://141.218.60.56/~jnz1568/getInfo.php?workbook=18_15.xlsx&amp;sheet=U0&amp;row=1017&amp;col=7&amp;number=1.02&amp;sourceID=14","1.02")</f>
        <v>1.02</v>
      </c>
    </row>
    <row r="1018" spans="1:7">
      <c r="A1018" s="3"/>
      <c r="B1018" s="3"/>
      <c r="C1018" s="3"/>
      <c r="D1018" s="3"/>
      <c r="E1018" s="3">
        <v>15</v>
      </c>
      <c r="F1018" s="4" t="str">
        <f>HYPERLINK("http://141.218.60.56/~jnz1568/getInfo.php?workbook=18_15.xlsx&amp;sheet=U0&amp;row=1018&amp;col=6&amp;number=4.4&amp;sourceID=14","4.4")</f>
        <v>4.4</v>
      </c>
      <c r="G1018" s="4" t="str">
        <f>HYPERLINK("http://141.218.60.56/~jnz1568/getInfo.php?workbook=18_15.xlsx&amp;sheet=U0&amp;row=1018&amp;col=7&amp;number=1.06&amp;sourceID=14","1.06")</f>
        <v>1.06</v>
      </c>
    </row>
    <row r="1019" spans="1:7">
      <c r="A1019" s="3"/>
      <c r="B1019" s="3"/>
      <c r="C1019" s="3"/>
      <c r="D1019" s="3"/>
      <c r="E1019" s="3">
        <v>16</v>
      </c>
      <c r="F1019" s="4" t="str">
        <f>HYPERLINK("http://141.218.60.56/~jnz1568/getInfo.php?workbook=18_15.xlsx&amp;sheet=U0&amp;row=1019&amp;col=6&amp;number=4.5&amp;sourceID=14","4.5")</f>
        <v>4.5</v>
      </c>
      <c r="G1019" s="4" t="str">
        <f>HYPERLINK("http://141.218.60.56/~jnz1568/getInfo.php?workbook=18_15.xlsx&amp;sheet=U0&amp;row=1019&amp;col=7&amp;number=1.08&amp;sourceID=14","1.08")</f>
        <v>1.08</v>
      </c>
    </row>
    <row r="1020" spans="1:7">
      <c r="A1020" s="3"/>
      <c r="B1020" s="3"/>
      <c r="C1020" s="3"/>
      <c r="D1020" s="3"/>
      <c r="E1020" s="3">
        <v>17</v>
      </c>
      <c r="F1020" s="4" t="str">
        <f>HYPERLINK("http://141.218.60.56/~jnz1568/getInfo.php?workbook=18_15.xlsx&amp;sheet=U0&amp;row=1020&amp;col=6&amp;number=4.6&amp;sourceID=14","4.6")</f>
        <v>4.6</v>
      </c>
      <c r="G1020" s="4" t="str">
        <f>HYPERLINK("http://141.218.60.56/~jnz1568/getInfo.php?workbook=18_15.xlsx&amp;sheet=U0&amp;row=1020&amp;col=7&amp;number=1.08&amp;sourceID=14","1.08")</f>
        <v>1.08</v>
      </c>
    </row>
    <row r="1021" spans="1:7">
      <c r="A1021" s="3"/>
      <c r="B1021" s="3"/>
      <c r="C1021" s="3"/>
      <c r="D1021" s="3"/>
      <c r="E1021" s="3">
        <v>18</v>
      </c>
      <c r="F1021" s="4" t="str">
        <f>HYPERLINK("http://141.218.60.56/~jnz1568/getInfo.php?workbook=18_15.xlsx&amp;sheet=U0&amp;row=1021&amp;col=6&amp;number=4.7&amp;sourceID=14","4.7")</f>
        <v>4.7</v>
      </c>
      <c r="G1021" s="4" t="str">
        <f>HYPERLINK("http://141.218.60.56/~jnz1568/getInfo.php?workbook=18_15.xlsx&amp;sheet=U0&amp;row=1021&amp;col=7&amp;number=1.07&amp;sourceID=14","1.07")</f>
        <v>1.07</v>
      </c>
    </row>
    <row r="1022" spans="1:7">
      <c r="A1022" s="3"/>
      <c r="B1022" s="3"/>
      <c r="C1022" s="3"/>
      <c r="D1022" s="3"/>
      <c r="E1022" s="3">
        <v>19</v>
      </c>
      <c r="F1022" s="4" t="str">
        <f>HYPERLINK("http://141.218.60.56/~jnz1568/getInfo.php?workbook=18_15.xlsx&amp;sheet=U0&amp;row=1022&amp;col=6&amp;number=4.8&amp;sourceID=14","4.8")</f>
        <v>4.8</v>
      </c>
      <c r="G1022" s="4" t="str">
        <f>HYPERLINK("http://141.218.60.56/~jnz1568/getInfo.php?workbook=18_15.xlsx&amp;sheet=U0&amp;row=1022&amp;col=7&amp;number=1.04&amp;sourceID=14","1.04")</f>
        <v>1.04</v>
      </c>
    </row>
    <row r="1023" spans="1:7">
      <c r="A1023" s="3"/>
      <c r="B1023" s="3"/>
      <c r="C1023" s="3"/>
      <c r="D1023" s="3"/>
      <c r="E1023" s="3">
        <v>20</v>
      </c>
      <c r="F1023" s="4" t="str">
        <f>HYPERLINK("http://141.218.60.56/~jnz1568/getInfo.php?workbook=18_15.xlsx&amp;sheet=U0&amp;row=1023&amp;col=6&amp;number=4.9&amp;sourceID=14","4.9")</f>
        <v>4.9</v>
      </c>
      <c r="G1023" s="4" t="str">
        <f>HYPERLINK("http://141.218.60.56/~jnz1568/getInfo.php?workbook=18_15.xlsx&amp;sheet=U0&amp;row=1023&amp;col=7&amp;number=1&amp;sourceID=14","1")</f>
        <v>1</v>
      </c>
    </row>
    <row r="1024" spans="1:7">
      <c r="A1024" s="3">
        <v>18</v>
      </c>
      <c r="B1024" s="3">
        <v>15</v>
      </c>
      <c r="C1024" s="3">
        <v>2</v>
      </c>
      <c r="D1024" s="3">
        <v>26</v>
      </c>
      <c r="E1024" s="3">
        <v>1</v>
      </c>
      <c r="F1024" s="4" t="str">
        <f>HYPERLINK("http://141.218.60.56/~jnz1568/getInfo.php?workbook=18_15.xlsx&amp;sheet=U0&amp;row=1024&amp;col=6&amp;number=3&amp;sourceID=14","3")</f>
        <v>3</v>
      </c>
      <c r="G1024" s="4" t="str">
        <f>HYPERLINK("http://141.218.60.56/~jnz1568/getInfo.php?workbook=18_15.xlsx&amp;sheet=U0&amp;row=1024&amp;col=7&amp;number=0.131&amp;sourceID=14","0.131")</f>
        <v>0.131</v>
      </c>
    </row>
    <row r="1025" spans="1:7">
      <c r="A1025" s="3"/>
      <c r="B1025" s="3"/>
      <c r="C1025" s="3"/>
      <c r="D1025" s="3"/>
      <c r="E1025" s="3">
        <v>2</v>
      </c>
      <c r="F1025" s="4" t="str">
        <f>HYPERLINK("http://141.218.60.56/~jnz1568/getInfo.php?workbook=18_15.xlsx&amp;sheet=U0&amp;row=1025&amp;col=6&amp;number=3.1&amp;sourceID=14","3.1")</f>
        <v>3.1</v>
      </c>
      <c r="G1025" s="4" t="str">
        <f>HYPERLINK("http://141.218.60.56/~jnz1568/getInfo.php?workbook=18_15.xlsx&amp;sheet=U0&amp;row=1025&amp;col=7&amp;number=0.13&amp;sourceID=14","0.13")</f>
        <v>0.13</v>
      </c>
    </row>
    <row r="1026" spans="1:7">
      <c r="A1026" s="3"/>
      <c r="B1026" s="3"/>
      <c r="C1026" s="3"/>
      <c r="D1026" s="3"/>
      <c r="E1026" s="3">
        <v>3</v>
      </c>
      <c r="F1026" s="4" t="str">
        <f>HYPERLINK("http://141.218.60.56/~jnz1568/getInfo.php?workbook=18_15.xlsx&amp;sheet=U0&amp;row=1026&amp;col=6&amp;number=3.2&amp;sourceID=14","3.2")</f>
        <v>3.2</v>
      </c>
      <c r="G1026" s="4" t="str">
        <f>HYPERLINK("http://141.218.60.56/~jnz1568/getInfo.php?workbook=18_15.xlsx&amp;sheet=U0&amp;row=1026&amp;col=7&amp;number=0.129&amp;sourceID=14","0.129")</f>
        <v>0.129</v>
      </c>
    </row>
    <row r="1027" spans="1:7">
      <c r="A1027" s="3"/>
      <c r="B1027" s="3"/>
      <c r="C1027" s="3"/>
      <c r="D1027" s="3"/>
      <c r="E1027" s="3">
        <v>4</v>
      </c>
      <c r="F1027" s="4" t="str">
        <f>HYPERLINK("http://141.218.60.56/~jnz1568/getInfo.php?workbook=18_15.xlsx&amp;sheet=U0&amp;row=1027&amp;col=6&amp;number=3.3&amp;sourceID=14","3.3")</f>
        <v>3.3</v>
      </c>
      <c r="G1027" s="4" t="str">
        <f>HYPERLINK("http://141.218.60.56/~jnz1568/getInfo.php?workbook=18_15.xlsx&amp;sheet=U0&amp;row=1027&amp;col=7&amp;number=0.128&amp;sourceID=14","0.128")</f>
        <v>0.128</v>
      </c>
    </row>
    <row r="1028" spans="1:7">
      <c r="A1028" s="3"/>
      <c r="B1028" s="3"/>
      <c r="C1028" s="3"/>
      <c r="D1028" s="3"/>
      <c r="E1028" s="3">
        <v>5</v>
      </c>
      <c r="F1028" s="4" t="str">
        <f>HYPERLINK("http://141.218.60.56/~jnz1568/getInfo.php?workbook=18_15.xlsx&amp;sheet=U0&amp;row=1028&amp;col=6&amp;number=3.4&amp;sourceID=14","3.4")</f>
        <v>3.4</v>
      </c>
      <c r="G1028" s="4" t="str">
        <f>HYPERLINK("http://141.218.60.56/~jnz1568/getInfo.php?workbook=18_15.xlsx&amp;sheet=U0&amp;row=1028&amp;col=7&amp;number=0.126&amp;sourceID=14","0.126")</f>
        <v>0.126</v>
      </c>
    </row>
    <row r="1029" spans="1:7">
      <c r="A1029" s="3"/>
      <c r="B1029" s="3"/>
      <c r="C1029" s="3"/>
      <c r="D1029" s="3"/>
      <c r="E1029" s="3">
        <v>6</v>
      </c>
      <c r="F1029" s="4" t="str">
        <f>HYPERLINK("http://141.218.60.56/~jnz1568/getInfo.php?workbook=18_15.xlsx&amp;sheet=U0&amp;row=1029&amp;col=6&amp;number=3.5&amp;sourceID=14","3.5")</f>
        <v>3.5</v>
      </c>
      <c r="G1029" s="4" t="str">
        <f>HYPERLINK("http://141.218.60.56/~jnz1568/getInfo.php?workbook=18_15.xlsx&amp;sheet=U0&amp;row=1029&amp;col=7&amp;number=0.124&amp;sourceID=14","0.124")</f>
        <v>0.124</v>
      </c>
    </row>
    <row r="1030" spans="1:7">
      <c r="A1030" s="3"/>
      <c r="B1030" s="3"/>
      <c r="C1030" s="3"/>
      <c r="D1030" s="3"/>
      <c r="E1030" s="3">
        <v>7</v>
      </c>
      <c r="F1030" s="4" t="str">
        <f>HYPERLINK("http://141.218.60.56/~jnz1568/getInfo.php?workbook=18_15.xlsx&amp;sheet=U0&amp;row=1030&amp;col=6&amp;number=3.6&amp;sourceID=14","3.6")</f>
        <v>3.6</v>
      </c>
      <c r="G1030" s="4" t="str">
        <f>HYPERLINK("http://141.218.60.56/~jnz1568/getInfo.php?workbook=18_15.xlsx&amp;sheet=U0&amp;row=1030&amp;col=7&amp;number=0.122&amp;sourceID=14","0.122")</f>
        <v>0.122</v>
      </c>
    </row>
    <row r="1031" spans="1:7">
      <c r="A1031" s="3"/>
      <c r="B1031" s="3"/>
      <c r="C1031" s="3"/>
      <c r="D1031" s="3"/>
      <c r="E1031" s="3">
        <v>8</v>
      </c>
      <c r="F1031" s="4" t="str">
        <f>HYPERLINK("http://141.218.60.56/~jnz1568/getInfo.php?workbook=18_15.xlsx&amp;sheet=U0&amp;row=1031&amp;col=6&amp;number=3.7&amp;sourceID=14","3.7")</f>
        <v>3.7</v>
      </c>
      <c r="G1031" s="4" t="str">
        <f>HYPERLINK("http://141.218.60.56/~jnz1568/getInfo.php?workbook=18_15.xlsx&amp;sheet=U0&amp;row=1031&amp;col=7&amp;number=0.12&amp;sourceID=14","0.12")</f>
        <v>0.12</v>
      </c>
    </row>
    <row r="1032" spans="1:7">
      <c r="A1032" s="3"/>
      <c r="B1032" s="3"/>
      <c r="C1032" s="3"/>
      <c r="D1032" s="3"/>
      <c r="E1032" s="3">
        <v>9</v>
      </c>
      <c r="F1032" s="4" t="str">
        <f>HYPERLINK("http://141.218.60.56/~jnz1568/getInfo.php?workbook=18_15.xlsx&amp;sheet=U0&amp;row=1032&amp;col=6&amp;number=3.8&amp;sourceID=14","3.8")</f>
        <v>3.8</v>
      </c>
      <c r="G1032" s="4" t="str">
        <f>HYPERLINK("http://141.218.60.56/~jnz1568/getInfo.php?workbook=18_15.xlsx&amp;sheet=U0&amp;row=1032&amp;col=7&amp;number=0.118&amp;sourceID=14","0.118")</f>
        <v>0.118</v>
      </c>
    </row>
    <row r="1033" spans="1:7">
      <c r="A1033" s="3"/>
      <c r="B1033" s="3"/>
      <c r="C1033" s="3"/>
      <c r="D1033" s="3"/>
      <c r="E1033" s="3">
        <v>10</v>
      </c>
      <c r="F1033" s="4" t="str">
        <f>HYPERLINK("http://141.218.60.56/~jnz1568/getInfo.php?workbook=18_15.xlsx&amp;sheet=U0&amp;row=1033&amp;col=6&amp;number=3.9&amp;sourceID=14","3.9")</f>
        <v>3.9</v>
      </c>
      <c r="G1033" s="4" t="str">
        <f>HYPERLINK("http://141.218.60.56/~jnz1568/getInfo.php?workbook=18_15.xlsx&amp;sheet=U0&amp;row=1033&amp;col=7&amp;number=0.116&amp;sourceID=14","0.116")</f>
        <v>0.116</v>
      </c>
    </row>
    <row r="1034" spans="1:7">
      <c r="A1034" s="3"/>
      <c r="B1034" s="3"/>
      <c r="C1034" s="3"/>
      <c r="D1034" s="3"/>
      <c r="E1034" s="3">
        <v>11</v>
      </c>
      <c r="F1034" s="4" t="str">
        <f>HYPERLINK("http://141.218.60.56/~jnz1568/getInfo.php?workbook=18_15.xlsx&amp;sheet=U0&amp;row=1034&amp;col=6&amp;number=4&amp;sourceID=14","4")</f>
        <v>4</v>
      </c>
      <c r="G1034" s="4" t="str">
        <f>HYPERLINK("http://141.218.60.56/~jnz1568/getInfo.php?workbook=18_15.xlsx&amp;sheet=U0&amp;row=1034&amp;col=7&amp;number=0.114&amp;sourceID=14","0.114")</f>
        <v>0.114</v>
      </c>
    </row>
    <row r="1035" spans="1:7">
      <c r="A1035" s="3"/>
      <c r="B1035" s="3"/>
      <c r="C1035" s="3"/>
      <c r="D1035" s="3"/>
      <c r="E1035" s="3">
        <v>12</v>
      </c>
      <c r="F1035" s="4" t="str">
        <f>HYPERLINK("http://141.218.60.56/~jnz1568/getInfo.php?workbook=18_15.xlsx&amp;sheet=U0&amp;row=1035&amp;col=6&amp;number=4.1&amp;sourceID=14","4.1")</f>
        <v>4.1</v>
      </c>
      <c r="G1035" s="4" t="str">
        <f>HYPERLINK("http://141.218.60.56/~jnz1568/getInfo.php?workbook=18_15.xlsx&amp;sheet=U0&amp;row=1035&amp;col=7&amp;number=0.115&amp;sourceID=14","0.115")</f>
        <v>0.115</v>
      </c>
    </row>
    <row r="1036" spans="1:7">
      <c r="A1036" s="3"/>
      <c r="B1036" s="3"/>
      <c r="C1036" s="3"/>
      <c r="D1036" s="3"/>
      <c r="E1036" s="3">
        <v>13</v>
      </c>
      <c r="F1036" s="4" t="str">
        <f>HYPERLINK("http://141.218.60.56/~jnz1568/getInfo.php?workbook=18_15.xlsx&amp;sheet=U0&amp;row=1036&amp;col=6&amp;number=4.2&amp;sourceID=14","4.2")</f>
        <v>4.2</v>
      </c>
      <c r="G1036" s="4" t="str">
        <f>HYPERLINK("http://141.218.60.56/~jnz1568/getInfo.php?workbook=18_15.xlsx&amp;sheet=U0&amp;row=1036&amp;col=7&amp;number=0.116&amp;sourceID=14","0.116")</f>
        <v>0.116</v>
      </c>
    </row>
    <row r="1037" spans="1:7">
      <c r="A1037" s="3"/>
      <c r="B1037" s="3"/>
      <c r="C1037" s="3"/>
      <c r="D1037" s="3"/>
      <c r="E1037" s="3">
        <v>14</v>
      </c>
      <c r="F1037" s="4" t="str">
        <f>HYPERLINK("http://141.218.60.56/~jnz1568/getInfo.php?workbook=18_15.xlsx&amp;sheet=U0&amp;row=1037&amp;col=6&amp;number=4.3&amp;sourceID=14","4.3")</f>
        <v>4.3</v>
      </c>
      <c r="G1037" s="4" t="str">
        <f>HYPERLINK("http://141.218.60.56/~jnz1568/getInfo.php?workbook=18_15.xlsx&amp;sheet=U0&amp;row=1037&amp;col=7&amp;number=0.118&amp;sourceID=14","0.118")</f>
        <v>0.118</v>
      </c>
    </row>
    <row r="1038" spans="1:7">
      <c r="A1038" s="3"/>
      <c r="B1038" s="3"/>
      <c r="C1038" s="3"/>
      <c r="D1038" s="3"/>
      <c r="E1038" s="3">
        <v>15</v>
      </c>
      <c r="F1038" s="4" t="str">
        <f>HYPERLINK("http://141.218.60.56/~jnz1568/getInfo.php?workbook=18_15.xlsx&amp;sheet=U0&amp;row=1038&amp;col=6&amp;number=4.4&amp;sourceID=14","4.4")</f>
        <v>4.4</v>
      </c>
      <c r="G1038" s="4" t="str">
        <f>HYPERLINK("http://141.218.60.56/~jnz1568/getInfo.php?workbook=18_15.xlsx&amp;sheet=U0&amp;row=1038&amp;col=7&amp;number=0.119&amp;sourceID=14","0.119")</f>
        <v>0.119</v>
      </c>
    </row>
    <row r="1039" spans="1:7">
      <c r="A1039" s="3"/>
      <c r="B1039" s="3"/>
      <c r="C1039" s="3"/>
      <c r="D1039" s="3"/>
      <c r="E1039" s="3">
        <v>16</v>
      </c>
      <c r="F1039" s="4" t="str">
        <f>HYPERLINK("http://141.218.60.56/~jnz1568/getInfo.php?workbook=18_15.xlsx&amp;sheet=U0&amp;row=1039&amp;col=6&amp;number=4.5&amp;sourceID=14","4.5")</f>
        <v>4.5</v>
      </c>
      <c r="G1039" s="4" t="str">
        <f>HYPERLINK("http://141.218.60.56/~jnz1568/getInfo.php?workbook=18_15.xlsx&amp;sheet=U0&amp;row=1039&amp;col=7&amp;number=0.12&amp;sourceID=14","0.12")</f>
        <v>0.12</v>
      </c>
    </row>
    <row r="1040" spans="1:7">
      <c r="A1040" s="3"/>
      <c r="B1040" s="3"/>
      <c r="C1040" s="3"/>
      <c r="D1040" s="3"/>
      <c r="E1040" s="3">
        <v>17</v>
      </c>
      <c r="F1040" s="4" t="str">
        <f>HYPERLINK("http://141.218.60.56/~jnz1568/getInfo.php?workbook=18_15.xlsx&amp;sheet=U0&amp;row=1040&amp;col=6&amp;number=4.6&amp;sourceID=14","4.6")</f>
        <v>4.6</v>
      </c>
      <c r="G1040" s="4" t="str">
        <f>HYPERLINK("http://141.218.60.56/~jnz1568/getInfo.php?workbook=18_15.xlsx&amp;sheet=U0&amp;row=1040&amp;col=7&amp;number=0.12&amp;sourceID=14","0.12")</f>
        <v>0.12</v>
      </c>
    </row>
    <row r="1041" spans="1:7">
      <c r="A1041" s="3"/>
      <c r="B1041" s="3"/>
      <c r="C1041" s="3"/>
      <c r="D1041" s="3"/>
      <c r="E1041" s="3">
        <v>18</v>
      </c>
      <c r="F1041" s="4" t="str">
        <f>HYPERLINK("http://141.218.60.56/~jnz1568/getInfo.php?workbook=18_15.xlsx&amp;sheet=U0&amp;row=1041&amp;col=6&amp;number=4.7&amp;sourceID=14","4.7")</f>
        <v>4.7</v>
      </c>
      <c r="G1041" s="4" t="str">
        <f>HYPERLINK("http://141.218.60.56/~jnz1568/getInfo.php?workbook=18_15.xlsx&amp;sheet=U0&amp;row=1041&amp;col=7&amp;number=0.12&amp;sourceID=14","0.12")</f>
        <v>0.12</v>
      </c>
    </row>
    <row r="1042" spans="1:7">
      <c r="A1042" s="3"/>
      <c r="B1042" s="3"/>
      <c r="C1042" s="3"/>
      <c r="D1042" s="3"/>
      <c r="E1042" s="3">
        <v>19</v>
      </c>
      <c r="F1042" s="4" t="str">
        <f>HYPERLINK("http://141.218.60.56/~jnz1568/getInfo.php?workbook=18_15.xlsx&amp;sheet=U0&amp;row=1042&amp;col=6&amp;number=4.8&amp;sourceID=14","4.8")</f>
        <v>4.8</v>
      </c>
      <c r="G1042" s="4" t="str">
        <f>HYPERLINK("http://141.218.60.56/~jnz1568/getInfo.php?workbook=18_15.xlsx&amp;sheet=U0&amp;row=1042&amp;col=7&amp;number=0.12&amp;sourceID=14","0.12")</f>
        <v>0.12</v>
      </c>
    </row>
    <row r="1043" spans="1:7">
      <c r="A1043" s="3"/>
      <c r="B1043" s="3"/>
      <c r="C1043" s="3"/>
      <c r="D1043" s="3"/>
      <c r="E1043" s="3">
        <v>20</v>
      </c>
      <c r="F1043" s="4" t="str">
        <f>HYPERLINK("http://141.218.60.56/~jnz1568/getInfo.php?workbook=18_15.xlsx&amp;sheet=U0&amp;row=1043&amp;col=6&amp;number=4.9&amp;sourceID=14","4.9")</f>
        <v>4.9</v>
      </c>
      <c r="G1043" s="4" t="str">
        <f>HYPERLINK("http://141.218.60.56/~jnz1568/getInfo.php?workbook=18_15.xlsx&amp;sheet=U0&amp;row=1043&amp;col=7&amp;number=0.118&amp;sourceID=14","0.118")</f>
        <v>0.118</v>
      </c>
    </row>
    <row r="1044" spans="1:7">
      <c r="A1044" s="3">
        <v>18</v>
      </c>
      <c r="B1044" s="3">
        <v>15</v>
      </c>
      <c r="C1044" s="3">
        <v>2</v>
      </c>
      <c r="D1044" s="3">
        <v>27</v>
      </c>
      <c r="E1044" s="3">
        <v>1</v>
      </c>
      <c r="F1044" s="4" t="str">
        <f>HYPERLINK("http://141.218.60.56/~jnz1568/getInfo.php?workbook=18_15.xlsx&amp;sheet=U0&amp;row=1044&amp;col=6&amp;number=3&amp;sourceID=14","3")</f>
        <v>3</v>
      </c>
      <c r="G1044" s="4" t="str">
        <f>HYPERLINK("http://141.218.60.56/~jnz1568/getInfo.php?workbook=18_15.xlsx&amp;sheet=U0&amp;row=1044&amp;col=7&amp;number=0.255&amp;sourceID=14","0.255")</f>
        <v>0.255</v>
      </c>
    </row>
    <row r="1045" spans="1:7">
      <c r="A1045" s="3"/>
      <c r="B1045" s="3"/>
      <c r="C1045" s="3"/>
      <c r="D1045" s="3"/>
      <c r="E1045" s="3">
        <v>2</v>
      </c>
      <c r="F1045" s="4" t="str">
        <f>HYPERLINK("http://141.218.60.56/~jnz1568/getInfo.php?workbook=18_15.xlsx&amp;sheet=U0&amp;row=1045&amp;col=6&amp;number=3.1&amp;sourceID=14","3.1")</f>
        <v>3.1</v>
      </c>
      <c r="G1045" s="4" t="str">
        <f>HYPERLINK("http://141.218.60.56/~jnz1568/getInfo.php?workbook=18_15.xlsx&amp;sheet=U0&amp;row=1045&amp;col=7&amp;number=0.254&amp;sourceID=14","0.254")</f>
        <v>0.254</v>
      </c>
    </row>
    <row r="1046" spans="1:7">
      <c r="A1046" s="3"/>
      <c r="B1046" s="3"/>
      <c r="C1046" s="3"/>
      <c r="D1046" s="3"/>
      <c r="E1046" s="3">
        <v>3</v>
      </c>
      <c r="F1046" s="4" t="str">
        <f>HYPERLINK("http://141.218.60.56/~jnz1568/getInfo.php?workbook=18_15.xlsx&amp;sheet=U0&amp;row=1046&amp;col=6&amp;number=3.2&amp;sourceID=14","3.2")</f>
        <v>3.2</v>
      </c>
      <c r="G1046" s="4" t="str">
        <f>HYPERLINK("http://141.218.60.56/~jnz1568/getInfo.php?workbook=18_15.xlsx&amp;sheet=U0&amp;row=1046&amp;col=7&amp;number=0.254&amp;sourceID=14","0.254")</f>
        <v>0.254</v>
      </c>
    </row>
    <row r="1047" spans="1:7">
      <c r="A1047" s="3"/>
      <c r="B1047" s="3"/>
      <c r="C1047" s="3"/>
      <c r="D1047" s="3"/>
      <c r="E1047" s="3">
        <v>4</v>
      </c>
      <c r="F1047" s="4" t="str">
        <f>HYPERLINK("http://141.218.60.56/~jnz1568/getInfo.php?workbook=18_15.xlsx&amp;sheet=U0&amp;row=1047&amp;col=6&amp;number=3.3&amp;sourceID=14","3.3")</f>
        <v>3.3</v>
      </c>
      <c r="G1047" s="4" t="str">
        <f>HYPERLINK("http://141.218.60.56/~jnz1568/getInfo.php?workbook=18_15.xlsx&amp;sheet=U0&amp;row=1047&amp;col=7&amp;number=0.253&amp;sourceID=14","0.253")</f>
        <v>0.253</v>
      </c>
    </row>
    <row r="1048" spans="1:7">
      <c r="A1048" s="3"/>
      <c r="B1048" s="3"/>
      <c r="C1048" s="3"/>
      <c r="D1048" s="3"/>
      <c r="E1048" s="3">
        <v>5</v>
      </c>
      <c r="F1048" s="4" t="str">
        <f>HYPERLINK("http://141.218.60.56/~jnz1568/getInfo.php?workbook=18_15.xlsx&amp;sheet=U0&amp;row=1048&amp;col=6&amp;number=3.4&amp;sourceID=14","3.4")</f>
        <v>3.4</v>
      </c>
      <c r="G1048" s="4" t="str">
        <f>HYPERLINK("http://141.218.60.56/~jnz1568/getInfo.php?workbook=18_15.xlsx&amp;sheet=U0&amp;row=1048&amp;col=7&amp;number=0.252&amp;sourceID=14","0.252")</f>
        <v>0.252</v>
      </c>
    </row>
    <row r="1049" spans="1:7">
      <c r="A1049" s="3"/>
      <c r="B1049" s="3"/>
      <c r="C1049" s="3"/>
      <c r="D1049" s="3"/>
      <c r="E1049" s="3">
        <v>6</v>
      </c>
      <c r="F1049" s="4" t="str">
        <f>HYPERLINK("http://141.218.60.56/~jnz1568/getInfo.php?workbook=18_15.xlsx&amp;sheet=U0&amp;row=1049&amp;col=6&amp;number=3.5&amp;sourceID=14","3.5")</f>
        <v>3.5</v>
      </c>
      <c r="G1049" s="4" t="str">
        <f>HYPERLINK("http://141.218.60.56/~jnz1568/getInfo.php?workbook=18_15.xlsx&amp;sheet=U0&amp;row=1049&amp;col=7&amp;number=0.251&amp;sourceID=14","0.251")</f>
        <v>0.251</v>
      </c>
    </row>
    <row r="1050" spans="1:7">
      <c r="A1050" s="3"/>
      <c r="B1050" s="3"/>
      <c r="C1050" s="3"/>
      <c r="D1050" s="3"/>
      <c r="E1050" s="3">
        <v>7</v>
      </c>
      <c r="F1050" s="4" t="str">
        <f>HYPERLINK("http://141.218.60.56/~jnz1568/getInfo.php?workbook=18_15.xlsx&amp;sheet=U0&amp;row=1050&amp;col=6&amp;number=3.6&amp;sourceID=14","3.6")</f>
        <v>3.6</v>
      </c>
      <c r="G1050" s="4" t="str">
        <f>HYPERLINK("http://141.218.60.56/~jnz1568/getInfo.php?workbook=18_15.xlsx&amp;sheet=U0&amp;row=1050&amp;col=7&amp;number=0.249&amp;sourceID=14","0.249")</f>
        <v>0.249</v>
      </c>
    </row>
    <row r="1051" spans="1:7">
      <c r="A1051" s="3"/>
      <c r="B1051" s="3"/>
      <c r="C1051" s="3"/>
      <c r="D1051" s="3"/>
      <c r="E1051" s="3">
        <v>8</v>
      </c>
      <c r="F1051" s="4" t="str">
        <f>HYPERLINK("http://141.218.60.56/~jnz1568/getInfo.php?workbook=18_15.xlsx&amp;sheet=U0&amp;row=1051&amp;col=6&amp;number=3.7&amp;sourceID=14","3.7")</f>
        <v>3.7</v>
      </c>
      <c r="G1051" s="4" t="str">
        <f>HYPERLINK("http://141.218.60.56/~jnz1568/getInfo.php?workbook=18_15.xlsx&amp;sheet=U0&amp;row=1051&amp;col=7&amp;number=0.247&amp;sourceID=14","0.247")</f>
        <v>0.247</v>
      </c>
    </row>
    <row r="1052" spans="1:7">
      <c r="A1052" s="3"/>
      <c r="B1052" s="3"/>
      <c r="C1052" s="3"/>
      <c r="D1052" s="3"/>
      <c r="E1052" s="3">
        <v>9</v>
      </c>
      <c r="F1052" s="4" t="str">
        <f>HYPERLINK("http://141.218.60.56/~jnz1568/getInfo.php?workbook=18_15.xlsx&amp;sheet=U0&amp;row=1052&amp;col=6&amp;number=3.8&amp;sourceID=14","3.8")</f>
        <v>3.8</v>
      </c>
      <c r="G1052" s="4" t="str">
        <f>HYPERLINK("http://141.218.60.56/~jnz1568/getInfo.php?workbook=18_15.xlsx&amp;sheet=U0&amp;row=1052&amp;col=7&amp;number=0.244&amp;sourceID=14","0.244")</f>
        <v>0.244</v>
      </c>
    </row>
    <row r="1053" spans="1:7">
      <c r="A1053" s="3"/>
      <c r="B1053" s="3"/>
      <c r="C1053" s="3"/>
      <c r="D1053" s="3"/>
      <c r="E1053" s="3">
        <v>10</v>
      </c>
      <c r="F1053" s="4" t="str">
        <f>HYPERLINK("http://141.218.60.56/~jnz1568/getInfo.php?workbook=18_15.xlsx&amp;sheet=U0&amp;row=1053&amp;col=6&amp;number=3.9&amp;sourceID=14","3.9")</f>
        <v>3.9</v>
      </c>
      <c r="G1053" s="4" t="str">
        <f>HYPERLINK("http://141.218.60.56/~jnz1568/getInfo.php?workbook=18_15.xlsx&amp;sheet=U0&amp;row=1053&amp;col=7&amp;number=0.241&amp;sourceID=14","0.241")</f>
        <v>0.241</v>
      </c>
    </row>
    <row r="1054" spans="1:7">
      <c r="A1054" s="3"/>
      <c r="B1054" s="3"/>
      <c r="C1054" s="3"/>
      <c r="D1054" s="3"/>
      <c r="E1054" s="3">
        <v>11</v>
      </c>
      <c r="F1054" s="4" t="str">
        <f>HYPERLINK("http://141.218.60.56/~jnz1568/getInfo.php?workbook=18_15.xlsx&amp;sheet=U0&amp;row=1054&amp;col=6&amp;number=4&amp;sourceID=14","4")</f>
        <v>4</v>
      </c>
      <c r="G1054" s="4" t="str">
        <f>HYPERLINK("http://141.218.60.56/~jnz1568/getInfo.php?workbook=18_15.xlsx&amp;sheet=U0&amp;row=1054&amp;col=7&amp;number=0.235&amp;sourceID=14","0.235")</f>
        <v>0.235</v>
      </c>
    </row>
    <row r="1055" spans="1:7">
      <c r="A1055" s="3"/>
      <c r="B1055" s="3"/>
      <c r="C1055" s="3"/>
      <c r="D1055" s="3"/>
      <c r="E1055" s="3">
        <v>12</v>
      </c>
      <c r="F1055" s="4" t="str">
        <f>HYPERLINK("http://141.218.60.56/~jnz1568/getInfo.php?workbook=18_15.xlsx&amp;sheet=U0&amp;row=1055&amp;col=6&amp;number=4.1&amp;sourceID=14","4.1")</f>
        <v>4.1</v>
      </c>
      <c r="G1055" s="4" t="str">
        <f>HYPERLINK("http://141.218.60.56/~jnz1568/getInfo.php?workbook=18_15.xlsx&amp;sheet=U0&amp;row=1055&amp;col=7&amp;number=0.228&amp;sourceID=14","0.228")</f>
        <v>0.228</v>
      </c>
    </row>
    <row r="1056" spans="1:7">
      <c r="A1056" s="3"/>
      <c r="B1056" s="3"/>
      <c r="C1056" s="3"/>
      <c r="D1056" s="3"/>
      <c r="E1056" s="3">
        <v>13</v>
      </c>
      <c r="F1056" s="4" t="str">
        <f>HYPERLINK("http://141.218.60.56/~jnz1568/getInfo.php?workbook=18_15.xlsx&amp;sheet=U0&amp;row=1056&amp;col=6&amp;number=4.2&amp;sourceID=14","4.2")</f>
        <v>4.2</v>
      </c>
      <c r="G1056" s="4" t="str">
        <f>HYPERLINK("http://141.218.60.56/~jnz1568/getInfo.php?workbook=18_15.xlsx&amp;sheet=U0&amp;row=1056&amp;col=7&amp;number=0.22&amp;sourceID=14","0.22")</f>
        <v>0.22</v>
      </c>
    </row>
    <row r="1057" spans="1:7">
      <c r="A1057" s="3"/>
      <c r="B1057" s="3"/>
      <c r="C1057" s="3"/>
      <c r="D1057" s="3"/>
      <c r="E1057" s="3">
        <v>14</v>
      </c>
      <c r="F1057" s="4" t="str">
        <f>HYPERLINK("http://141.218.60.56/~jnz1568/getInfo.php?workbook=18_15.xlsx&amp;sheet=U0&amp;row=1057&amp;col=6&amp;number=4.3&amp;sourceID=14","4.3")</f>
        <v>4.3</v>
      </c>
      <c r="G1057" s="4" t="str">
        <f>HYPERLINK("http://141.218.60.56/~jnz1568/getInfo.php?workbook=18_15.xlsx&amp;sheet=U0&amp;row=1057&amp;col=7&amp;number=0.213&amp;sourceID=14","0.213")</f>
        <v>0.213</v>
      </c>
    </row>
    <row r="1058" spans="1:7">
      <c r="A1058" s="3"/>
      <c r="B1058" s="3"/>
      <c r="C1058" s="3"/>
      <c r="D1058" s="3"/>
      <c r="E1058" s="3">
        <v>15</v>
      </c>
      <c r="F1058" s="4" t="str">
        <f>HYPERLINK("http://141.218.60.56/~jnz1568/getInfo.php?workbook=18_15.xlsx&amp;sheet=U0&amp;row=1058&amp;col=6&amp;number=4.4&amp;sourceID=14","4.4")</f>
        <v>4.4</v>
      </c>
      <c r="G1058" s="4" t="str">
        <f>HYPERLINK("http://141.218.60.56/~jnz1568/getInfo.php?workbook=18_15.xlsx&amp;sheet=U0&amp;row=1058&amp;col=7&amp;number=0.208&amp;sourceID=14","0.208")</f>
        <v>0.208</v>
      </c>
    </row>
    <row r="1059" spans="1:7">
      <c r="A1059" s="3"/>
      <c r="B1059" s="3"/>
      <c r="C1059" s="3"/>
      <c r="D1059" s="3"/>
      <c r="E1059" s="3">
        <v>16</v>
      </c>
      <c r="F1059" s="4" t="str">
        <f>HYPERLINK("http://141.218.60.56/~jnz1568/getInfo.php?workbook=18_15.xlsx&amp;sheet=U0&amp;row=1059&amp;col=6&amp;number=4.5&amp;sourceID=14","4.5")</f>
        <v>4.5</v>
      </c>
      <c r="G1059" s="4" t="str">
        <f>HYPERLINK("http://141.218.60.56/~jnz1568/getInfo.php?workbook=18_15.xlsx&amp;sheet=U0&amp;row=1059&amp;col=7&amp;number=0.205&amp;sourceID=14","0.205")</f>
        <v>0.205</v>
      </c>
    </row>
    <row r="1060" spans="1:7">
      <c r="A1060" s="3"/>
      <c r="B1060" s="3"/>
      <c r="C1060" s="3"/>
      <c r="D1060" s="3"/>
      <c r="E1060" s="3">
        <v>17</v>
      </c>
      <c r="F1060" s="4" t="str">
        <f>HYPERLINK("http://141.218.60.56/~jnz1568/getInfo.php?workbook=18_15.xlsx&amp;sheet=U0&amp;row=1060&amp;col=6&amp;number=4.6&amp;sourceID=14","4.6")</f>
        <v>4.6</v>
      </c>
      <c r="G1060" s="4" t="str">
        <f>HYPERLINK("http://141.218.60.56/~jnz1568/getInfo.php?workbook=18_15.xlsx&amp;sheet=U0&amp;row=1060&amp;col=7&amp;number=0.202&amp;sourceID=14","0.202")</f>
        <v>0.202</v>
      </c>
    </row>
    <row r="1061" spans="1:7">
      <c r="A1061" s="3"/>
      <c r="B1061" s="3"/>
      <c r="C1061" s="3"/>
      <c r="D1061" s="3"/>
      <c r="E1061" s="3">
        <v>18</v>
      </c>
      <c r="F1061" s="4" t="str">
        <f>HYPERLINK("http://141.218.60.56/~jnz1568/getInfo.php?workbook=18_15.xlsx&amp;sheet=U0&amp;row=1061&amp;col=6&amp;number=4.7&amp;sourceID=14","4.7")</f>
        <v>4.7</v>
      </c>
      <c r="G1061" s="4" t="str">
        <f>HYPERLINK("http://141.218.60.56/~jnz1568/getInfo.php?workbook=18_15.xlsx&amp;sheet=U0&amp;row=1061&amp;col=7&amp;number=0.199&amp;sourceID=14","0.199")</f>
        <v>0.199</v>
      </c>
    </row>
    <row r="1062" spans="1:7">
      <c r="A1062" s="3"/>
      <c r="B1062" s="3"/>
      <c r="C1062" s="3"/>
      <c r="D1062" s="3"/>
      <c r="E1062" s="3">
        <v>19</v>
      </c>
      <c r="F1062" s="4" t="str">
        <f>HYPERLINK("http://141.218.60.56/~jnz1568/getInfo.php?workbook=18_15.xlsx&amp;sheet=U0&amp;row=1062&amp;col=6&amp;number=4.8&amp;sourceID=14","4.8")</f>
        <v>4.8</v>
      </c>
      <c r="G1062" s="4" t="str">
        <f>HYPERLINK("http://141.218.60.56/~jnz1568/getInfo.php?workbook=18_15.xlsx&amp;sheet=U0&amp;row=1062&amp;col=7&amp;number=0.196&amp;sourceID=14","0.196")</f>
        <v>0.196</v>
      </c>
    </row>
    <row r="1063" spans="1:7">
      <c r="A1063" s="3"/>
      <c r="B1063" s="3"/>
      <c r="C1063" s="3"/>
      <c r="D1063" s="3"/>
      <c r="E1063" s="3">
        <v>20</v>
      </c>
      <c r="F1063" s="4" t="str">
        <f>HYPERLINK("http://141.218.60.56/~jnz1568/getInfo.php?workbook=18_15.xlsx&amp;sheet=U0&amp;row=1063&amp;col=6&amp;number=4.9&amp;sourceID=14","4.9")</f>
        <v>4.9</v>
      </c>
      <c r="G1063" s="4" t="str">
        <f>HYPERLINK("http://141.218.60.56/~jnz1568/getInfo.php?workbook=18_15.xlsx&amp;sheet=U0&amp;row=1063&amp;col=7&amp;number=0.193&amp;sourceID=14","0.193")</f>
        <v>0.193</v>
      </c>
    </row>
    <row r="1064" spans="1:7">
      <c r="A1064" s="3">
        <v>18</v>
      </c>
      <c r="B1064" s="3">
        <v>15</v>
      </c>
      <c r="C1064" s="3">
        <v>2</v>
      </c>
      <c r="D1064" s="3">
        <v>28</v>
      </c>
      <c r="E1064" s="3">
        <v>1</v>
      </c>
      <c r="F1064" s="4" t="str">
        <f>HYPERLINK("http://141.218.60.56/~jnz1568/getInfo.php?workbook=18_15.xlsx&amp;sheet=U0&amp;row=1064&amp;col=6&amp;number=3&amp;sourceID=14","3")</f>
        <v>3</v>
      </c>
      <c r="G1064" s="4" t="str">
        <f>HYPERLINK("http://141.218.60.56/~jnz1568/getInfo.php?workbook=18_15.xlsx&amp;sheet=U0&amp;row=1064&amp;col=7&amp;number=0.33&amp;sourceID=14","0.33")</f>
        <v>0.33</v>
      </c>
    </row>
    <row r="1065" spans="1:7">
      <c r="A1065" s="3"/>
      <c r="B1065" s="3"/>
      <c r="C1065" s="3"/>
      <c r="D1065" s="3"/>
      <c r="E1065" s="3">
        <v>2</v>
      </c>
      <c r="F1065" s="4" t="str">
        <f>HYPERLINK("http://141.218.60.56/~jnz1568/getInfo.php?workbook=18_15.xlsx&amp;sheet=U0&amp;row=1065&amp;col=6&amp;number=3.1&amp;sourceID=14","3.1")</f>
        <v>3.1</v>
      </c>
      <c r="G1065" s="4" t="str">
        <f>HYPERLINK("http://141.218.60.56/~jnz1568/getInfo.php?workbook=18_15.xlsx&amp;sheet=U0&amp;row=1065&amp;col=7&amp;number=0.333&amp;sourceID=14","0.333")</f>
        <v>0.333</v>
      </c>
    </row>
    <row r="1066" spans="1:7">
      <c r="A1066" s="3"/>
      <c r="B1066" s="3"/>
      <c r="C1066" s="3"/>
      <c r="D1066" s="3"/>
      <c r="E1066" s="3">
        <v>3</v>
      </c>
      <c r="F1066" s="4" t="str">
        <f>HYPERLINK("http://141.218.60.56/~jnz1568/getInfo.php?workbook=18_15.xlsx&amp;sheet=U0&amp;row=1066&amp;col=6&amp;number=3.2&amp;sourceID=14","3.2")</f>
        <v>3.2</v>
      </c>
      <c r="G1066" s="4" t="str">
        <f>HYPERLINK("http://141.218.60.56/~jnz1568/getInfo.php?workbook=18_15.xlsx&amp;sheet=U0&amp;row=1066&amp;col=7&amp;number=0.336&amp;sourceID=14","0.336")</f>
        <v>0.336</v>
      </c>
    </row>
    <row r="1067" spans="1:7">
      <c r="A1067" s="3"/>
      <c r="B1067" s="3"/>
      <c r="C1067" s="3"/>
      <c r="D1067" s="3"/>
      <c r="E1067" s="3">
        <v>4</v>
      </c>
      <c r="F1067" s="4" t="str">
        <f>HYPERLINK("http://141.218.60.56/~jnz1568/getInfo.php?workbook=18_15.xlsx&amp;sheet=U0&amp;row=1067&amp;col=6&amp;number=3.3&amp;sourceID=14","3.3")</f>
        <v>3.3</v>
      </c>
      <c r="G1067" s="4" t="str">
        <f>HYPERLINK("http://141.218.60.56/~jnz1568/getInfo.php?workbook=18_15.xlsx&amp;sheet=U0&amp;row=1067&amp;col=7&amp;number=0.34&amp;sourceID=14","0.34")</f>
        <v>0.34</v>
      </c>
    </row>
    <row r="1068" spans="1:7">
      <c r="A1068" s="3"/>
      <c r="B1068" s="3"/>
      <c r="C1068" s="3"/>
      <c r="D1068" s="3"/>
      <c r="E1068" s="3">
        <v>5</v>
      </c>
      <c r="F1068" s="4" t="str">
        <f>HYPERLINK("http://141.218.60.56/~jnz1568/getInfo.php?workbook=18_15.xlsx&amp;sheet=U0&amp;row=1068&amp;col=6&amp;number=3.4&amp;sourceID=14","3.4")</f>
        <v>3.4</v>
      </c>
      <c r="G1068" s="4" t="str">
        <f>HYPERLINK("http://141.218.60.56/~jnz1568/getInfo.php?workbook=18_15.xlsx&amp;sheet=U0&amp;row=1068&amp;col=7&amp;number=0.345&amp;sourceID=14","0.345")</f>
        <v>0.345</v>
      </c>
    </row>
    <row r="1069" spans="1:7">
      <c r="A1069" s="3"/>
      <c r="B1069" s="3"/>
      <c r="C1069" s="3"/>
      <c r="D1069" s="3"/>
      <c r="E1069" s="3">
        <v>6</v>
      </c>
      <c r="F1069" s="4" t="str">
        <f>HYPERLINK("http://141.218.60.56/~jnz1568/getInfo.php?workbook=18_15.xlsx&amp;sheet=U0&amp;row=1069&amp;col=6&amp;number=3.5&amp;sourceID=14","3.5")</f>
        <v>3.5</v>
      </c>
      <c r="G1069" s="4" t="str">
        <f>HYPERLINK("http://141.218.60.56/~jnz1568/getInfo.php?workbook=18_15.xlsx&amp;sheet=U0&amp;row=1069&amp;col=7&amp;number=0.35&amp;sourceID=14","0.35")</f>
        <v>0.35</v>
      </c>
    </row>
    <row r="1070" spans="1:7">
      <c r="A1070" s="3"/>
      <c r="B1070" s="3"/>
      <c r="C1070" s="3"/>
      <c r="D1070" s="3"/>
      <c r="E1070" s="3">
        <v>7</v>
      </c>
      <c r="F1070" s="4" t="str">
        <f>HYPERLINK("http://141.218.60.56/~jnz1568/getInfo.php?workbook=18_15.xlsx&amp;sheet=U0&amp;row=1070&amp;col=6&amp;number=3.6&amp;sourceID=14","3.6")</f>
        <v>3.6</v>
      </c>
      <c r="G1070" s="4" t="str">
        <f>HYPERLINK("http://141.218.60.56/~jnz1568/getInfo.php?workbook=18_15.xlsx&amp;sheet=U0&amp;row=1070&amp;col=7&amp;number=0.356&amp;sourceID=14","0.356")</f>
        <v>0.356</v>
      </c>
    </row>
    <row r="1071" spans="1:7">
      <c r="A1071" s="3"/>
      <c r="B1071" s="3"/>
      <c r="C1071" s="3"/>
      <c r="D1071" s="3"/>
      <c r="E1071" s="3">
        <v>8</v>
      </c>
      <c r="F1071" s="4" t="str">
        <f>HYPERLINK("http://141.218.60.56/~jnz1568/getInfo.php?workbook=18_15.xlsx&amp;sheet=U0&amp;row=1071&amp;col=6&amp;number=3.7&amp;sourceID=14","3.7")</f>
        <v>3.7</v>
      </c>
      <c r="G1071" s="4" t="str">
        <f>HYPERLINK("http://141.218.60.56/~jnz1568/getInfo.php?workbook=18_15.xlsx&amp;sheet=U0&amp;row=1071&amp;col=7&amp;number=0.362&amp;sourceID=14","0.362")</f>
        <v>0.362</v>
      </c>
    </row>
    <row r="1072" spans="1:7">
      <c r="A1072" s="3"/>
      <c r="B1072" s="3"/>
      <c r="C1072" s="3"/>
      <c r="D1072" s="3"/>
      <c r="E1072" s="3">
        <v>9</v>
      </c>
      <c r="F1072" s="4" t="str">
        <f>HYPERLINK("http://141.218.60.56/~jnz1568/getInfo.php?workbook=18_15.xlsx&amp;sheet=U0&amp;row=1072&amp;col=6&amp;number=3.8&amp;sourceID=14","3.8")</f>
        <v>3.8</v>
      </c>
      <c r="G1072" s="4" t="str">
        <f>HYPERLINK("http://141.218.60.56/~jnz1568/getInfo.php?workbook=18_15.xlsx&amp;sheet=U0&amp;row=1072&amp;col=7&amp;number=0.367&amp;sourceID=14","0.367")</f>
        <v>0.367</v>
      </c>
    </row>
    <row r="1073" spans="1:7">
      <c r="A1073" s="3"/>
      <c r="B1073" s="3"/>
      <c r="C1073" s="3"/>
      <c r="D1073" s="3"/>
      <c r="E1073" s="3">
        <v>10</v>
      </c>
      <c r="F1073" s="4" t="str">
        <f>HYPERLINK("http://141.218.60.56/~jnz1568/getInfo.php?workbook=18_15.xlsx&amp;sheet=U0&amp;row=1073&amp;col=6&amp;number=3.9&amp;sourceID=14","3.9")</f>
        <v>3.9</v>
      </c>
      <c r="G1073" s="4" t="str">
        <f>HYPERLINK("http://141.218.60.56/~jnz1568/getInfo.php?workbook=18_15.xlsx&amp;sheet=U0&amp;row=1073&amp;col=7&amp;number=0.37&amp;sourceID=14","0.37")</f>
        <v>0.37</v>
      </c>
    </row>
    <row r="1074" spans="1:7">
      <c r="A1074" s="3"/>
      <c r="B1074" s="3"/>
      <c r="C1074" s="3"/>
      <c r="D1074" s="3"/>
      <c r="E1074" s="3">
        <v>11</v>
      </c>
      <c r="F1074" s="4" t="str">
        <f>HYPERLINK("http://141.218.60.56/~jnz1568/getInfo.php?workbook=18_15.xlsx&amp;sheet=U0&amp;row=1074&amp;col=6&amp;number=4&amp;sourceID=14","4")</f>
        <v>4</v>
      </c>
      <c r="G1074" s="4" t="str">
        <f>HYPERLINK("http://141.218.60.56/~jnz1568/getInfo.php?workbook=18_15.xlsx&amp;sheet=U0&amp;row=1074&amp;col=7&amp;number=0.369&amp;sourceID=14","0.369")</f>
        <v>0.369</v>
      </c>
    </row>
    <row r="1075" spans="1:7">
      <c r="A1075" s="3"/>
      <c r="B1075" s="3"/>
      <c r="C1075" s="3"/>
      <c r="D1075" s="3"/>
      <c r="E1075" s="3">
        <v>12</v>
      </c>
      <c r="F1075" s="4" t="str">
        <f>HYPERLINK("http://141.218.60.56/~jnz1568/getInfo.php?workbook=18_15.xlsx&amp;sheet=U0&amp;row=1075&amp;col=6&amp;number=4.1&amp;sourceID=14","4.1")</f>
        <v>4.1</v>
      </c>
      <c r="G1075" s="4" t="str">
        <f>HYPERLINK("http://141.218.60.56/~jnz1568/getInfo.php?workbook=18_15.xlsx&amp;sheet=U0&amp;row=1075&amp;col=7&amp;number=0.365&amp;sourceID=14","0.365")</f>
        <v>0.365</v>
      </c>
    </row>
    <row r="1076" spans="1:7">
      <c r="A1076" s="3"/>
      <c r="B1076" s="3"/>
      <c r="C1076" s="3"/>
      <c r="D1076" s="3"/>
      <c r="E1076" s="3">
        <v>13</v>
      </c>
      <c r="F1076" s="4" t="str">
        <f>HYPERLINK("http://141.218.60.56/~jnz1568/getInfo.php?workbook=18_15.xlsx&amp;sheet=U0&amp;row=1076&amp;col=6&amp;number=4.2&amp;sourceID=14","4.2")</f>
        <v>4.2</v>
      </c>
      <c r="G1076" s="4" t="str">
        <f>HYPERLINK("http://141.218.60.56/~jnz1568/getInfo.php?workbook=18_15.xlsx&amp;sheet=U0&amp;row=1076&amp;col=7&amp;number=0.359&amp;sourceID=14","0.359")</f>
        <v>0.359</v>
      </c>
    </row>
    <row r="1077" spans="1:7">
      <c r="A1077" s="3"/>
      <c r="B1077" s="3"/>
      <c r="C1077" s="3"/>
      <c r="D1077" s="3"/>
      <c r="E1077" s="3">
        <v>14</v>
      </c>
      <c r="F1077" s="4" t="str">
        <f>HYPERLINK("http://141.218.60.56/~jnz1568/getInfo.php?workbook=18_15.xlsx&amp;sheet=U0&amp;row=1077&amp;col=6&amp;number=4.3&amp;sourceID=14","4.3")</f>
        <v>4.3</v>
      </c>
      <c r="G1077" s="4" t="str">
        <f>HYPERLINK("http://141.218.60.56/~jnz1568/getInfo.php?workbook=18_15.xlsx&amp;sheet=U0&amp;row=1077&amp;col=7&amp;number=0.352&amp;sourceID=14","0.352")</f>
        <v>0.352</v>
      </c>
    </row>
    <row r="1078" spans="1:7">
      <c r="A1078" s="3"/>
      <c r="B1078" s="3"/>
      <c r="C1078" s="3"/>
      <c r="D1078" s="3"/>
      <c r="E1078" s="3">
        <v>15</v>
      </c>
      <c r="F1078" s="4" t="str">
        <f>HYPERLINK("http://141.218.60.56/~jnz1568/getInfo.php?workbook=18_15.xlsx&amp;sheet=U0&amp;row=1078&amp;col=6&amp;number=4.4&amp;sourceID=14","4.4")</f>
        <v>4.4</v>
      </c>
      <c r="G1078" s="4" t="str">
        <f>HYPERLINK("http://141.218.60.56/~jnz1568/getInfo.php?workbook=18_15.xlsx&amp;sheet=U0&amp;row=1078&amp;col=7&amp;number=0.345&amp;sourceID=14","0.345")</f>
        <v>0.345</v>
      </c>
    </row>
    <row r="1079" spans="1:7">
      <c r="A1079" s="3"/>
      <c r="B1079" s="3"/>
      <c r="C1079" s="3"/>
      <c r="D1079" s="3"/>
      <c r="E1079" s="3">
        <v>16</v>
      </c>
      <c r="F1079" s="4" t="str">
        <f>HYPERLINK("http://141.218.60.56/~jnz1568/getInfo.php?workbook=18_15.xlsx&amp;sheet=U0&amp;row=1079&amp;col=6&amp;number=4.5&amp;sourceID=14","4.5")</f>
        <v>4.5</v>
      </c>
      <c r="G1079" s="4" t="str">
        <f>HYPERLINK("http://141.218.60.56/~jnz1568/getInfo.php?workbook=18_15.xlsx&amp;sheet=U0&amp;row=1079&amp;col=7&amp;number=0.338&amp;sourceID=14","0.338")</f>
        <v>0.338</v>
      </c>
    </row>
    <row r="1080" spans="1:7">
      <c r="A1080" s="3"/>
      <c r="B1080" s="3"/>
      <c r="C1080" s="3"/>
      <c r="D1080" s="3"/>
      <c r="E1080" s="3">
        <v>17</v>
      </c>
      <c r="F1080" s="4" t="str">
        <f>HYPERLINK("http://141.218.60.56/~jnz1568/getInfo.php?workbook=18_15.xlsx&amp;sheet=U0&amp;row=1080&amp;col=6&amp;number=4.6&amp;sourceID=14","4.6")</f>
        <v>4.6</v>
      </c>
      <c r="G1080" s="4" t="str">
        <f>HYPERLINK("http://141.218.60.56/~jnz1568/getInfo.php?workbook=18_15.xlsx&amp;sheet=U0&amp;row=1080&amp;col=7&amp;number=0.332&amp;sourceID=14","0.332")</f>
        <v>0.332</v>
      </c>
    </row>
    <row r="1081" spans="1:7">
      <c r="A1081" s="3"/>
      <c r="B1081" s="3"/>
      <c r="C1081" s="3"/>
      <c r="D1081" s="3"/>
      <c r="E1081" s="3">
        <v>18</v>
      </c>
      <c r="F1081" s="4" t="str">
        <f>HYPERLINK("http://141.218.60.56/~jnz1568/getInfo.php?workbook=18_15.xlsx&amp;sheet=U0&amp;row=1081&amp;col=6&amp;number=4.7&amp;sourceID=14","4.7")</f>
        <v>4.7</v>
      </c>
      <c r="G1081" s="4" t="str">
        <f>HYPERLINK("http://141.218.60.56/~jnz1568/getInfo.php?workbook=18_15.xlsx&amp;sheet=U0&amp;row=1081&amp;col=7&amp;number=0.328&amp;sourceID=14","0.328")</f>
        <v>0.328</v>
      </c>
    </row>
    <row r="1082" spans="1:7">
      <c r="A1082" s="3"/>
      <c r="B1082" s="3"/>
      <c r="C1082" s="3"/>
      <c r="D1082" s="3"/>
      <c r="E1082" s="3">
        <v>19</v>
      </c>
      <c r="F1082" s="4" t="str">
        <f>HYPERLINK("http://141.218.60.56/~jnz1568/getInfo.php?workbook=18_15.xlsx&amp;sheet=U0&amp;row=1082&amp;col=6&amp;number=4.8&amp;sourceID=14","4.8")</f>
        <v>4.8</v>
      </c>
      <c r="G1082" s="4" t="str">
        <f>HYPERLINK("http://141.218.60.56/~jnz1568/getInfo.php?workbook=18_15.xlsx&amp;sheet=U0&amp;row=1082&amp;col=7&amp;number=0.325&amp;sourceID=14","0.325")</f>
        <v>0.325</v>
      </c>
    </row>
    <row r="1083" spans="1:7">
      <c r="A1083" s="3"/>
      <c r="B1083" s="3"/>
      <c r="C1083" s="3"/>
      <c r="D1083" s="3"/>
      <c r="E1083" s="3">
        <v>20</v>
      </c>
      <c r="F1083" s="4" t="str">
        <f>HYPERLINK("http://141.218.60.56/~jnz1568/getInfo.php?workbook=18_15.xlsx&amp;sheet=U0&amp;row=1083&amp;col=6&amp;number=4.9&amp;sourceID=14","4.9")</f>
        <v>4.9</v>
      </c>
      <c r="G1083" s="4" t="str">
        <f>HYPERLINK("http://141.218.60.56/~jnz1568/getInfo.php?workbook=18_15.xlsx&amp;sheet=U0&amp;row=1083&amp;col=7&amp;number=0.318&amp;sourceID=14","0.318")</f>
        <v>0.318</v>
      </c>
    </row>
    <row r="1084" spans="1:7">
      <c r="A1084" s="3">
        <v>18</v>
      </c>
      <c r="B1084" s="3">
        <v>15</v>
      </c>
      <c r="C1084" s="3">
        <v>2</v>
      </c>
      <c r="D1084" s="3">
        <v>29</v>
      </c>
      <c r="E1084" s="3">
        <v>1</v>
      </c>
      <c r="F1084" s="4" t="str">
        <f>HYPERLINK("http://141.218.60.56/~jnz1568/getInfo.php?workbook=18_15.xlsx&amp;sheet=U0&amp;row=1084&amp;col=6&amp;number=3&amp;sourceID=14","3")</f>
        <v>3</v>
      </c>
      <c r="G1084" s="4" t="str">
        <f>HYPERLINK("http://141.218.60.56/~jnz1568/getInfo.php?workbook=18_15.xlsx&amp;sheet=U0&amp;row=1084&amp;col=7&amp;number=3.4&amp;sourceID=14","3.4")</f>
        <v>3.4</v>
      </c>
    </row>
    <row r="1085" spans="1:7">
      <c r="A1085" s="3"/>
      <c r="B1085" s="3"/>
      <c r="C1085" s="3"/>
      <c r="D1085" s="3"/>
      <c r="E1085" s="3">
        <v>2</v>
      </c>
      <c r="F1085" s="4" t="str">
        <f>HYPERLINK("http://141.218.60.56/~jnz1568/getInfo.php?workbook=18_15.xlsx&amp;sheet=U0&amp;row=1085&amp;col=6&amp;number=3.1&amp;sourceID=14","3.1")</f>
        <v>3.1</v>
      </c>
      <c r="G1085" s="4" t="str">
        <f>HYPERLINK("http://141.218.60.56/~jnz1568/getInfo.php?workbook=18_15.xlsx&amp;sheet=U0&amp;row=1085&amp;col=7&amp;number=3.37&amp;sourceID=14","3.37")</f>
        <v>3.37</v>
      </c>
    </row>
    <row r="1086" spans="1:7">
      <c r="A1086" s="3"/>
      <c r="B1086" s="3"/>
      <c r="C1086" s="3"/>
      <c r="D1086" s="3"/>
      <c r="E1086" s="3">
        <v>3</v>
      </c>
      <c r="F1086" s="4" t="str">
        <f>HYPERLINK("http://141.218.60.56/~jnz1568/getInfo.php?workbook=18_15.xlsx&amp;sheet=U0&amp;row=1086&amp;col=6&amp;number=3.2&amp;sourceID=14","3.2")</f>
        <v>3.2</v>
      </c>
      <c r="G1086" s="4" t="str">
        <f>HYPERLINK("http://141.218.60.56/~jnz1568/getInfo.php?workbook=18_15.xlsx&amp;sheet=U0&amp;row=1086&amp;col=7&amp;number=3.33&amp;sourceID=14","3.33")</f>
        <v>3.33</v>
      </c>
    </row>
    <row r="1087" spans="1:7">
      <c r="A1087" s="3"/>
      <c r="B1087" s="3"/>
      <c r="C1087" s="3"/>
      <c r="D1087" s="3"/>
      <c r="E1087" s="3">
        <v>4</v>
      </c>
      <c r="F1087" s="4" t="str">
        <f>HYPERLINK("http://141.218.60.56/~jnz1568/getInfo.php?workbook=18_15.xlsx&amp;sheet=U0&amp;row=1087&amp;col=6&amp;number=3.3&amp;sourceID=14","3.3")</f>
        <v>3.3</v>
      </c>
      <c r="G1087" s="4" t="str">
        <f>HYPERLINK("http://141.218.60.56/~jnz1568/getInfo.php?workbook=18_15.xlsx&amp;sheet=U0&amp;row=1087&amp;col=7&amp;number=3.28&amp;sourceID=14","3.28")</f>
        <v>3.28</v>
      </c>
    </row>
    <row r="1088" spans="1:7">
      <c r="A1088" s="3"/>
      <c r="B1088" s="3"/>
      <c r="C1088" s="3"/>
      <c r="D1088" s="3"/>
      <c r="E1088" s="3">
        <v>5</v>
      </c>
      <c r="F1088" s="4" t="str">
        <f>HYPERLINK("http://141.218.60.56/~jnz1568/getInfo.php?workbook=18_15.xlsx&amp;sheet=U0&amp;row=1088&amp;col=6&amp;number=3.4&amp;sourceID=14","3.4")</f>
        <v>3.4</v>
      </c>
      <c r="G1088" s="4" t="str">
        <f>HYPERLINK("http://141.218.60.56/~jnz1568/getInfo.php?workbook=18_15.xlsx&amp;sheet=U0&amp;row=1088&amp;col=7&amp;number=3.21&amp;sourceID=14","3.21")</f>
        <v>3.21</v>
      </c>
    </row>
    <row r="1089" spans="1:7">
      <c r="A1089" s="3"/>
      <c r="B1089" s="3"/>
      <c r="C1089" s="3"/>
      <c r="D1089" s="3"/>
      <c r="E1089" s="3">
        <v>6</v>
      </c>
      <c r="F1089" s="4" t="str">
        <f>HYPERLINK("http://141.218.60.56/~jnz1568/getInfo.php?workbook=18_15.xlsx&amp;sheet=U0&amp;row=1089&amp;col=6&amp;number=3.5&amp;sourceID=14","3.5")</f>
        <v>3.5</v>
      </c>
      <c r="G1089" s="4" t="str">
        <f>HYPERLINK("http://141.218.60.56/~jnz1568/getInfo.php?workbook=18_15.xlsx&amp;sheet=U0&amp;row=1089&amp;col=7&amp;number=3.14&amp;sourceID=14","3.14")</f>
        <v>3.14</v>
      </c>
    </row>
    <row r="1090" spans="1:7">
      <c r="A1090" s="3"/>
      <c r="B1090" s="3"/>
      <c r="C1090" s="3"/>
      <c r="D1090" s="3"/>
      <c r="E1090" s="3">
        <v>7</v>
      </c>
      <c r="F1090" s="4" t="str">
        <f>HYPERLINK("http://141.218.60.56/~jnz1568/getInfo.php?workbook=18_15.xlsx&amp;sheet=U0&amp;row=1090&amp;col=6&amp;number=3.6&amp;sourceID=14","3.6")</f>
        <v>3.6</v>
      </c>
      <c r="G1090" s="4" t="str">
        <f>HYPERLINK("http://141.218.60.56/~jnz1568/getInfo.php?workbook=18_15.xlsx&amp;sheet=U0&amp;row=1090&amp;col=7&amp;number=3.05&amp;sourceID=14","3.05")</f>
        <v>3.05</v>
      </c>
    </row>
    <row r="1091" spans="1:7">
      <c r="A1091" s="3"/>
      <c r="B1091" s="3"/>
      <c r="C1091" s="3"/>
      <c r="D1091" s="3"/>
      <c r="E1091" s="3">
        <v>8</v>
      </c>
      <c r="F1091" s="4" t="str">
        <f>HYPERLINK("http://141.218.60.56/~jnz1568/getInfo.php?workbook=18_15.xlsx&amp;sheet=U0&amp;row=1091&amp;col=6&amp;number=3.7&amp;sourceID=14","3.7")</f>
        <v>3.7</v>
      </c>
      <c r="G1091" s="4" t="str">
        <f>HYPERLINK("http://141.218.60.56/~jnz1568/getInfo.php?workbook=18_15.xlsx&amp;sheet=U0&amp;row=1091&amp;col=7&amp;number=2.95&amp;sourceID=14","2.95")</f>
        <v>2.95</v>
      </c>
    </row>
    <row r="1092" spans="1:7">
      <c r="A1092" s="3"/>
      <c r="B1092" s="3"/>
      <c r="C1092" s="3"/>
      <c r="D1092" s="3"/>
      <c r="E1092" s="3">
        <v>9</v>
      </c>
      <c r="F1092" s="4" t="str">
        <f>HYPERLINK("http://141.218.60.56/~jnz1568/getInfo.php?workbook=18_15.xlsx&amp;sheet=U0&amp;row=1092&amp;col=6&amp;number=3.8&amp;sourceID=14","3.8")</f>
        <v>3.8</v>
      </c>
      <c r="G1092" s="4" t="str">
        <f>HYPERLINK("http://141.218.60.56/~jnz1568/getInfo.php?workbook=18_15.xlsx&amp;sheet=U0&amp;row=1092&amp;col=7&amp;number=2.84&amp;sourceID=14","2.84")</f>
        <v>2.84</v>
      </c>
    </row>
    <row r="1093" spans="1:7">
      <c r="A1093" s="3"/>
      <c r="B1093" s="3"/>
      <c r="C1093" s="3"/>
      <c r="D1093" s="3"/>
      <c r="E1093" s="3">
        <v>10</v>
      </c>
      <c r="F1093" s="4" t="str">
        <f>HYPERLINK("http://141.218.60.56/~jnz1568/getInfo.php?workbook=18_15.xlsx&amp;sheet=U0&amp;row=1093&amp;col=6&amp;number=3.9&amp;sourceID=14","3.9")</f>
        <v>3.9</v>
      </c>
      <c r="G1093" s="4" t="str">
        <f>HYPERLINK("http://141.218.60.56/~jnz1568/getInfo.php?workbook=18_15.xlsx&amp;sheet=U0&amp;row=1093&amp;col=7&amp;number=2.72&amp;sourceID=14","2.72")</f>
        <v>2.72</v>
      </c>
    </row>
    <row r="1094" spans="1:7">
      <c r="A1094" s="3"/>
      <c r="B1094" s="3"/>
      <c r="C1094" s="3"/>
      <c r="D1094" s="3"/>
      <c r="E1094" s="3">
        <v>11</v>
      </c>
      <c r="F1094" s="4" t="str">
        <f>HYPERLINK("http://141.218.60.56/~jnz1568/getInfo.php?workbook=18_15.xlsx&amp;sheet=U0&amp;row=1094&amp;col=6&amp;number=4&amp;sourceID=14","4")</f>
        <v>4</v>
      </c>
      <c r="G1094" s="4" t="str">
        <f>HYPERLINK("http://141.218.60.56/~jnz1568/getInfo.php?workbook=18_15.xlsx&amp;sheet=U0&amp;row=1094&amp;col=7&amp;number=2.61&amp;sourceID=14","2.61")</f>
        <v>2.61</v>
      </c>
    </row>
    <row r="1095" spans="1:7">
      <c r="A1095" s="3"/>
      <c r="B1095" s="3"/>
      <c r="C1095" s="3"/>
      <c r="D1095" s="3"/>
      <c r="E1095" s="3">
        <v>12</v>
      </c>
      <c r="F1095" s="4" t="str">
        <f>HYPERLINK("http://141.218.60.56/~jnz1568/getInfo.php?workbook=18_15.xlsx&amp;sheet=U0&amp;row=1095&amp;col=6&amp;number=4.1&amp;sourceID=14","4.1")</f>
        <v>4.1</v>
      </c>
      <c r="G1095" s="4" t="str">
        <f>HYPERLINK("http://141.218.60.56/~jnz1568/getInfo.php?workbook=18_15.xlsx&amp;sheet=U0&amp;row=1095&amp;col=7&amp;number=2.54&amp;sourceID=14","2.54")</f>
        <v>2.54</v>
      </c>
    </row>
    <row r="1096" spans="1:7">
      <c r="A1096" s="3"/>
      <c r="B1096" s="3"/>
      <c r="C1096" s="3"/>
      <c r="D1096" s="3"/>
      <c r="E1096" s="3">
        <v>13</v>
      </c>
      <c r="F1096" s="4" t="str">
        <f>HYPERLINK("http://141.218.60.56/~jnz1568/getInfo.php?workbook=18_15.xlsx&amp;sheet=U0&amp;row=1096&amp;col=6&amp;number=4.2&amp;sourceID=14","4.2")</f>
        <v>4.2</v>
      </c>
      <c r="G1096" s="4" t="str">
        <f>HYPERLINK("http://141.218.60.56/~jnz1568/getInfo.php?workbook=18_15.xlsx&amp;sheet=U0&amp;row=1096&amp;col=7&amp;number=2.51&amp;sourceID=14","2.51")</f>
        <v>2.51</v>
      </c>
    </row>
    <row r="1097" spans="1:7">
      <c r="A1097" s="3"/>
      <c r="B1097" s="3"/>
      <c r="C1097" s="3"/>
      <c r="D1097" s="3"/>
      <c r="E1097" s="3">
        <v>14</v>
      </c>
      <c r="F1097" s="4" t="str">
        <f>HYPERLINK("http://141.218.60.56/~jnz1568/getInfo.php?workbook=18_15.xlsx&amp;sheet=U0&amp;row=1097&amp;col=6&amp;number=4.3&amp;sourceID=14","4.3")</f>
        <v>4.3</v>
      </c>
      <c r="G1097" s="4" t="str">
        <f>HYPERLINK("http://141.218.60.56/~jnz1568/getInfo.php?workbook=18_15.xlsx&amp;sheet=U0&amp;row=1097&amp;col=7&amp;number=2.51&amp;sourceID=14","2.51")</f>
        <v>2.51</v>
      </c>
    </row>
    <row r="1098" spans="1:7">
      <c r="A1098" s="3"/>
      <c r="B1098" s="3"/>
      <c r="C1098" s="3"/>
      <c r="D1098" s="3"/>
      <c r="E1098" s="3">
        <v>15</v>
      </c>
      <c r="F1098" s="4" t="str">
        <f>HYPERLINK("http://141.218.60.56/~jnz1568/getInfo.php?workbook=18_15.xlsx&amp;sheet=U0&amp;row=1098&amp;col=6&amp;number=4.4&amp;sourceID=14","4.4")</f>
        <v>4.4</v>
      </c>
      <c r="G1098" s="4" t="str">
        <f>HYPERLINK("http://141.218.60.56/~jnz1568/getInfo.php?workbook=18_15.xlsx&amp;sheet=U0&amp;row=1098&amp;col=7&amp;number=2.52&amp;sourceID=14","2.52")</f>
        <v>2.52</v>
      </c>
    </row>
    <row r="1099" spans="1:7">
      <c r="A1099" s="3"/>
      <c r="B1099" s="3"/>
      <c r="C1099" s="3"/>
      <c r="D1099" s="3"/>
      <c r="E1099" s="3">
        <v>16</v>
      </c>
      <c r="F1099" s="4" t="str">
        <f>HYPERLINK("http://141.218.60.56/~jnz1568/getInfo.php?workbook=18_15.xlsx&amp;sheet=U0&amp;row=1099&amp;col=6&amp;number=4.5&amp;sourceID=14","4.5")</f>
        <v>4.5</v>
      </c>
      <c r="G1099" s="4" t="str">
        <f>HYPERLINK("http://141.218.60.56/~jnz1568/getInfo.php?workbook=18_15.xlsx&amp;sheet=U0&amp;row=1099&amp;col=7&amp;number=2.51&amp;sourceID=14","2.51")</f>
        <v>2.51</v>
      </c>
    </row>
    <row r="1100" spans="1:7">
      <c r="A1100" s="3"/>
      <c r="B1100" s="3"/>
      <c r="C1100" s="3"/>
      <c r="D1100" s="3"/>
      <c r="E1100" s="3">
        <v>17</v>
      </c>
      <c r="F1100" s="4" t="str">
        <f>HYPERLINK("http://141.218.60.56/~jnz1568/getInfo.php?workbook=18_15.xlsx&amp;sheet=U0&amp;row=1100&amp;col=6&amp;number=4.6&amp;sourceID=14","4.6")</f>
        <v>4.6</v>
      </c>
      <c r="G1100" s="4" t="str">
        <f>HYPERLINK("http://141.218.60.56/~jnz1568/getInfo.php?workbook=18_15.xlsx&amp;sheet=U0&amp;row=1100&amp;col=7&amp;number=2.51&amp;sourceID=14","2.51")</f>
        <v>2.51</v>
      </c>
    </row>
    <row r="1101" spans="1:7">
      <c r="A1101" s="3"/>
      <c r="B1101" s="3"/>
      <c r="C1101" s="3"/>
      <c r="D1101" s="3"/>
      <c r="E1101" s="3">
        <v>18</v>
      </c>
      <c r="F1101" s="4" t="str">
        <f>HYPERLINK("http://141.218.60.56/~jnz1568/getInfo.php?workbook=18_15.xlsx&amp;sheet=U0&amp;row=1101&amp;col=6&amp;number=4.7&amp;sourceID=14","4.7")</f>
        <v>4.7</v>
      </c>
      <c r="G1101" s="4" t="str">
        <f>HYPERLINK("http://141.218.60.56/~jnz1568/getInfo.php?workbook=18_15.xlsx&amp;sheet=U0&amp;row=1101&amp;col=7&amp;number=2.56&amp;sourceID=14","2.56")</f>
        <v>2.56</v>
      </c>
    </row>
    <row r="1102" spans="1:7">
      <c r="A1102" s="3"/>
      <c r="B1102" s="3"/>
      <c r="C1102" s="3"/>
      <c r="D1102" s="3"/>
      <c r="E1102" s="3">
        <v>19</v>
      </c>
      <c r="F1102" s="4" t="str">
        <f>HYPERLINK("http://141.218.60.56/~jnz1568/getInfo.php?workbook=18_15.xlsx&amp;sheet=U0&amp;row=1102&amp;col=6&amp;number=4.8&amp;sourceID=14","4.8")</f>
        <v>4.8</v>
      </c>
      <c r="G1102" s="4" t="str">
        <f>HYPERLINK("http://141.218.60.56/~jnz1568/getInfo.php?workbook=18_15.xlsx&amp;sheet=U0&amp;row=1102&amp;col=7&amp;number=2.65&amp;sourceID=14","2.65")</f>
        <v>2.65</v>
      </c>
    </row>
    <row r="1103" spans="1:7">
      <c r="A1103" s="3"/>
      <c r="B1103" s="3"/>
      <c r="C1103" s="3"/>
      <c r="D1103" s="3"/>
      <c r="E1103" s="3">
        <v>20</v>
      </c>
      <c r="F1103" s="4" t="str">
        <f>HYPERLINK("http://141.218.60.56/~jnz1568/getInfo.php?workbook=18_15.xlsx&amp;sheet=U0&amp;row=1103&amp;col=6&amp;number=4.9&amp;sourceID=14","4.9")</f>
        <v>4.9</v>
      </c>
      <c r="G1103" s="4" t="str">
        <f>HYPERLINK("http://141.218.60.56/~jnz1568/getInfo.php?workbook=18_15.xlsx&amp;sheet=U0&amp;row=1103&amp;col=7&amp;number=2.76&amp;sourceID=14","2.76")</f>
        <v>2.76</v>
      </c>
    </row>
    <row r="1104" spans="1:7">
      <c r="A1104" s="3">
        <v>18</v>
      </c>
      <c r="B1104" s="3">
        <v>15</v>
      </c>
      <c r="C1104" s="3">
        <v>2</v>
      </c>
      <c r="D1104" s="3">
        <v>30</v>
      </c>
      <c r="E1104" s="3">
        <v>1</v>
      </c>
      <c r="F1104" s="4" t="str">
        <f>HYPERLINK("http://141.218.60.56/~jnz1568/getInfo.php?workbook=18_15.xlsx&amp;sheet=U0&amp;row=1104&amp;col=6&amp;number=3&amp;sourceID=14","3")</f>
        <v>3</v>
      </c>
      <c r="G1104" s="4" t="str">
        <f>HYPERLINK("http://141.218.60.56/~jnz1568/getInfo.php?workbook=18_15.xlsx&amp;sheet=U0&amp;row=1104&amp;col=7&amp;number=1.55&amp;sourceID=14","1.55")</f>
        <v>1.55</v>
      </c>
    </row>
    <row r="1105" spans="1:7">
      <c r="A1105" s="3"/>
      <c r="B1105" s="3"/>
      <c r="C1105" s="3"/>
      <c r="D1105" s="3"/>
      <c r="E1105" s="3">
        <v>2</v>
      </c>
      <c r="F1105" s="4" t="str">
        <f>HYPERLINK("http://141.218.60.56/~jnz1568/getInfo.php?workbook=18_15.xlsx&amp;sheet=U0&amp;row=1105&amp;col=6&amp;number=3.1&amp;sourceID=14","3.1")</f>
        <v>3.1</v>
      </c>
      <c r="G1105" s="4" t="str">
        <f>HYPERLINK("http://141.218.60.56/~jnz1568/getInfo.php?workbook=18_15.xlsx&amp;sheet=U0&amp;row=1105&amp;col=7&amp;number=1.51&amp;sourceID=14","1.51")</f>
        <v>1.51</v>
      </c>
    </row>
    <row r="1106" spans="1:7">
      <c r="A1106" s="3"/>
      <c r="B1106" s="3"/>
      <c r="C1106" s="3"/>
      <c r="D1106" s="3"/>
      <c r="E1106" s="3">
        <v>3</v>
      </c>
      <c r="F1106" s="4" t="str">
        <f>HYPERLINK("http://141.218.60.56/~jnz1568/getInfo.php?workbook=18_15.xlsx&amp;sheet=U0&amp;row=1106&amp;col=6&amp;number=3.2&amp;sourceID=14","3.2")</f>
        <v>3.2</v>
      </c>
      <c r="G1106" s="4" t="str">
        <f>HYPERLINK("http://141.218.60.56/~jnz1568/getInfo.php?workbook=18_15.xlsx&amp;sheet=U0&amp;row=1106&amp;col=7&amp;number=1.45&amp;sourceID=14","1.45")</f>
        <v>1.45</v>
      </c>
    </row>
    <row r="1107" spans="1:7">
      <c r="A1107" s="3"/>
      <c r="B1107" s="3"/>
      <c r="C1107" s="3"/>
      <c r="D1107" s="3"/>
      <c r="E1107" s="3">
        <v>4</v>
      </c>
      <c r="F1107" s="4" t="str">
        <f>HYPERLINK("http://141.218.60.56/~jnz1568/getInfo.php?workbook=18_15.xlsx&amp;sheet=U0&amp;row=1107&amp;col=6&amp;number=3.3&amp;sourceID=14","3.3")</f>
        <v>3.3</v>
      </c>
      <c r="G1107" s="4" t="str">
        <f>HYPERLINK("http://141.218.60.56/~jnz1568/getInfo.php?workbook=18_15.xlsx&amp;sheet=U0&amp;row=1107&amp;col=7&amp;number=1.39&amp;sourceID=14","1.39")</f>
        <v>1.39</v>
      </c>
    </row>
    <row r="1108" spans="1:7">
      <c r="A1108" s="3"/>
      <c r="B1108" s="3"/>
      <c r="C1108" s="3"/>
      <c r="D1108" s="3"/>
      <c r="E1108" s="3">
        <v>5</v>
      </c>
      <c r="F1108" s="4" t="str">
        <f>HYPERLINK("http://141.218.60.56/~jnz1568/getInfo.php?workbook=18_15.xlsx&amp;sheet=U0&amp;row=1108&amp;col=6&amp;number=3.4&amp;sourceID=14","3.4")</f>
        <v>3.4</v>
      </c>
      <c r="G1108" s="4" t="str">
        <f>HYPERLINK("http://141.218.60.56/~jnz1568/getInfo.php?workbook=18_15.xlsx&amp;sheet=U0&amp;row=1108&amp;col=7&amp;number=1.31&amp;sourceID=14","1.31")</f>
        <v>1.31</v>
      </c>
    </row>
    <row r="1109" spans="1:7">
      <c r="A1109" s="3"/>
      <c r="B1109" s="3"/>
      <c r="C1109" s="3"/>
      <c r="D1109" s="3"/>
      <c r="E1109" s="3">
        <v>6</v>
      </c>
      <c r="F1109" s="4" t="str">
        <f>HYPERLINK("http://141.218.60.56/~jnz1568/getInfo.php?workbook=18_15.xlsx&amp;sheet=U0&amp;row=1109&amp;col=6&amp;number=3.5&amp;sourceID=14","3.5")</f>
        <v>3.5</v>
      </c>
      <c r="G1109" s="4" t="str">
        <f>HYPERLINK("http://141.218.60.56/~jnz1568/getInfo.php?workbook=18_15.xlsx&amp;sheet=U0&amp;row=1109&amp;col=7&amp;number=1.23&amp;sourceID=14","1.23")</f>
        <v>1.23</v>
      </c>
    </row>
    <row r="1110" spans="1:7">
      <c r="A1110" s="3"/>
      <c r="B1110" s="3"/>
      <c r="C1110" s="3"/>
      <c r="D1110" s="3"/>
      <c r="E1110" s="3">
        <v>7</v>
      </c>
      <c r="F1110" s="4" t="str">
        <f>HYPERLINK("http://141.218.60.56/~jnz1568/getInfo.php?workbook=18_15.xlsx&amp;sheet=U0&amp;row=1110&amp;col=6&amp;number=3.6&amp;sourceID=14","3.6")</f>
        <v>3.6</v>
      </c>
      <c r="G1110" s="4" t="str">
        <f>HYPERLINK("http://141.218.60.56/~jnz1568/getInfo.php?workbook=18_15.xlsx&amp;sheet=U0&amp;row=1110&amp;col=7&amp;number=1.14&amp;sourceID=14","1.14")</f>
        <v>1.14</v>
      </c>
    </row>
    <row r="1111" spans="1:7">
      <c r="A1111" s="3"/>
      <c r="B1111" s="3"/>
      <c r="C1111" s="3"/>
      <c r="D1111" s="3"/>
      <c r="E1111" s="3">
        <v>8</v>
      </c>
      <c r="F1111" s="4" t="str">
        <f>HYPERLINK("http://141.218.60.56/~jnz1568/getInfo.php?workbook=18_15.xlsx&amp;sheet=U0&amp;row=1111&amp;col=6&amp;number=3.7&amp;sourceID=14","3.7")</f>
        <v>3.7</v>
      </c>
      <c r="G1111" s="4" t="str">
        <f>HYPERLINK("http://141.218.60.56/~jnz1568/getInfo.php?workbook=18_15.xlsx&amp;sheet=U0&amp;row=1111&amp;col=7&amp;number=1.06&amp;sourceID=14","1.06")</f>
        <v>1.06</v>
      </c>
    </row>
    <row r="1112" spans="1:7">
      <c r="A1112" s="3"/>
      <c r="B1112" s="3"/>
      <c r="C1112" s="3"/>
      <c r="D1112" s="3"/>
      <c r="E1112" s="3">
        <v>9</v>
      </c>
      <c r="F1112" s="4" t="str">
        <f>HYPERLINK("http://141.218.60.56/~jnz1568/getInfo.php?workbook=18_15.xlsx&amp;sheet=U0&amp;row=1112&amp;col=6&amp;number=3.8&amp;sourceID=14","3.8")</f>
        <v>3.8</v>
      </c>
      <c r="G1112" s="4" t="str">
        <f>HYPERLINK("http://141.218.60.56/~jnz1568/getInfo.php?workbook=18_15.xlsx&amp;sheet=U0&amp;row=1112&amp;col=7&amp;number=0.995&amp;sourceID=14","0.995")</f>
        <v>0.995</v>
      </c>
    </row>
    <row r="1113" spans="1:7">
      <c r="A1113" s="3"/>
      <c r="B1113" s="3"/>
      <c r="C1113" s="3"/>
      <c r="D1113" s="3"/>
      <c r="E1113" s="3">
        <v>10</v>
      </c>
      <c r="F1113" s="4" t="str">
        <f>HYPERLINK("http://141.218.60.56/~jnz1568/getInfo.php?workbook=18_15.xlsx&amp;sheet=U0&amp;row=1113&amp;col=6&amp;number=3.9&amp;sourceID=14","3.9")</f>
        <v>3.9</v>
      </c>
      <c r="G1113" s="4" t="str">
        <f>HYPERLINK("http://141.218.60.56/~jnz1568/getInfo.php?workbook=18_15.xlsx&amp;sheet=U0&amp;row=1113&amp;col=7&amp;number=0.953&amp;sourceID=14","0.953")</f>
        <v>0.953</v>
      </c>
    </row>
    <row r="1114" spans="1:7">
      <c r="A1114" s="3"/>
      <c r="B1114" s="3"/>
      <c r="C1114" s="3"/>
      <c r="D1114" s="3"/>
      <c r="E1114" s="3">
        <v>11</v>
      </c>
      <c r="F1114" s="4" t="str">
        <f>HYPERLINK("http://141.218.60.56/~jnz1568/getInfo.php?workbook=18_15.xlsx&amp;sheet=U0&amp;row=1114&amp;col=6&amp;number=4&amp;sourceID=14","4")</f>
        <v>4</v>
      </c>
      <c r="G1114" s="4" t="str">
        <f>HYPERLINK("http://141.218.60.56/~jnz1568/getInfo.php?workbook=18_15.xlsx&amp;sheet=U0&amp;row=1114&amp;col=7&amp;number=0.933&amp;sourceID=14","0.933")</f>
        <v>0.933</v>
      </c>
    </row>
    <row r="1115" spans="1:7">
      <c r="A1115" s="3"/>
      <c r="B1115" s="3"/>
      <c r="C1115" s="3"/>
      <c r="D1115" s="3"/>
      <c r="E1115" s="3">
        <v>12</v>
      </c>
      <c r="F1115" s="4" t="str">
        <f>HYPERLINK("http://141.218.60.56/~jnz1568/getInfo.php?workbook=18_15.xlsx&amp;sheet=U0&amp;row=1115&amp;col=6&amp;number=4.1&amp;sourceID=14","4.1")</f>
        <v>4.1</v>
      </c>
      <c r="G1115" s="4" t="str">
        <f>HYPERLINK("http://141.218.60.56/~jnz1568/getInfo.php?workbook=18_15.xlsx&amp;sheet=U0&amp;row=1115&amp;col=7&amp;number=0.919&amp;sourceID=14","0.919")</f>
        <v>0.919</v>
      </c>
    </row>
    <row r="1116" spans="1:7">
      <c r="A1116" s="3"/>
      <c r="B1116" s="3"/>
      <c r="C1116" s="3"/>
      <c r="D1116" s="3"/>
      <c r="E1116" s="3">
        <v>13</v>
      </c>
      <c r="F1116" s="4" t="str">
        <f>HYPERLINK("http://141.218.60.56/~jnz1568/getInfo.php?workbook=18_15.xlsx&amp;sheet=U0&amp;row=1116&amp;col=6&amp;number=4.2&amp;sourceID=14","4.2")</f>
        <v>4.2</v>
      </c>
      <c r="G1116" s="4" t="str">
        <f>HYPERLINK("http://141.218.60.56/~jnz1568/getInfo.php?workbook=18_15.xlsx&amp;sheet=U0&amp;row=1116&amp;col=7&amp;number=0.906&amp;sourceID=14","0.906")</f>
        <v>0.906</v>
      </c>
    </row>
    <row r="1117" spans="1:7">
      <c r="A1117" s="3"/>
      <c r="B1117" s="3"/>
      <c r="C1117" s="3"/>
      <c r="D1117" s="3"/>
      <c r="E1117" s="3">
        <v>14</v>
      </c>
      <c r="F1117" s="4" t="str">
        <f>HYPERLINK("http://141.218.60.56/~jnz1568/getInfo.php?workbook=18_15.xlsx&amp;sheet=U0&amp;row=1117&amp;col=6&amp;number=4.3&amp;sourceID=14","4.3")</f>
        <v>4.3</v>
      </c>
      <c r="G1117" s="4" t="str">
        <f>HYPERLINK("http://141.218.60.56/~jnz1568/getInfo.php?workbook=18_15.xlsx&amp;sheet=U0&amp;row=1117&amp;col=7&amp;number=0.895&amp;sourceID=14","0.895")</f>
        <v>0.895</v>
      </c>
    </row>
    <row r="1118" spans="1:7">
      <c r="A1118" s="3"/>
      <c r="B1118" s="3"/>
      <c r="C1118" s="3"/>
      <c r="D1118" s="3"/>
      <c r="E1118" s="3">
        <v>15</v>
      </c>
      <c r="F1118" s="4" t="str">
        <f>HYPERLINK("http://141.218.60.56/~jnz1568/getInfo.php?workbook=18_15.xlsx&amp;sheet=U0&amp;row=1118&amp;col=6&amp;number=4.4&amp;sourceID=14","4.4")</f>
        <v>4.4</v>
      </c>
      <c r="G1118" s="4" t="str">
        <f>HYPERLINK("http://141.218.60.56/~jnz1568/getInfo.php?workbook=18_15.xlsx&amp;sheet=U0&amp;row=1118&amp;col=7&amp;number=0.887&amp;sourceID=14","0.887")</f>
        <v>0.887</v>
      </c>
    </row>
    <row r="1119" spans="1:7">
      <c r="A1119" s="3"/>
      <c r="B1119" s="3"/>
      <c r="C1119" s="3"/>
      <c r="D1119" s="3"/>
      <c r="E1119" s="3">
        <v>16</v>
      </c>
      <c r="F1119" s="4" t="str">
        <f>HYPERLINK("http://141.218.60.56/~jnz1568/getInfo.php?workbook=18_15.xlsx&amp;sheet=U0&amp;row=1119&amp;col=6&amp;number=4.5&amp;sourceID=14","4.5")</f>
        <v>4.5</v>
      </c>
      <c r="G1119" s="4" t="str">
        <f>HYPERLINK("http://141.218.60.56/~jnz1568/getInfo.php?workbook=18_15.xlsx&amp;sheet=U0&amp;row=1119&amp;col=7&amp;number=0.881&amp;sourceID=14","0.881")</f>
        <v>0.881</v>
      </c>
    </row>
    <row r="1120" spans="1:7">
      <c r="A1120" s="3"/>
      <c r="B1120" s="3"/>
      <c r="C1120" s="3"/>
      <c r="D1120" s="3"/>
      <c r="E1120" s="3">
        <v>17</v>
      </c>
      <c r="F1120" s="4" t="str">
        <f>HYPERLINK("http://141.218.60.56/~jnz1568/getInfo.php?workbook=18_15.xlsx&amp;sheet=U0&amp;row=1120&amp;col=6&amp;number=4.6&amp;sourceID=14","4.6")</f>
        <v>4.6</v>
      </c>
      <c r="G1120" s="4" t="str">
        <f>HYPERLINK("http://141.218.60.56/~jnz1568/getInfo.php?workbook=18_15.xlsx&amp;sheet=U0&amp;row=1120&amp;col=7&amp;number=0.875&amp;sourceID=14","0.875")</f>
        <v>0.875</v>
      </c>
    </row>
    <row r="1121" spans="1:7">
      <c r="A1121" s="3"/>
      <c r="B1121" s="3"/>
      <c r="C1121" s="3"/>
      <c r="D1121" s="3"/>
      <c r="E1121" s="3">
        <v>18</v>
      </c>
      <c r="F1121" s="4" t="str">
        <f>HYPERLINK("http://141.218.60.56/~jnz1568/getInfo.php?workbook=18_15.xlsx&amp;sheet=U0&amp;row=1121&amp;col=6&amp;number=4.7&amp;sourceID=14","4.7")</f>
        <v>4.7</v>
      </c>
      <c r="G1121" s="4" t="str">
        <f>HYPERLINK("http://141.218.60.56/~jnz1568/getInfo.php?workbook=18_15.xlsx&amp;sheet=U0&amp;row=1121&amp;col=7&amp;number=0.874&amp;sourceID=14","0.874")</f>
        <v>0.874</v>
      </c>
    </row>
    <row r="1122" spans="1:7">
      <c r="A1122" s="3"/>
      <c r="B1122" s="3"/>
      <c r="C1122" s="3"/>
      <c r="D1122" s="3"/>
      <c r="E1122" s="3">
        <v>19</v>
      </c>
      <c r="F1122" s="4" t="str">
        <f>HYPERLINK("http://141.218.60.56/~jnz1568/getInfo.php?workbook=18_15.xlsx&amp;sheet=U0&amp;row=1122&amp;col=6&amp;number=4.8&amp;sourceID=14","4.8")</f>
        <v>4.8</v>
      </c>
      <c r="G1122" s="4" t="str">
        <f>HYPERLINK("http://141.218.60.56/~jnz1568/getInfo.php?workbook=18_15.xlsx&amp;sheet=U0&amp;row=1122&amp;col=7&amp;number=0.882&amp;sourceID=14","0.882")</f>
        <v>0.882</v>
      </c>
    </row>
    <row r="1123" spans="1:7">
      <c r="A1123" s="3"/>
      <c r="B1123" s="3"/>
      <c r="C1123" s="3"/>
      <c r="D1123" s="3"/>
      <c r="E1123" s="3">
        <v>20</v>
      </c>
      <c r="F1123" s="4" t="str">
        <f>HYPERLINK("http://141.218.60.56/~jnz1568/getInfo.php?workbook=18_15.xlsx&amp;sheet=U0&amp;row=1123&amp;col=6&amp;number=4.9&amp;sourceID=14","4.9")</f>
        <v>4.9</v>
      </c>
      <c r="G1123" s="4" t="str">
        <f>HYPERLINK("http://141.218.60.56/~jnz1568/getInfo.php?workbook=18_15.xlsx&amp;sheet=U0&amp;row=1123&amp;col=7&amp;number=0.899&amp;sourceID=14","0.899")</f>
        <v>0.899</v>
      </c>
    </row>
    <row r="1124" spans="1:7">
      <c r="A1124" s="3">
        <v>18</v>
      </c>
      <c r="B1124" s="3">
        <v>15</v>
      </c>
      <c r="C1124" s="3">
        <v>3</v>
      </c>
      <c r="D1124" s="3">
        <v>4</v>
      </c>
      <c r="E1124" s="3">
        <v>1</v>
      </c>
      <c r="F1124" s="4" t="str">
        <f>HYPERLINK("http://141.218.60.56/~jnz1568/getInfo.php?workbook=18_15.xlsx&amp;sheet=U0&amp;row=1124&amp;col=6&amp;number=3&amp;sourceID=14","3")</f>
        <v>3</v>
      </c>
      <c r="G1124" s="4" t="str">
        <f>HYPERLINK("http://141.218.60.56/~jnz1568/getInfo.php?workbook=18_15.xlsx&amp;sheet=U0&amp;row=1124&amp;col=7&amp;number=1.52&amp;sourceID=14","1.52")</f>
        <v>1.52</v>
      </c>
    </row>
    <row r="1125" spans="1:7">
      <c r="A1125" s="3"/>
      <c r="B1125" s="3"/>
      <c r="C1125" s="3"/>
      <c r="D1125" s="3"/>
      <c r="E1125" s="3">
        <v>2</v>
      </c>
      <c r="F1125" s="4" t="str">
        <f>HYPERLINK("http://141.218.60.56/~jnz1568/getInfo.php?workbook=18_15.xlsx&amp;sheet=U0&amp;row=1125&amp;col=6&amp;number=3.1&amp;sourceID=14","3.1")</f>
        <v>3.1</v>
      </c>
      <c r="G1125" s="4" t="str">
        <f>HYPERLINK("http://141.218.60.56/~jnz1568/getInfo.php?workbook=18_15.xlsx&amp;sheet=U0&amp;row=1125&amp;col=7&amp;number=1.52&amp;sourceID=14","1.52")</f>
        <v>1.52</v>
      </c>
    </row>
    <row r="1126" spans="1:7">
      <c r="A1126" s="3"/>
      <c r="B1126" s="3"/>
      <c r="C1126" s="3"/>
      <c r="D1126" s="3"/>
      <c r="E1126" s="3">
        <v>3</v>
      </c>
      <c r="F1126" s="4" t="str">
        <f>HYPERLINK("http://141.218.60.56/~jnz1568/getInfo.php?workbook=18_15.xlsx&amp;sheet=U0&amp;row=1126&amp;col=6&amp;number=3.2&amp;sourceID=14","3.2")</f>
        <v>3.2</v>
      </c>
      <c r="G1126" s="4" t="str">
        <f>HYPERLINK("http://141.218.60.56/~jnz1568/getInfo.php?workbook=18_15.xlsx&amp;sheet=U0&amp;row=1126&amp;col=7&amp;number=1.52&amp;sourceID=14","1.52")</f>
        <v>1.52</v>
      </c>
    </row>
    <row r="1127" spans="1:7">
      <c r="A1127" s="3"/>
      <c r="B1127" s="3"/>
      <c r="C1127" s="3"/>
      <c r="D1127" s="3"/>
      <c r="E1127" s="3">
        <v>4</v>
      </c>
      <c r="F1127" s="4" t="str">
        <f>HYPERLINK("http://141.218.60.56/~jnz1568/getInfo.php?workbook=18_15.xlsx&amp;sheet=U0&amp;row=1127&amp;col=6&amp;number=3.3&amp;sourceID=14","3.3")</f>
        <v>3.3</v>
      </c>
      <c r="G1127" s="4" t="str">
        <f>HYPERLINK("http://141.218.60.56/~jnz1568/getInfo.php?workbook=18_15.xlsx&amp;sheet=U0&amp;row=1127&amp;col=7&amp;number=1.51&amp;sourceID=14","1.51")</f>
        <v>1.51</v>
      </c>
    </row>
    <row r="1128" spans="1:7">
      <c r="A1128" s="3"/>
      <c r="B1128" s="3"/>
      <c r="C1128" s="3"/>
      <c r="D1128" s="3"/>
      <c r="E1128" s="3">
        <v>5</v>
      </c>
      <c r="F1128" s="4" t="str">
        <f>HYPERLINK("http://141.218.60.56/~jnz1568/getInfo.php?workbook=18_15.xlsx&amp;sheet=U0&amp;row=1128&amp;col=6&amp;number=3.4&amp;sourceID=14","3.4")</f>
        <v>3.4</v>
      </c>
      <c r="G1128" s="4" t="str">
        <f>HYPERLINK("http://141.218.60.56/~jnz1568/getInfo.php?workbook=18_15.xlsx&amp;sheet=U0&amp;row=1128&amp;col=7&amp;number=1.51&amp;sourceID=14","1.51")</f>
        <v>1.51</v>
      </c>
    </row>
    <row r="1129" spans="1:7">
      <c r="A1129" s="3"/>
      <c r="B1129" s="3"/>
      <c r="C1129" s="3"/>
      <c r="D1129" s="3"/>
      <c r="E1129" s="3">
        <v>6</v>
      </c>
      <c r="F1129" s="4" t="str">
        <f>HYPERLINK("http://141.218.60.56/~jnz1568/getInfo.php?workbook=18_15.xlsx&amp;sheet=U0&amp;row=1129&amp;col=6&amp;number=3.5&amp;sourceID=14","3.5")</f>
        <v>3.5</v>
      </c>
      <c r="G1129" s="4" t="str">
        <f>HYPERLINK("http://141.218.60.56/~jnz1568/getInfo.php?workbook=18_15.xlsx&amp;sheet=U0&amp;row=1129&amp;col=7&amp;number=1.51&amp;sourceID=14","1.51")</f>
        <v>1.51</v>
      </c>
    </row>
    <row r="1130" spans="1:7">
      <c r="A1130" s="3"/>
      <c r="B1130" s="3"/>
      <c r="C1130" s="3"/>
      <c r="D1130" s="3"/>
      <c r="E1130" s="3">
        <v>7</v>
      </c>
      <c r="F1130" s="4" t="str">
        <f>HYPERLINK("http://141.218.60.56/~jnz1568/getInfo.php?workbook=18_15.xlsx&amp;sheet=U0&amp;row=1130&amp;col=6&amp;number=3.6&amp;sourceID=14","3.6")</f>
        <v>3.6</v>
      </c>
      <c r="G1130" s="4" t="str">
        <f>HYPERLINK("http://141.218.60.56/~jnz1568/getInfo.php?workbook=18_15.xlsx&amp;sheet=U0&amp;row=1130&amp;col=7&amp;number=1.51&amp;sourceID=14","1.51")</f>
        <v>1.51</v>
      </c>
    </row>
    <row r="1131" spans="1:7">
      <c r="A1131" s="3"/>
      <c r="B1131" s="3"/>
      <c r="C1131" s="3"/>
      <c r="D1131" s="3"/>
      <c r="E1131" s="3">
        <v>8</v>
      </c>
      <c r="F1131" s="4" t="str">
        <f>HYPERLINK("http://141.218.60.56/~jnz1568/getInfo.php?workbook=18_15.xlsx&amp;sheet=U0&amp;row=1131&amp;col=6&amp;number=3.7&amp;sourceID=14","3.7")</f>
        <v>3.7</v>
      </c>
      <c r="G1131" s="4" t="str">
        <f>HYPERLINK("http://141.218.60.56/~jnz1568/getInfo.php?workbook=18_15.xlsx&amp;sheet=U0&amp;row=1131&amp;col=7&amp;number=1.51&amp;sourceID=14","1.51")</f>
        <v>1.51</v>
      </c>
    </row>
    <row r="1132" spans="1:7">
      <c r="A1132" s="3"/>
      <c r="B1132" s="3"/>
      <c r="C1132" s="3"/>
      <c r="D1132" s="3"/>
      <c r="E1132" s="3">
        <v>9</v>
      </c>
      <c r="F1132" s="4" t="str">
        <f>HYPERLINK("http://141.218.60.56/~jnz1568/getInfo.php?workbook=18_15.xlsx&amp;sheet=U0&amp;row=1132&amp;col=6&amp;number=3.8&amp;sourceID=14","3.8")</f>
        <v>3.8</v>
      </c>
      <c r="G1132" s="4" t="str">
        <f>HYPERLINK("http://141.218.60.56/~jnz1568/getInfo.php?workbook=18_15.xlsx&amp;sheet=U0&amp;row=1132&amp;col=7&amp;number=1.52&amp;sourceID=14","1.52")</f>
        <v>1.52</v>
      </c>
    </row>
    <row r="1133" spans="1:7">
      <c r="A1133" s="3"/>
      <c r="B1133" s="3"/>
      <c r="C1133" s="3"/>
      <c r="D1133" s="3"/>
      <c r="E1133" s="3">
        <v>10</v>
      </c>
      <c r="F1133" s="4" t="str">
        <f>HYPERLINK("http://141.218.60.56/~jnz1568/getInfo.php?workbook=18_15.xlsx&amp;sheet=U0&amp;row=1133&amp;col=6&amp;number=3.9&amp;sourceID=14","3.9")</f>
        <v>3.9</v>
      </c>
      <c r="G1133" s="4" t="str">
        <f>HYPERLINK("http://141.218.60.56/~jnz1568/getInfo.php?workbook=18_15.xlsx&amp;sheet=U0&amp;row=1133&amp;col=7&amp;number=1.52&amp;sourceID=14","1.52")</f>
        <v>1.52</v>
      </c>
    </row>
    <row r="1134" spans="1:7">
      <c r="A1134" s="3"/>
      <c r="B1134" s="3"/>
      <c r="C1134" s="3"/>
      <c r="D1134" s="3"/>
      <c r="E1134" s="3">
        <v>11</v>
      </c>
      <c r="F1134" s="4" t="str">
        <f>HYPERLINK("http://141.218.60.56/~jnz1568/getInfo.php?workbook=18_15.xlsx&amp;sheet=U0&amp;row=1134&amp;col=6&amp;number=4&amp;sourceID=14","4")</f>
        <v>4</v>
      </c>
      <c r="G1134" s="4" t="str">
        <f>HYPERLINK("http://141.218.60.56/~jnz1568/getInfo.php?workbook=18_15.xlsx&amp;sheet=U0&amp;row=1134&amp;col=7&amp;number=1.53&amp;sourceID=14","1.53")</f>
        <v>1.53</v>
      </c>
    </row>
    <row r="1135" spans="1:7">
      <c r="A1135" s="3"/>
      <c r="B1135" s="3"/>
      <c r="C1135" s="3"/>
      <c r="D1135" s="3"/>
      <c r="E1135" s="3">
        <v>12</v>
      </c>
      <c r="F1135" s="4" t="str">
        <f>HYPERLINK("http://141.218.60.56/~jnz1568/getInfo.php?workbook=18_15.xlsx&amp;sheet=U0&amp;row=1135&amp;col=6&amp;number=4.1&amp;sourceID=14","4.1")</f>
        <v>4.1</v>
      </c>
      <c r="G1135" s="4" t="str">
        <f>HYPERLINK("http://141.218.60.56/~jnz1568/getInfo.php?workbook=18_15.xlsx&amp;sheet=U0&amp;row=1135&amp;col=7&amp;number=1.54&amp;sourceID=14","1.54")</f>
        <v>1.54</v>
      </c>
    </row>
    <row r="1136" spans="1:7">
      <c r="A1136" s="3"/>
      <c r="B1136" s="3"/>
      <c r="C1136" s="3"/>
      <c r="D1136" s="3"/>
      <c r="E1136" s="3">
        <v>13</v>
      </c>
      <c r="F1136" s="4" t="str">
        <f>HYPERLINK("http://141.218.60.56/~jnz1568/getInfo.php?workbook=18_15.xlsx&amp;sheet=U0&amp;row=1136&amp;col=6&amp;number=4.2&amp;sourceID=14","4.2")</f>
        <v>4.2</v>
      </c>
      <c r="G1136" s="4" t="str">
        <f>HYPERLINK("http://141.218.60.56/~jnz1568/getInfo.php?workbook=18_15.xlsx&amp;sheet=U0&amp;row=1136&amp;col=7&amp;number=1.55&amp;sourceID=14","1.55")</f>
        <v>1.55</v>
      </c>
    </row>
    <row r="1137" spans="1:7">
      <c r="A1137" s="3"/>
      <c r="B1137" s="3"/>
      <c r="C1137" s="3"/>
      <c r="D1137" s="3"/>
      <c r="E1137" s="3">
        <v>14</v>
      </c>
      <c r="F1137" s="4" t="str">
        <f>HYPERLINK("http://141.218.60.56/~jnz1568/getInfo.php?workbook=18_15.xlsx&amp;sheet=U0&amp;row=1137&amp;col=6&amp;number=4.3&amp;sourceID=14","4.3")</f>
        <v>4.3</v>
      </c>
      <c r="G1137" s="4" t="str">
        <f>HYPERLINK("http://141.218.60.56/~jnz1568/getInfo.php?workbook=18_15.xlsx&amp;sheet=U0&amp;row=1137&amp;col=7&amp;number=1.57&amp;sourceID=14","1.57")</f>
        <v>1.57</v>
      </c>
    </row>
    <row r="1138" spans="1:7">
      <c r="A1138" s="3"/>
      <c r="B1138" s="3"/>
      <c r="C1138" s="3"/>
      <c r="D1138" s="3"/>
      <c r="E1138" s="3">
        <v>15</v>
      </c>
      <c r="F1138" s="4" t="str">
        <f>HYPERLINK("http://141.218.60.56/~jnz1568/getInfo.php?workbook=18_15.xlsx&amp;sheet=U0&amp;row=1138&amp;col=6&amp;number=4.4&amp;sourceID=14","4.4")</f>
        <v>4.4</v>
      </c>
      <c r="G1138" s="4" t="str">
        <f>HYPERLINK("http://141.218.60.56/~jnz1568/getInfo.php?workbook=18_15.xlsx&amp;sheet=U0&amp;row=1138&amp;col=7&amp;number=1.58&amp;sourceID=14","1.58")</f>
        <v>1.58</v>
      </c>
    </row>
    <row r="1139" spans="1:7">
      <c r="A1139" s="3"/>
      <c r="B1139" s="3"/>
      <c r="C1139" s="3"/>
      <c r="D1139" s="3"/>
      <c r="E1139" s="3">
        <v>16</v>
      </c>
      <c r="F1139" s="4" t="str">
        <f>HYPERLINK("http://141.218.60.56/~jnz1568/getInfo.php?workbook=18_15.xlsx&amp;sheet=U0&amp;row=1139&amp;col=6&amp;number=4.5&amp;sourceID=14","4.5")</f>
        <v>4.5</v>
      </c>
      <c r="G1139" s="4" t="str">
        <f>HYPERLINK("http://141.218.60.56/~jnz1568/getInfo.php?workbook=18_15.xlsx&amp;sheet=U0&amp;row=1139&amp;col=7&amp;number=1.61&amp;sourceID=14","1.61")</f>
        <v>1.61</v>
      </c>
    </row>
    <row r="1140" spans="1:7">
      <c r="A1140" s="3"/>
      <c r="B1140" s="3"/>
      <c r="C1140" s="3"/>
      <c r="D1140" s="3"/>
      <c r="E1140" s="3">
        <v>17</v>
      </c>
      <c r="F1140" s="4" t="str">
        <f>HYPERLINK("http://141.218.60.56/~jnz1568/getInfo.php?workbook=18_15.xlsx&amp;sheet=U0&amp;row=1140&amp;col=6&amp;number=4.6&amp;sourceID=14","4.6")</f>
        <v>4.6</v>
      </c>
      <c r="G1140" s="4" t="str">
        <f>HYPERLINK("http://141.218.60.56/~jnz1568/getInfo.php?workbook=18_15.xlsx&amp;sheet=U0&amp;row=1140&amp;col=7&amp;number=1.65&amp;sourceID=14","1.65")</f>
        <v>1.65</v>
      </c>
    </row>
    <row r="1141" spans="1:7">
      <c r="A1141" s="3"/>
      <c r="B1141" s="3"/>
      <c r="C1141" s="3"/>
      <c r="D1141" s="3"/>
      <c r="E1141" s="3">
        <v>18</v>
      </c>
      <c r="F1141" s="4" t="str">
        <f>HYPERLINK("http://141.218.60.56/~jnz1568/getInfo.php?workbook=18_15.xlsx&amp;sheet=U0&amp;row=1141&amp;col=6&amp;number=4.7&amp;sourceID=14","4.7")</f>
        <v>4.7</v>
      </c>
      <c r="G1141" s="4" t="str">
        <f>HYPERLINK("http://141.218.60.56/~jnz1568/getInfo.php?workbook=18_15.xlsx&amp;sheet=U0&amp;row=1141&amp;col=7&amp;number=1.7&amp;sourceID=14","1.7")</f>
        <v>1.7</v>
      </c>
    </row>
    <row r="1142" spans="1:7">
      <c r="A1142" s="3"/>
      <c r="B1142" s="3"/>
      <c r="C1142" s="3"/>
      <c r="D1142" s="3"/>
      <c r="E1142" s="3">
        <v>19</v>
      </c>
      <c r="F1142" s="4" t="str">
        <f>HYPERLINK("http://141.218.60.56/~jnz1568/getInfo.php?workbook=18_15.xlsx&amp;sheet=U0&amp;row=1142&amp;col=6&amp;number=4.8&amp;sourceID=14","4.8")</f>
        <v>4.8</v>
      </c>
      <c r="G1142" s="4" t="str">
        <f>HYPERLINK("http://141.218.60.56/~jnz1568/getInfo.php?workbook=18_15.xlsx&amp;sheet=U0&amp;row=1142&amp;col=7&amp;number=1.77&amp;sourceID=14","1.77")</f>
        <v>1.77</v>
      </c>
    </row>
    <row r="1143" spans="1:7">
      <c r="A1143" s="3"/>
      <c r="B1143" s="3"/>
      <c r="C1143" s="3"/>
      <c r="D1143" s="3"/>
      <c r="E1143" s="3">
        <v>20</v>
      </c>
      <c r="F1143" s="4" t="str">
        <f>HYPERLINK("http://141.218.60.56/~jnz1568/getInfo.php?workbook=18_15.xlsx&amp;sheet=U0&amp;row=1143&amp;col=6&amp;number=4.9&amp;sourceID=14","4.9")</f>
        <v>4.9</v>
      </c>
      <c r="G1143" s="4" t="str">
        <f>HYPERLINK("http://141.218.60.56/~jnz1568/getInfo.php?workbook=18_15.xlsx&amp;sheet=U0&amp;row=1143&amp;col=7&amp;number=1.83&amp;sourceID=14","1.83")</f>
        <v>1.83</v>
      </c>
    </row>
    <row r="1144" spans="1:7">
      <c r="A1144" s="3">
        <v>18</v>
      </c>
      <c r="B1144" s="3">
        <v>15</v>
      </c>
      <c r="C1144" s="3">
        <v>3</v>
      </c>
      <c r="D1144" s="3">
        <v>5</v>
      </c>
      <c r="E1144" s="3">
        <v>1</v>
      </c>
      <c r="F1144" s="4" t="str">
        <f>HYPERLINK("http://141.218.60.56/~jnz1568/getInfo.php?workbook=18_15.xlsx&amp;sheet=U0&amp;row=1144&amp;col=6&amp;number=3&amp;sourceID=14","3")</f>
        <v>3</v>
      </c>
      <c r="G1144" s="4" t="str">
        <f>HYPERLINK("http://141.218.60.56/~jnz1568/getInfo.php?workbook=18_15.xlsx&amp;sheet=U0&amp;row=1144&amp;col=7&amp;number=4.19&amp;sourceID=14","4.19")</f>
        <v>4.19</v>
      </c>
    </row>
    <row r="1145" spans="1:7">
      <c r="A1145" s="3"/>
      <c r="B1145" s="3"/>
      <c r="C1145" s="3"/>
      <c r="D1145" s="3"/>
      <c r="E1145" s="3">
        <v>2</v>
      </c>
      <c r="F1145" s="4" t="str">
        <f>HYPERLINK("http://141.218.60.56/~jnz1568/getInfo.php?workbook=18_15.xlsx&amp;sheet=U0&amp;row=1145&amp;col=6&amp;number=3.1&amp;sourceID=14","3.1")</f>
        <v>3.1</v>
      </c>
      <c r="G1145" s="4" t="str">
        <f>HYPERLINK("http://141.218.60.56/~jnz1568/getInfo.php?workbook=18_15.xlsx&amp;sheet=U0&amp;row=1145&amp;col=7&amp;number=4.17&amp;sourceID=14","4.17")</f>
        <v>4.17</v>
      </c>
    </row>
    <row r="1146" spans="1:7">
      <c r="A1146" s="3"/>
      <c r="B1146" s="3"/>
      <c r="C1146" s="3"/>
      <c r="D1146" s="3"/>
      <c r="E1146" s="3">
        <v>3</v>
      </c>
      <c r="F1146" s="4" t="str">
        <f>HYPERLINK("http://141.218.60.56/~jnz1568/getInfo.php?workbook=18_15.xlsx&amp;sheet=U0&amp;row=1146&amp;col=6&amp;number=3.2&amp;sourceID=14","3.2")</f>
        <v>3.2</v>
      </c>
      <c r="G1146" s="4" t="str">
        <f>HYPERLINK("http://141.218.60.56/~jnz1568/getInfo.php?workbook=18_15.xlsx&amp;sheet=U0&amp;row=1146&amp;col=7&amp;number=4.16&amp;sourceID=14","4.16")</f>
        <v>4.16</v>
      </c>
    </row>
    <row r="1147" spans="1:7">
      <c r="A1147" s="3"/>
      <c r="B1147" s="3"/>
      <c r="C1147" s="3"/>
      <c r="D1147" s="3"/>
      <c r="E1147" s="3">
        <v>4</v>
      </c>
      <c r="F1147" s="4" t="str">
        <f>HYPERLINK("http://141.218.60.56/~jnz1568/getInfo.php?workbook=18_15.xlsx&amp;sheet=U0&amp;row=1147&amp;col=6&amp;number=3.3&amp;sourceID=14","3.3")</f>
        <v>3.3</v>
      </c>
      <c r="G1147" s="4" t="str">
        <f>HYPERLINK("http://141.218.60.56/~jnz1568/getInfo.php?workbook=18_15.xlsx&amp;sheet=U0&amp;row=1147&amp;col=7&amp;number=4.14&amp;sourceID=14","4.14")</f>
        <v>4.14</v>
      </c>
    </row>
    <row r="1148" spans="1:7">
      <c r="A1148" s="3"/>
      <c r="B1148" s="3"/>
      <c r="C1148" s="3"/>
      <c r="D1148" s="3"/>
      <c r="E1148" s="3">
        <v>5</v>
      </c>
      <c r="F1148" s="4" t="str">
        <f>HYPERLINK("http://141.218.60.56/~jnz1568/getInfo.php?workbook=18_15.xlsx&amp;sheet=U0&amp;row=1148&amp;col=6&amp;number=3.4&amp;sourceID=14","3.4")</f>
        <v>3.4</v>
      </c>
      <c r="G1148" s="4" t="str">
        <f>HYPERLINK("http://141.218.60.56/~jnz1568/getInfo.php?workbook=18_15.xlsx&amp;sheet=U0&amp;row=1148&amp;col=7&amp;number=4.11&amp;sourceID=14","4.11")</f>
        <v>4.11</v>
      </c>
    </row>
    <row r="1149" spans="1:7">
      <c r="A1149" s="3"/>
      <c r="B1149" s="3"/>
      <c r="C1149" s="3"/>
      <c r="D1149" s="3"/>
      <c r="E1149" s="3">
        <v>6</v>
      </c>
      <c r="F1149" s="4" t="str">
        <f>HYPERLINK("http://141.218.60.56/~jnz1568/getInfo.php?workbook=18_15.xlsx&amp;sheet=U0&amp;row=1149&amp;col=6&amp;number=3.5&amp;sourceID=14","3.5")</f>
        <v>3.5</v>
      </c>
      <c r="G1149" s="4" t="str">
        <f>HYPERLINK("http://141.218.60.56/~jnz1568/getInfo.php?workbook=18_15.xlsx&amp;sheet=U0&amp;row=1149&amp;col=7&amp;number=4.08&amp;sourceID=14","4.08")</f>
        <v>4.08</v>
      </c>
    </row>
    <row r="1150" spans="1:7">
      <c r="A1150" s="3"/>
      <c r="B1150" s="3"/>
      <c r="C1150" s="3"/>
      <c r="D1150" s="3"/>
      <c r="E1150" s="3">
        <v>7</v>
      </c>
      <c r="F1150" s="4" t="str">
        <f>HYPERLINK("http://141.218.60.56/~jnz1568/getInfo.php?workbook=18_15.xlsx&amp;sheet=U0&amp;row=1150&amp;col=6&amp;number=3.6&amp;sourceID=14","3.6")</f>
        <v>3.6</v>
      </c>
      <c r="G1150" s="4" t="str">
        <f>HYPERLINK("http://141.218.60.56/~jnz1568/getInfo.php?workbook=18_15.xlsx&amp;sheet=U0&amp;row=1150&amp;col=7&amp;number=4.05&amp;sourceID=14","4.05")</f>
        <v>4.05</v>
      </c>
    </row>
    <row r="1151" spans="1:7">
      <c r="A1151" s="3"/>
      <c r="B1151" s="3"/>
      <c r="C1151" s="3"/>
      <c r="D1151" s="3"/>
      <c r="E1151" s="3">
        <v>8</v>
      </c>
      <c r="F1151" s="4" t="str">
        <f>HYPERLINK("http://141.218.60.56/~jnz1568/getInfo.php?workbook=18_15.xlsx&amp;sheet=U0&amp;row=1151&amp;col=6&amp;number=3.7&amp;sourceID=14","3.7")</f>
        <v>3.7</v>
      </c>
      <c r="G1151" s="4" t="str">
        <f>HYPERLINK("http://141.218.60.56/~jnz1568/getInfo.php?workbook=18_15.xlsx&amp;sheet=U0&amp;row=1151&amp;col=7&amp;number=4.01&amp;sourceID=14","4.01")</f>
        <v>4.01</v>
      </c>
    </row>
    <row r="1152" spans="1:7">
      <c r="A1152" s="3"/>
      <c r="B1152" s="3"/>
      <c r="C1152" s="3"/>
      <c r="D1152" s="3"/>
      <c r="E1152" s="3">
        <v>9</v>
      </c>
      <c r="F1152" s="4" t="str">
        <f>HYPERLINK("http://141.218.60.56/~jnz1568/getInfo.php?workbook=18_15.xlsx&amp;sheet=U0&amp;row=1152&amp;col=6&amp;number=3.8&amp;sourceID=14","3.8")</f>
        <v>3.8</v>
      </c>
      <c r="G1152" s="4" t="str">
        <f>HYPERLINK("http://141.218.60.56/~jnz1568/getInfo.php?workbook=18_15.xlsx&amp;sheet=U0&amp;row=1152&amp;col=7&amp;number=3.97&amp;sourceID=14","3.97")</f>
        <v>3.97</v>
      </c>
    </row>
    <row r="1153" spans="1:7">
      <c r="A1153" s="3"/>
      <c r="B1153" s="3"/>
      <c r="C1153" s="3"/>
      <c r="D1153" s="3"/>
      <c r="E1153" s="3">
        <v>10</v>
      </c>
      <c r="F1153" s="4" t="str">
        <f>HYPERLINK("http://141.218.60.56/~jnz1568/getInfo.php?workbook=18_15.xlsx&amp;sheet=U0&amp;row=1153&amp;col=6&amp;number=3.9&amp;sourceID=14","3.9")</f>
        <v>3.9</v>
      </c>
      <c r="G1153" s="4" t="str">
        <f>HYPERLINK("http://141.218.60.56/~jnz1568/getInfo.php?workbook=18_15.xlsx&amp;sheet=U0&amp;row=1153&amp;col=7&amp;number=3.94&amp;sourceID=14","3.94")</f>
        <v>3.94</v>
      </c>
    </row>
    <row r="1154" spans="1:7">
      <c r="A1154" s="3"/>
      <c r="B1154" s="3"/>
      <c r="C1154" s="3"/>
      <c r="D1154" s="3"/>
      <c r="E1154" s="3">
        <v>11</v>
      </c>
      <c r="F1154" s="4" t="str">
        <f>HYPERLINK("http://141.218.60.56/~jnz1568/getInfo.php?workbook=18_15.xlsx&amp;sheet=U0&amp;row=1154&amp;col=6&amp;number=4&amp;sourceID=14","4")</f>
        <v>4</v>
      </c>
      <c r="G1154" s="4" t="str">
        <f>HYPERLINK("http://141.218.60.56/~jnz1568/getInfo.php?workbook=18_15.xlsx&amp;sheet=U0&amp;row=1154&amp;col=7&amp;number=3.93&amp;sourceID=14","3.93")</f>
        <v>3.93</v>
      </c>
    </row>
    <row r="1155" spans="1:7">
      <c r="A1155" s="3"/>
      <c r="B1155" s="3"/>
      <c r="C1155" s="3"/>
      <c r="D1155" s="3"/>
      <c r="E1155" s="3">
        <v>12</v>
      </c>
      <c r="F1155" s="4" t="str">
        <f>HYPERLINK("http://141.218.60.56/~jnz1568/getInfo.php?workbook=18_15.xlsx&amp;sheet=U0&amp;row=1155&amp;col=6&amp;number=4.1&amp;sourceID=14","4.1")</f>
        <v>4.1</v>
      </c>
      <c r="G1155" s="4" t="str">
        <f>HYPERLINK("http://141.218.60.56/~jnz1568/getInfo.php?workbook=18_15.xlsx&amp;sheet=U0&amp;row=1155&amp;col=7&amp;number=3.94&amp;sourceID=14","3.94")</f>
        <v>3.94</v>
      </c>
    </row>
    <row r="1156" spans="1:7">
      <c r="A1156" s="3"/>
      <c r="B1156" s="3"/>
      <c r="C1156" s="3"/>
      <c r="D1156" s="3"/>
      <c r="E1156" s="3">
        <v>13</v>
      </c>
      <c r="F1156" s="4" t="str">
        <f>HYPERLINK("http://141.218.60.56/~jnz1568/getInfo.php?workbook=18_15.xlsx&amp;sheet=U0&amp;row=1156&amp;col=6&amp;number=4.2&amp;sourceID=14","4.2")</f>
        <v>4.2</v>
      </c>
      <c r="G1156" s="4" t="str">
        <f>HYPERLINK("http://141.218.60.56/~jnz1568/getInfo.php?workbook=18_15.xlsx&amp;sheet=U0&amp;row=1156&amp;col=7&amp;number=3.97&amp;sourceID=14","3.97")</f>
        <v>3.97</v>
      </c>
    </row>
    <row r="1157" spans="1:7">
      <c r="A1157" s="3"/>
      <c r="B1157" s="3"/>
      <c r="C1157" s="3"/>
      <c r="D1157" s="3"/>
      <c r="E1157" s="3">
        <v>14</v>
      </c>
      <c r="F1157" s="4" t="str">
        <f>HYPERLINK("http://141.218.60.56/~jnz1568/getInfo.php?workbook=18_15.xlsx&amp;sheet=U0&amp;row=1157&amp;col=6&amp;number=4.3&amp;sourceID=14","4.3")</f>
        <v>4.3</v>
      </c>
      <c r="G1157" s="4" t="str">
        <f>HYPERLINK("http://141.218.60.56/~jnz1568/getInfo.php?workbook=18_15.xlsx&amp;sheet=U0&amp;row=1157&amp;col=7&amp;number=4.02&amp;sourceID=14","4.02")</f>
        <v>4.02</v>
      </c>
    </row>
    <row r="1158" spans="1:7">
      <c r="A1158" s="3"/>
      <c r="B1158" s="3"/>
      <c r="C1158" s="3"/>
      <c r="D1158" s="3"/>
      <c r="E1158" s="3">
        <v>15</v>
      </c>
      <c r="F1158" s="4" t="str">
        <f>HYPERLINK("http://141.218.60.56/~jnz1568/getInfo.php?workbook=18_15.xlsx&amp;sheet=U0&amp;row=1158&amp;col=6&amp;number=4.4&amp;sourceID=14","4.4")</f>
        <v>4.4</v>
      </c>
      <c r="G1158" s="4" t="str">
        <f>HYPERLINK("http://141.218.60.56/~jnz1568/getInfo.php?workbook=18_15.xlsx&amp;sheet=U0&amp;row=1158&amp;col=7&amp;number=4.08&amp;sourceID=14","4.08")</f>
        <v>4.08</v>
      </c>
    </row>
    <row r="1159" spans="1:7">
      <c r="A1159" s="3"/>
      <c r="B1159" s="3"/>
      <c r="C1159" s="3"/>
      <c r="D1159" s="3"/>
      <c r="E1159" s="3">
        <v>16</v>
      </c>
      <c r="F1159" s="4" t="str">
        <f>HYPERLINK("http://141.218.60.56/~jnz1568/getInfo.php?workbook=18_15.xlsx&amp;sheet=U0&amp;row=1159&amp;col=6&amp;number=4.5&amp;sourceID=14","4.5")</f>
        <v>4.5</v>
      </c>
      <c r="G1159" s="4" t="str">
        <f>HYPERLINK("http://141.218.60.56/~jnz1568/getInfo.php?workbook=18_15.xlsx&amp;sheet=U0&amp;row=1159&amp;col=7&amp;number=4.16&amp;sourceID=14","4.16")</f>
        <v>4.16</v>
      </c>
    </row>
    <row r="1160" spans="1:7">
      <c r="A1160" s="3"/>
      <c r="B1160" s="3"/>
      <c r="C1160" s="3"/>
      <c r="D1160" s="3"/>
      <c r="E1160" s="3">
        <v>17</v>
      </c>
      <c r="F1160" s="4" t="str">
        <f>HYPERLINK("http://141.218.60.56/~jnz1568/getInfo.php?workbook=18_15.xlsx&amp;sheet=U0&amp;row=1160&amp;col=6&amp;number=4.6&amp;sourceID=14","4.6")</f>
        <v>4.6</v>
      </c>
      <c r="G1160" s="4" t="str">
        <f>HYPERLINK("http://141.218.60.56/~jnz1568/getInfo.php?workbook=18_15.xlsx&amp;sheet=U0&amp;row=1160&amp;col=7&amp;number=4.27&amp;sourceID=14","4.27")</f>
        <v>4.27</v>
      </c>
    </row>
    <row r="1161" spans="1:7">
      <c r="A1161" s="3"/>
      <c r="B1161" s="3"/>
      <c r="C1161" s="3"/>
      <c r="D1161" s="3"/>
      <c r="E1161" s="3">
        <v>18</v>
      </c>
      <c r="F1161" s="4" t="str">
        <f>HYPERLINK("http://141.218.60.56/~jnz1568/getInfo.php?workbook=18_15.xlsx&amp;sheet=U0&amp;row=1161&amp;col=6&amp;number=4.7&amp;sourceID=14","4.7")</f>
        <v>4.7</v>
      </c>
      <c r="G1161" s="4" t="str">
        <f>HYPERLINK("http://141.218.60.56/~jnz1568/getInfo.php?workbook=18_15.xlsx&amp;sheet=U0&amp;row=1161&amp;col=7&amp;number=4.42&amp;sourceID=14","4.42")</f>
        <v>4.42</v>
      </c>
    </row>
    <row r="1162" spans="1:7">
      <c r="A1162" s="3"/>
      <c r="B1162" s="3"/>
      <c r="C1162" s="3"/>
      <c r="D1162" s="3"/>
      <c r="E1162" s="3">
        <v>19</v>
      </c>
      <c r="F1162" s="4" t="str">
        <f>HYPERLINK("http://141.218.60.56/~jnz1568/getInfo.php?workbook=18_15.xlsx&amp;sheet=U0&amp;row=1162&amp;col=6&amp;number=4.8&amp;sourceID=14","4.8")</f>
        <v>4.8</v>
      </c>
      <c r="G1162" s="4" t="str">
        <f>HYPERLINK("http://141.218.60.56/~jnz1568/getInfo.php?workbook=18_15.xlsx&amp;sheet=U0&amp;row=1162&amp;col=7&amp;number=4.63&amp;sourceID=14","4.63")</f>
        <v>4.63</v>
      </c>
    </row>
    <row r="1163" spans="1:7">
      <c r="A1163" s="3"/>
      <c r="B1163" s="3"/>
      <c r="C1163" s="3"/>
      <c r="D1163" s="3"/>
      <c r="E1163" s="3">
        <v>20</v>
      </c>
      <c r="F1163" s="4" t="str">
        <f>HYPERLINK("http://141.218.60.56/~jnz1568/getInfo.php?workbook=18_15.xlsx&amp;sheet=U0&amp;row=1163&amp;col=6&amp;number=4.9&amp;sourceID=14","4.9")</f>
        <v>4.9</v>
      </c>
      <c r="G1163" s="4" t="str">
        <f>HYPERLINK("http://141.218.60.56/~jnz1568/getInfo.php?workbook=18_15.xlsx&amp;sheet=U0&amp;row=1163&amp;col=7&amp;number=4.84&amp;sourceID=14","4.84")</f>
        <v>4.84</v>
      </c>
    </row>
    <row r="1164" spans="1:7">
      <c r="A1164" s="3">
        <v>18</v>
      </c>
      <c r="B1164" s="3">
        <v>15</v>
      </c>
      <c r="C1164" s="3">
        <v>3</v>
      </c>
      <c r="D1164" s="3">
        <v>6</v>
      </c>
      <c r="E1164" s="3">
        <v>1</v>
      </c>
      <c r="F1164" s="4" t="str">
        <f>HYPERLINK("http://141.218.60.56/~jnz1568/getInfo.php?workbook=18_15.xlsx&amp;sheet=U0&amp;row=1164&amp;col=6&amp;number=3&amp;sourceID=14","3")</f>
        <v>3</v>
      </c>
      <c r="G1164" s="4" t="str">
        <f>HYPERLINK("http://141.218.60.56/~jnz1568/getInfo.php?workbook=18_15.xlsx&amp;sheet=U0&amp;row=1164&amp;col=7&amp;number=0.304&amp;sourceID=14","0.304")</f>
        <v>0.304</v>
      </c>
    </row>
    <row r="1165" spans="1:7">
      <c r="A1165" s="3"/>
      <c r="B1165" s="3"/>
      <c r="C1165" s="3"/>
      <c r="D1165" s="3"/>
      <c r="E1165" s="3">
        <v>2</v>
      </c>
      <c r="F1165" s="4" t="str">
        <f>HYPERLINK("http://141.218.60.56/~jnz1568/getInfo.php?workbook=18_15.xlsx&amp;sheet=U0&amp;row=1165&amp;col=6&amp;number=3.1&amp;sourceID=14","3.1")</f>
        <v>3.1</v>
      </c>
      <c r="G1165" s="4" t="str">
        <f>HYPERLINK("http://141.218.60.56/~jnz1568/getInfo.php?workbook=18_15.xlsx&amp;sheet=U0&amp;row=1165&amp;col=7&amp;number=0.3&amp;sourceID=14","0.3")</f>
        <v>0.3</v>
      </c>
    </row>
    <row r="1166" spans="1:7">
      <c r="A1166" s="3"/>
      <c r="B1166" s="3"/>
      <c r="C1166" s="3"/>
      <c r="D1166" s="3"/>
      <c r="E1166" s="3">
        <v>3</v>
      </c>
      <c r="F1166" s="4" t="str">
        <f>HYPERLINK("http://141.218.60.56/~jnz1568/getInfo.php?workbook=18_15.xlsx&amp;sheet=U0&amp;row=1166&amp;col=6&amp;number=3.2&amp;sourceID=14","3.2")</f>
        <v>3.2</v>
      </c>
      <c r="G1166" s="4" t="str">
        <f>HYPERLINK("http://141.218.60.56/~jnz1568/getInfo.php?workbook=18_15.xlsx&amp;sheet=U0&amp;row=1166&amp;col=7&amp;number=0.296&amp;sourceID=14","0.296")</f>
        <v>0.296</v>
      </c>
    </row>
    <row r="1167" spans="1:7">
      <c r="A1167" s="3"/>
      <c r="B1167" s="3"/>
      <c r="C1167" s="3"/>
      <c r="D1167" s="3"/>
      <c r="E1167" s="3">
        <v>4</v>
      </c>
      <c r="F1167" s="4" t="str">
        <f>HYPERLINK("http://141.218.60.56/~jnz1568/getInfo.php?workbook=18_15.xlsx&amp;sheet=U0&amp;row=1167&amp;col=6&amp;number=3.3&amp;sourceID=14","3.3")</f>
        <v>3.3</v>
      </c>
      <c r="G1167" s="4" t="str">
        <f>HYPERLINK("http://141.218.60.56/~jnz1568/getInfo.php?workbook=18_15.xlsx&amp;sheet=U0&amp;row=1167&amp;col=7&amp;number=0.29&amp;sourceID=14","0.29")</f>
        <v>0.29</v>
      </c>
    </row>
    <row r="1168" spans="1:7">
      <c r="A1168" s="3"/>
      <c r="B1168" s="3"/>
      <c r="C1168" s="3"/>
      <c r="D1168" s="3"/>
      <c r="E1168" s="3">
        <v>5</v>
      </c>
      <c r="F1168" s="4" t="str">
        <f>HYPERLINK("http://141.218.60.56/~jnz1568/getInfo.php?workbook=18_15.xlsx&amp;sheet=U0&amp;row=1168&amp;col=6&amp;number=3.4&amp;sourceID=14","3.4")</f>
        <v>3.4</v>
      </c>
      <c r="G1168" s="4" t="str">
        <f>HYPERLINK("http://141.218.60.56/~jnz1568/getInfo.php?workbook=18_15.xlsx&amp;sheet=U0&amp;row=1168&amp;col=7&amp;number=0.283&amp;sourceID=14","0.283")</f>
        <v>0.283</v>
      </c>
    </row>
    <row r="1169" spans="1:7">
      <c r="A1169" s="3"/>
      <c r="B1169" s="3"/>
      <c r="C1169" s="3"/>
      <c r="D1169" s="3"/>
      <c r="E1169" s="3">
        <v>6</v>
      </c>
      <c r="F1169" s="4" t="str">
        <f>HYPERLINK("http://141.218.60.56/~jnz1568/getInfo.php?workbook=18_15.xlsx&amp;sheet=U0&amp;row=1169&amp;col=6&amp;number=3.5&amp;sourceID=14","3.5")</f>
        <v>3.5</v>
      </c>
      <c r="G1169" s="4" t="str">
        <f>HYPERLINK("http://141.218.60.56/~jnz1568/getInfo.php?workbook=18_15.xlsx&amp;sheet=U0&amp;row=1169&amp;col=7&amp;number=0.275&amp;sourceID=14","0.275")</f>
        <v>0.275</v>
      </c>
    </row>
    <row r="1170" spans="1:7">
      <c r="A1170" s="3"/>
      <c r="B1170" s="3"/>
      <c r="C1170" s="3"/>
      <c r="D1170" s="3"/>
      <c r="E1170" s="3">
        <v>7</v>
      </c>
      <c r="F1170" s="4" t="str">
        <f>HYPERLINK("http://141.218.60.56/~jnz1568/getInfo.php?workbook=18_15.xlsx&amp;sheet=U0&amp;row=1170&amp;col=6&amp;number=3.6&amp;sourceID=14","3.6")</f>
        <v>3.6</v>
      </c>
      <c r="G1170" s="4" t="str">
        <f>HYPERLINK("http://141.218.60.56/~jnz1568/getInfo.php?workbook=18_15.xlsx&amp;sheet=U0&amp;row=1170&amp;col=7&amp;number=0.266&amp;sourceID=14","0.266")</f>
        <v>0.266</v>
      </c>
    </row>
    <row r="1171" spans="1:7">
      <c r="A1171" s="3"/>
      <c r="B1171" s="3"/>
      <c r="C1171" s="3"/>
      <c r="D1171" s="3"/>
      <c r="E1171" s="3">
        <v>8</v>
      </c>
      <c r="F1171" s="4" t="str">
        <f>HYPERLINK("http://141.218.60.56/~jnz1568/getInfo.php?workbook=18_15.xlsx&amp;sheet=U0&amp;row=1171&amp;col=6&amp;number=3.7&amp;sourceID=14","3.7")</f>
        <v>3.7</v>
      </c>
      <c r="G1171" s="4" t="str">
        <f>HYPERLINK("http://141.218.60.56/~jnz1568/getInfo.php?workbook=18_15.xlsx&amp;sheet=U0&amp;row=1171&amp;col=7&amp;number=0.257&amp;sourceID=14","0.257")</f>
        <v>0.257</v>
      </c>
    </row>
    <row r="1172" spans="1:7">
      <c r="A1172" s="3"/>
      <c r="B1172" s="3"/>
      <c r="C1172" s="3"/>
      <c r="D1172" s="3"/>
      <c r="E1172" s="3">
        <v>9</v>
      </c>
      <c r="F1172" s="4" t="str">
        <f>HYPERLINK("http://141.218.60.56/~jnz1568/getInfo.php?workbook=18_15.xlsx&amp;sheet=U0&amp;row=1172&amp;col=6&amp;number=3.8&amp;sourceID=14","3.8")</f>
        <v>3.8</v>
      </c>
      <c r="G1172" s="4" t="str">
        <f>HYPERLINK("http://141.218.60.56/~jnz1568/getInfo.php?workbook=18_15.xlsx&amp;sheet=U0&amp;row=1172&amp;col=7&amp;number=0.248&amp;sourceID=14","0.248")</f>
        <v>0.248</v>
      </c>
    </row>
    <row r="1173" spans="1:7">
      <c r="A1173" s="3"/>
      <c r="B1173" s="3"/>
      <c r="C1173" s="3"/>
      <c r="D1173" s="3"/>
      <c r="E1173" s="3">
        <v>10</v>
      </c>
      <c r="F1173" s="4" t="str">
        <f>HYPERLINK("http://141.218.60.56/~jnz1568/getInfo.php?workbook=18_15.xlsx&amp;sheet=U0&amp;row=1173&amp;col=6&amp;number=3.9&amp;sourceID=14","3.9")</f>
        <v>3.9</v>
      </c>
      <c r="G1173" s="4" t="str">
        <f>HYPERLINK("http://141.218.60.56/~jnz1568/getInfo.php?workbook=18_15.xlsx&amp;sheet=U0&amp;row=1173&amp;col=7&amp;number=0.24&amp;sourceID=14","0.24")</f>
        <v>0.24</v>
      </c>
    </row>
    <row r="1174" spans="1:7">
      <c r="A1174" s="3"/>
      <c r="B1174" s="3"/>
      <c r="C1174" s="3"/>
      <c r="D1174" s="3"/>
      <c r="E1174" s="3">
        <v>11</v>
      </c>
      <c r="F1174" s="4" t="str">
        <f>HYPERLINK("http://141.218.60.56/~jnz1568/getInfo.php?workbook=18_15.xlsx&amp;sheet=U0&amp;row=1174&amp;col=6&amp;number=4&amp;sourceID=14","4")</f>
        <v>4</v>
      </c>
      <c r="G1174" s="4" t="str">
        <f>HYPERLINK("http://141.218.60.56/~jnz1568/getInfo.php?workbook=18_15.xlsx&amp;sheet=U0&amp;row=1174&amp;col=7&amp;number=0.234&amp;sourceID=14","0.234")</f>
        <v>0.234</v>
      </c>
    </row>
    <row r="1175" spans="1:7">
      <c r="A1175" s="3"/>
      <c r="B1175" s="3"/>
      <c r="C1175" s="3"/>
      <c r="D1175" s="3"/>
      <c r="E1175" s="3">
        <v>12</v>
      </c>
      <c r="F1175" s="4" t="str">
        <f>HYPERLINK("http://141.218.60.56/~jnz1568/getInfo.php?workbook=18_15.xlsx&amp;sheet=U0&amp;row=1175&amp;col=6&amp;number=4.1&amp;sourceID=14","4.1")</f>
        <v>4.1</v>
      </c>
      <c r="G1175" s="4" t="str">
        <f>HYPERLINK("http://141.218.60.56/~jnz1568/getInfo.php?workbook=18_15.xlsx&amp;sheet=U0&amp;row=1175&amp;col=7&amp;number=0.229&amp;sourceID=14","0.229")</f>
        <v>0.229</v>
      </c>
    </row>
    <row r="1176" spans="1:7">
      <c r="A1176" s="3"/>
      <c r="B1176" s="3"/>
      <c r="C1176" s="3"/>
      <c r="D1176" s="3"/>
      <c r="E1176" s="3">
        <v>13</v>
      </c>
      <c r="F1176" s="4" t="str">
        <f>HYPERLINK("http://141.218.60.56/~jnz1568/getInfo.php?workbook=18_15.xlsx&amp;sheet=U0&amp;row=1176&amp;col=6&amp;number=4.2&amp;sourceID=14","4.2")</f>
        <v>4.2</v>
      </c>
      <c r="G1176" s="4" t="str">
        <f>HYPERLINK("http://141.218.60.56/~jnz1568/getInfo.php?workbook=18_15.xlsx&amp;sheet=U0&amp;row=1176&amp;col=7&amp;number=0.226&amp;sourceID=14","0.226")</f>
        <v>0.226</v>
      </c>
    </row>
    <row r="1177" spans="1:7">
      <c r="A1177" s="3"/>
      <c r="B1177" s="3"/>
      <c r="C1177" s="3"/>
      <c r="D1177" s="3"/>
      <c r="E1177" s="3">
        <v>14</v>
      </c>
      <c r="F1177" s="4" t="str">
        <f>HYPERLINK("http://141.218.60.56/~jnz1568/getInfo.php?workbook=18_15.xlsx&amp;sheet=U0&amp;row=1177&amp;col=6&amp;number=4.3&amp;sourceID=14","4.3")</f>
        <v>4.3</v>
      </c>
      <c r="G1177" s="4" t="str">
        <f>HYPERLINK("http://141.218.60.56/~jnz1568/getInfo.php?workbook=18_15.xlsx&amp;sheet=U0&amp;row=1177&amp;col=7&amp;number=0.222&amp;sourceID=14","0.222")</f>
        <v>0.222</v>
      </c>
    </row>
    <row r="1178" spans="1:7">
      <c r="A1178" s="3"/>
      <c r="B1178" s="3"/>
      <c r="C1178" s="3"/>
      <c r="D1178" s="3"/>
      <c r="E1178" s="3">
        <v>15</v>
      </c>
      <c r="F1178" s="4" t="str">
        <f>HYPERLINK("http://141.218.60.56/~jnz1568/getInfo.php?workbook=18_15.xlsx&amp;sheet=U0&amp;row=1178&amp;col=6&amp;number=4.4&amp;sourceID=14","4.4")</f>
        <v>4.4</v>
      </c>
      <c r="G1178" s="4" t="str">
        <f>HYPERLINK("http://141.218.60.56/~jnz1568/getInfo.php?workbook=18_15.xlsx&amp;sheet=U0&amp;row=1178&amp;col=7&amp;number=0.217&amp;sourceID=14","0.217")</f>
        <v>0.217</v>
      </c>
    </row>
    <row r="1179" spans="1:7">
      <c r="A1179" s="3"/>
      <c r="B1179" s="3"/>
      <c r="C1179" s="3"/>
      <c r="D1179" s="3"/>
      <c r="E1179" s="3">
        <v>16</v>
      </c>
      <c r="F1179" s="4" t="str">
        <f>HYPERLINK("http://141.218.60.56/~jnz1568/getInfo.php?workbook=18_15.xlsx&amp;sheet=U0&amp;row=1179&amp;col=6&amp;number=4.5&amp;sourceID=14","4.5")</f>
        <v>4.5</v>
      </c>
      <c r="G1179" s="4" t="str">
        <f>HYPERLINK("http://141.218.60.56/~jnz1568/getInfo.php?workbook=18_15.xlsx&amp;sheet=U0&amp;row=1179&amp;col=7&amp;number=0.212&amp;sourceID=14","0.212")</f>
        <v>0.212</v>
      </c>
    </row>
    <row r="1180" spans="1:7">
      <c r="A1180" s="3"/>
      <c r="B1180" s="3"/>
      <c r="C1180" s="3"/>
      <c r="D1180" s="3"/>
      <c r="E1180" s="3">
        <v>17</v>
      </c>
      <c r="F1180" s="4" t="str">
        <f>HYPERLINK("http://141.218.60.56/~jnz1568/getInfo.php?workbook=18_15.xlsx&amp;sheet=U0&amp;row=1180&amp;col=6&amp;number=4.6&amp;sourceID=14","4.6")</f>
        <v>4.6</v>
      </c>
      <c r="G1180" s="4" t="str">
        <f>HYPERLINK("http://141.218.60.56/~jnz1568/getInfo.php?workbook=18_15.xlsx&amp;sheet=U0&amp;row=1180&amp;col=7&amp;number=0.207&amp;sourceID=14","0.207")</f>
        <v>0.207</v>
      </c>
    </row>
    <row r="1181" spans="1:7">
      <c r="A1181" s="3"/>
      <c r="B1181" s="3"/>
      <c r="C1181" s="3"/>
      <c r="D1181" s="3"/>
      <c r="E1181" s="3">
        <v>18</v>
      </c>
      <c r="F1181" s="4" t="str">
        <f>HYPERLINK("http://141.218.60.56/~jnz1568/getInfo.php?workbook=18_15.xlsx&amp;sheet=U0&amp;row=1181&amp;col=6&amp;number=4.7&amp;sourceID=14","4.7")</f>
        <v>4.7</v>
      </c>
      <c r="G1181" s="4" t="str">
        <f>HYPERLINK("http://141.218.60.56/~jnz1568/getInfo.php?workbook=18_15.xlsx&amp;sheet=U0&amp;row=1181&amp;col=7&amp;number=0.201&amp;sourceID=14","0.201")</f>
        <v>0.201</v>
      </c>
    </row>
    <row r="1182" spans="1:7">
      <c r="A1182" s="3"/>
      <c r="B1182" s="3"/>
      <c r="C1182" s="3"/>
      <c r="D1182" s="3"/>
      <c r="E1182" s="3">
        <v>19</v>
      </c>
      <c r="F1182" s="4" t="str">
        <f>HYPERLINK("http://141.218.60.56/~jnz1568/getInfo.php?workbook=18_15.xlsx&amp;sheet=U0&amp;row=1182&amp;col=6&amp;number=4.8&amp;sourceID=14","4.8")</f>
        <v>4.8</v>
      </c>
      <c r="G1182" s="4" t="str">
        <f>HYPERLINK("http://141.218.60.56/~jnz1568/getInfo.php?workbook=18_15.xlsx&amp;sheet=U0&amp;row=1182&amp;col=7&amp;number=0.194&amp;sourceID=14","0.194")</f>
        <v>0.194</v>
      </c>
    </row>
    <row r="1183" spans="1:7">
      <c r="A1183" s="3"/>
      <c r="B1183" s="3"/>
      <c r="C1183" s="3"/>
      <c r="D1183" s="3"/>
      <c r="E1183" s="3">
        <v>20</v>
      </c>
      <c r="F1183" s="4" t="str">
        <f>HYPERLINK("http://141.218.60.56/~jnz1568/getInfo.php?workbook=18_15.xlsx&amp;sheet=U0&amp;row=1183&amp;col=6&amp;number=4.9&amp;sourceID=14","4.9")</f>
        <v>4.9</v>
      </c>
      <c r="G1183" s="4" t="str">
        <f>HYPERLINK("http://141.218.60.56/~jnz1568/getInfo.php?workbook=18_15.xlsx&amp;sheet=U0&amp;row=1183&amp;col=7&amp;number=0.185&amp;sourceID=14","0.185")</f>
        <v>0.185</v>
      </c>
    </row>
    <row r="1184" spans="1:7">
      <c r="A1184" s="3">
        <v>18</v>
      </c>
      <c r="B1184" s="3">
        <v>15</v>
      </c>
      <c r="C1184" s="3">
        <v>3</v>
      </c>
      <c r="D1184" s="3">
        <v>7</v>
      </c>
      <c r="E1184" s="3">
        <v>1</v>
      </c>
      <c r="F1184" s="4" t="str">
        <f>HYPERLINK("http://141.218.60.56/~jnz1568/getInfo.php?workbook=18_15.xlsx&amp;sheet=U0&amp;row=1184&amp;col=6&amp;number=3&amp;sourceID=14","3")</f>
        <v>3</v>
      </c>
      <c r="G1184" s="4" t="str">
        <f>HYPERLINK("http://141.218.60.56/~jnz1568/getInfo.php?workbook=18_15.xlsx&amp;sheet=U0&amp;row=1184&amp;col=7&amp;number=0.728&amp;sourceID=14","0.728")</f>
        <v>0.728</v>
      </c>
    </row>
    <row r="1185" spans="1:7">
      <c r="A1185" s="3"/>
      <c r="B1185" s="3"/>
      <c r="C1185" s="3"/>
      <c r="D1185" s="3"/>
      <c r="E1185" s="3">
        <v>2</v>
      </c>
      <c r="F1185" s="4" t="str">
        <f>HYPERLINK("http://141.218.60.56/~jnz1568/getInfo.php?workbook=18_15.xlsx&amp;sheet=U0&amp;row=1185&amp;col=6&amp;number=3.1&amp;sourceID=14","3.1")</f>
        <v>3.1</v>
      </c>
      <c r="G1185" s="4" t="str">
        <f>HYPERLINK("http://141.218.60.56/~jnz1568/getInfo.php?workbook=18_15.xlsx&amp;sheet=U0&amp;row=1185&amp;col=7&amp;number=0.721&amp;sourceID=14","0.721")</f>
        <v>0.721</v>
      </c>
    </row>
    <row r="1186" spans="1:7">
      <c r="A1186" s="3"/>
      <c r="B1186" s="3"/>
      <c r="C1186" s="3"/>
      <c r="D1186" s="3"/>
      <c r="E1186" s="3">
        <v>3</v>
      </c>
      <c r="F1186" s="4" t="str">
        <f>HYPERLINK("http://141.218.60.56/~jnz1568/getInfo.php?workbook=18_15.xlsx&amp;sheet=U0&amp;row=1186&amp;col=6&amp;number=3.2&amp;sourceID=14","3.2")</f>
        <v>3.2</v>
      </c>
      <c r="G1186" s="4" t="str">
        <f>HYPERLINK("http://141.218.60.56/~jnz1568/getInfo.php?workbook=18_15.xlsx&amp;sheet=U0&amp;row=1186&amp;col=7&amp;number=0.713&amp;sourceID=14","0.713")</f>
        <v>0.713</v>
      </c>
    </row>
    <row r="1187" spans="1:7">
      <c r="A1187" s="3"/>
      <c r="B1187" s="3"/>
      <c r="C1187" s="3"/>
      <c r="D1187" s="3"/>
      <c r="E1187" s="3">
        <v>4</v>
      </c>
      <c r="F1187" s="4" t="str">
        <f>HYPERLINK("http://141.218.60.56/~jnz1568/getInfo.php?workbook=18_15.xlsx&amp;sheet=U0&amp;row=1187&amp;col=6&amp;number=3.3&amp;sourceID=14","3.3")</f>
        <v>3.3</v>
      </c>
      <c r="G1187" s="4" t="str">
        <f>HYPERLINK("http://141.218.60.56/~jnz1568/getInfo.php?workbook=18_15.xlsx&amp;sheet=U0&amp;row=1187&amp;col=7&amp;number=0.702&amp;sourceID=14","0.702")</f>
        <v>0.702</v>
      </c>
    </row>
    <row r="1188" spans="1:7">
      <c r="A1188" s="3"/>
      <c r="B1188" s="3"/>
      <c r="C1188" s="3"/>
      <c r="D1188" s="3"/>
      <c r="E1188" s="3">
        <v>5</v>
      </c>
      <c r="F1188" s="4" t="str">
        <f>HYPERLINK("http://141.218.60.56/~jnz1568/getInfo.php?workbook=18_15.xlsx&amp;sheet=U0&amp;row=1188&amp;col=6&amp;number=3.4&amp;sourceID=14","3.4")</f>
        <v>3.4</v>
      </c>
      <c r="G1188" s="4" t="str">
        <f>HYPERLINK("http://141.218.60.56/~jnz1568/getInfo.php?workbook=18_15.xlsx&amp;sheet=U0&amp;row=1188&amp;col=7&amp;number=0.69&amp;sourceID=14","0.69")</f>
        <v>0.69</v>
      </c>
    </row>
    <row r="1189" spans="1:7">
      <c r="A1189" s="3"/>
      <c r="B1189" s="3"/>
      <c r="C1189" s="3"/>
      <c r="D1189" s="3"/>
      <c r="E1189" s="3">
        <v>6</v>
      </c>
      <c r="F1189" s="4" t="str">
        <f>HYPERLINK("http://141.218.60.56/~jnz1568/getInfo.php?workbook=18_15.xlsx&amp;sheet=U0&amp;row=1189&amp;col=6&amp;number=3.5&amp;sourceID=14","3.5")</f>
        <v>3.5</v>
      </c>
      <c r="G1189" s="4" t="str">
        <f>HYPERLINK("http://141.218.60.56/~jnz1568/getInfo.php?workbook=18_15.xlsx&amp;sheet=U0&amp;row=1189&amp;col=7&amp;number=0.676&amp;sourceID=14","0.676")</f>
        <v>0.676</v>
      </c>
    </row>
    <row r="1190" spans="1:7">
      <c r="A1190" s="3"/>
      <c r="B1190" s="3"/>
      <c r="C1190" s="3"/>
      <c r="D1190" s="3"/>
      <c r="E1190" s="3">
        <v>7</v>
      </c>
      <c r="F1190" s="4" t="str">
        <f>HYPERLINK("http://141.218.60.56/~jnz1568/getInfo.php?workbook=18_15.xlsx&amp;sheet=U0&amp;row=1190&amp;col=6&amp;number=3.6&amp;sourceID=14","3.6")</f>
        <v>3.6</v>
      </c>
      <c r="G1190" s="4" t="str">
        <f>HYPERLINK("http://141.218.60.56/~jnz1568/getInfo.php?workbook=18_15.xlsx&amp;sheet=U0&amp;row=1190&amp;col=7&amp;number=0.659&amp;sourceID=14","0.659")</f>
        <v>0.659</v>
      </c>
    </row>
    <row r="1191" spans="1:7">
      <c r="A1191" s="3"/>
      <c r="B1191" s="3"/>
      <c r="C1191" s="3"/>
      <c r="D1191" s="3"/>
      <c r="E1191" s="3">
        <v>8</v>
      </c>
      <c r="F1191" s="4" t="str">
        <f>HYPERLINK("http://141.218.60.56/~jnz1568/getInfo.php?workbook=18_15.xlsx&amp;sheet=U0&amp;row=1191&amp;col=6&amp;number=3.7&amp;sourceID=14","3.7")</f>
        <v>3.7</v>
      </c>
      <c r="G1191" s="4" t="str">
        <f>HYPERLINK("http://141.218.60.56/~jnz1568/getInfo.php?workbook=18_15.xlsx&amp;sheet=U0&amp;row=1191&amp;col=7&amp;number=0.642&amp;sourceID=14","0.642")</f>
        <v>0.642</v>
      </c>
    </row>
    <row r="1192" spans="1:7">
      <c r="A1192" s="3"/>
      <c r="B1192" s="3"/>
      <c r="C1192" s="3"/>
      <c r="D1192" s="3"/>
      <c r="E1192" s="3">
        <v>9</v>
      </c>
      <c r="F1192" s="4" t="str">
        <f>HYPERLINK("http://141.218.60.56/~jnz1568/getInfo.php?workbook=18_15.xlsx&amp;sheet=U0&amp;row=1192&amp;col=6&amp;number=3.8&amp;sourceID=14","3.8")</f>
        <v>3.8</v>
      </c>
      <c r="G1192" s="4" t="str">
        <f>HYPERLINK("http://141.218.60.56/~jnz1568/getInfo.php?workbook=18_15.xlsx&amp;sheet=U0&amp;row=1192&amp;col=7&amp;number=0.625&amp;sourceID=14","0.625")</f>
        <v>0.625</v>
      </c>
    </row>
    <row r="1193" spans="1:7">
      <c r="A1193" s="3"/>
      <c r="B1193" s="3"/>
      <c r="C1193" s="3"/>
      <c r="D1193" s="3"/>
      <c r="E1193" s="3">
        <v>10</v>
      </c>
      <c r="F1193" s="4" t="str">
        <f>HYPERLINK("http://141.218.60.56/~jnz1568/getInfo.php?workbook=18_15.xlsx&amp;sheet=U0&amp;row=1193&amp;col=6&amp;number=3.9&amp;sourceID=14","3.9")</f>
        <v>3.9</v>
      </c>
      <c r="G1193" s="4" t="str">
        <f>HYPERLINK("http://141.218.60.56/~jnz1568/getInfo.php?workbook=18_15.xlsx&amp;sheet=U0&amp;row=1193&amp;col=7&amp;number=0.612&amp;sourceID=14","0.612")</f>
        <v>0.612</v>
      </c>
    </row>
    <row r="1194" spans="1:7">
      <c r="A1194" s="3"/>
      <c r="B1194" s="3"/>
      <c r="C1194" s="3"/>
      <c r="D1194" s="3"/>
      <c r="E1194" s="3">
        <v>11</v>
      </c>
      <c r="F1194" s="4" t="str">
        <f>HYPERLINK("http://141.218.60.56/~jnz1568/getInfo.php?workbook=18_15.xlsx&amp;sheet=U0&amp;row=1194&amp;col=6&amp;number=4&amp;sourceID=14","4")</f>
        <v>4</v>
      </c>
      <c r="G1194" s="4" t="str">
        <f>HYPERLINK("http://141.218.60.56/~jnz1568/getInfo.php?workbook=18_15.xlsx&amp;sheet=U0&amp;row=1194&amp;col=7&amp;number=0.602&amp;sourceID=14","0.602")</f>
        <v>0.602</v>
      </c>
    </row>
    <row r="1195" spans="1:7">
      <c r="A1195" s="3"/>
      <c r="B1195" s="3"/>
      <c r="C1195" s="3"/>
      <c r="D1195" s="3"/>
      <c r="E1195" s="3">
        <v>12</v>
      </c>
      <c r="F1195" s="4" t="str">
        <f>HYPERLINK("http://141.218.60.56/~jnz1568/getInfo.php?workbook=18_15.xlsx&amp;sheet=U0&amp;row=1195&amp;col=6&amp;number=4.1&amp;sourceID=14","4.1")</f>
        <v>4.1</v>
      </c>
      <c r="G1195" s="4" t="str">
        <f>HYPERLINK("http://141.218.60.56/~jnz1568/getInfo.php?workbook=18_15.xlsx&amp;sheet=U0&amp;row=1195&amp;col=7&amp;number=0.596&amp;sourceID=14","0.596")</f>
        <v>0.596</v>
      </c>
    </row>
    <row r="1196" spans="1:7">
      <c r="A1196" s="3"/>
      <c r="B1196" s="3"/>
      <c r="C1196" s="3"/>
      <c r="D1196" s="3"/>
      <c r="E1196" s="3">
        <v>13</v>
      </c>
      <c r="F1196" s="4" t="str">
        <f>HYPERLINK("http://141.218.60.56/~jnz1568/getInfo.php?workbook=18_15.xlsx&amp;sheet=U0&amp;row=1196&amp;col=6&amp;number=4.2&amp;sourceID=14","4.2")</f>
        <v>4.2</v>
      </c>
      <c r="G1196" s="4" t="str">
        <f>HYPERLINK("http://141.218.60.56/~jnz1568/getInfo.php?workbook=18_15.xlsx&amp;sheet=U0&amp;row=1196&amp;col=7&amp;number=0.59&amp;sourceID=14","0.59")</f>
        <v>0.59</v>
      </c>
    </row>
    <row r="1197" spans="1:7">
      <c r="A1197" s="3"/>
      <c r="B1197" s="3"/>
      <c r="C1197" s="3"/>
      <c r="D1197" s="3"/>
      <c r="E1197" s="3">
        <v>14</v>
      </c>
      <c r="F1197" s="4" t="str">
        <f>HYPERLINK("http://141.218.60.56/~jnz1568/getInfo.php?workbook=18_15.xlsx&amp;sheet=U0&amp;row=1197&amp;col=6&amp;number=4.3&amp;sourceID=14","4.3")</f>
        <v>4.3</v>
      </c>
      <c r="G1197" s="4" t="str">
        <f>HYPERLINK("http://141.218.60.56/~jnz1568/getInfo.php?workbook=18_15.xlsx&amp;sheet=U0&amp;row=1197&amp;col=7&amp;number=0.583&amp;sourceID=14","0.583")</f>
        <v>0.583</v>
      </c>
    </row>
    <row r="1198" spans="1:7">
      <c r="A1198" s="3"/>
      <c r="B1198" s="3"/>
      <c r="C1198" s="3"/>
      <c r="D1198" s="3"/>
      <c r="E1198" s="3">
        <v>15</v>
      </c>
      <c r="F1198" s="4" t="str">
        <f>HYPERLINK("http://141.218.60.56/~jnz1568/getInfo.php?workbook=18_15.xlsx&amp;sheet=U0&amp;row=1198&amp;col=6&amp;number=4.4&amp;sourceID=14","4.4")</f>
        <v>4.4</v>
      </c>
      <c r="G1198" s="4" t="str">
        <f>HYPERLINK("http://141.218.60.56/~jnz1568/getInfo.php?workbook=18_15.xlsx&amp;sheet=U0&amp;row=1198&amp;col=7&amp;number=0.574&amp;sourceID=14","0.574")</f>
        <v>0.574</v>
      </c>
    </row>
    <row r="1199" spans="1:7">
      <c r="A1199" s="3"/>
      <c r="B1199" s="3"/>
      <c r="C1199" s="3"/>
      <c r="D1199" s="3"/>
      <c r="E1199" s="3">
        <v>16</v>
      </c>
      <c r="F1199" s="4" t="str">
        <f>HYPERLINK("http://141.218.60.56/~jnz1568/getInfo.php?workbook=18_15.xlsx&amp;sheet=U0&amp;row=1199&amp;col=6&amp;number=4.5&amp;sourceID=14","4.5")</f>
        <v>4.5</v>
      </c>
      <c r="G1199" s="4" t="str">
        <f>HYPERLINK("http://141.218.60.56/~jnz1568/getInfo.php?workbook=18_15.xlsx&amp;sheet=U0&amp;row=1199&amp;col=7&amp;number=0.563&amp;sourceID=14","0.563")</f>
        <v>0.563</v>
      </c>
    </row>
    <row r="1200" spans="1:7">
      <c r="A1200" s="3"/>
      <c r="B1200" s="3"/>
      <c r="C1200" s="3"/>
      <c r="D1200" s="3"/>
      <c r="E1200" s="3">
        <v>17</v>
      </c>
      <c r="F1200" s="4" t="str">
        <f>HYPERLINK("http://141.218.60.56/~jnz1568/getInfo.php?workbook=18_15.xlsx&amp;sheet=U0&amp;row=1200&amp;col=6&amp;number=4.6&amp;sourceID=14","4.6")</f>
        <v>4.6</v>
      </c>
      <c r="G1200" s="4" t="str">
        <f>HYPERLINK("http://141.218.60.56/~jnz1568/getInfo.php?workbook=18_15.xlsx&amp;sheet=U0&amp;row=1200&amp;col=7&amp;number=0.549&amp;sourceID=14","0.549")</f>
        <v>0.549</v>
      </c>
    </row>
    <row r="1201" spans="1:7">
      <c r="A1201" s="3"/>
      <c r="B1201" s="3"/>
      <c r="C1201" s="3"/>
      <c r="D1201" s="3"/>
      <c r="E1201" s="3">
        <v>18</v>
      </c>
      <c r="F1201" s="4" t="str">
        <f>HYPERLINK("http://141.218.60.56/~jnz1568/getInfo.php?workbook=18_15.xlsx&amp;sheet=U0&amp;row=1201&amp;col=6&amp;number=4.7&amp;sourceID=14","4.7")</f>
        <v>4.7</v>
      </c>
      <c r="G1201" s="4" t="str">
        <f>HYPERLINK("http://141.218.60.56/~jnz1568/getInfo.php?workbook=18_15.xlsx&amp;sheet=U0&amp;row=1201&amp;col=7&amp;number=0.533&amp;sourceID=14","0.533")</f>
        <v>0.533</v>
      </c>
    </row>
    <row r="1202" spans="1:7">
      <c r="A1202" s="3"/>
      <c r="B1202" s="3"/>
      <c r="C1202" s="3"/>
      <c r="D1202" s="3"/>
      <c r="E1202" s="3">
        <v>19</v>
      </c>
      <c r="F1202" s="4" t="str">
        <f>HYPERLINK("http://141.218.60.56/~jnz1568/getInfo.php?workbook=18_15.xlsx&amp;sheet=U0&amp;row=1202&amp;col=6&amp;number=4.8&amp;sourceID=14","4.8")</f>
        <v>4.8</v>
      </c>
      <c r="G1202" s="4" t="str">
        <f>HYPERLINK("http://141.218.60.56/~jnz1568/getInfo.php?workbook=18_15.xlsx&amp;sheet=U0&amp;row=1202&amp;col=7&amp;number=0.513&amp;sourceID=14","0.513")</f>
        <v>0.513</v>
      </c>
    </row>
    <row r="1203" spans="1:7">
      <c r="A1203" s="3"/>
      <c r="B1203" s="3"/>
      <c r="C1203" s="3"/>
      <c r="D1203" s="3"/>
      <c r="E1203" s="3">
        <v>20</v>
      </c>
      <c r="F1203" s="4" t="str">
        <f>HYPERLINK("http://141.218.60.56/~jnz1568/getInfo.php?workbook=18_15.xlsx&amp;sheet=U0&amp;row=1203&amp;col=6&amp;number=4.9&amp;sourceID=14","4.9")</f>
        <v>4.9</v>
      </c>
      <c r="G1203" s="4" t="str">
        <f>HYPERLINK("http://141.218.60.56/~jnz1568/getInfo.php?workbook=18_15.xlsx&amp;sheet=U0&amp;row=1203&amp;col=7&amp;number=0.487&amp;sourceID=14","0.487")</f>
        <v>0.487</v>
      </c>
    </row>
    <row r="1204" spans="1:7">
      <c r="A1204" s="3">
        <v>18</v>
      </c>
      <c r="B1204" s="3">
        <v>15</v>
      </c>
      <c r="C1204" s="3">
        <v>3</v>
      </c>
      <c r="D1204" s="3">
        <v>8</v>
      </c>
      <c r="E1204" s="3">
        <v>1</v>
      </c>
      <c r="F1204" s="4" t="str">
        <f>HYPERLINK("http://141.218.60.56/~jnz1568/getInfo.php?workbook=18_15.xlsx&amp;sheet=U0&amp;row=1204&amp;col=6&amp;number=3&amp;sourceID=14","3")</f>
        <v>3</v>
      </c>
      <c r="G1204" s="4" t="str">
        <f>HYPERLINK("http://141.218.60.56/~jnz1568/getInfo.php?workbook=18_15.xlsx&amp;sheet=U0&amp;row=1204&amp;col=7&amp;number=1.5&amp;sourceID=14","1.5")</f>
        <v>1.5</v>
      </c>
    </row>
    <row r="1205" spans="1:7">
      <c r="A1205" s="3"/>
      <c r="B1205" s="3"/>
      <c r="C1205" s="3"/>
      <c r="D1205" s="3"/>
      <c r="E1205" s="3">
        <v>2</v>
      </c>
      <c r="F1205" s="4" t="str">
        <f>HYPERLINK("http://141.218.60.56/~jnz1568/getInfo.php?workbook=18_15.xlsx&amp;sheet=U0&amp;row=1205&amp;col=6&amp;number=3.1&amp;sourceID=14","3.1")</f>
        <v>3.1</v>
      </c>
      <c r="G1205" s="4" t="str">
        <f>HYPERLINK("http://141.218.60.56/~jnz1568/getInfo.php?workbook=18_15.xlsx&amp;sheet=U0&amp;row=1205&amp;col=7&amp;number=1.48&amp;sourceID=14","1.48")</f>
        <v>1.48</v>
      </c>
    </row>
    <row r="1206" spans="1:7">
      <c r="A1206" s="3"/>
      <c r="B1206" s="3"/>
      <c r="C1206" s="3"/>
      <c r="D1206" s="3"/>
      <c r="E1206" s="3">
        <v>3</v>
      </c>
      <c r="F1206" s="4" t="str">
        <f>HYPERLINK("http://141.218.60.56/~jnz1568/getInfo.php?workbook=18_15.xlsx&amp;sheet=U0&amp;row=1206&amp;col=6&amp;number=3.2&amp;sourceID=14","3.2")</f>
        <v>3.2</v>
      </c>
      <c r="G1206" s="4" t="str">
        <f>HYPERLINK("http://141.218.60.56/~jnz1568/getInfo.php?workbook=18_15.xlsx&amp;sheet=U0&amp;row=1206&amp;col=7&amp;number=1.45&amp;sourceID=14","1.45")</f>
        <v>1.45</v>
      </c>
    </row>
    <row r="1207" spans="1:7">
      <c r="A1207" s="3"/>
      <c r="B1207" s="3"/>
      <c r="C1207" s="3"/>
      <c r="D1207" s="3"/>
      <c r="E1207" s="3">
        <v>4</v>
      </c>
      <c r="F1207" s="4" t="str">
        <f>HYPERLINK("http://141.218.60.56/~jnz1568/getInfo.php?workbook=18_15.xlsx&amp;sheet=U0&amp;row=1207&amp;col=6&amp;number=3.3&amp;sourceID=14","3.3")</f>
        <v>3.3</v>
      </c>
      <c r="G1207" s="4" t="str">
        <f>HYPERLINK("http://141.218.60.56/~jnz1568/getInfo.php?workbook=18_15.xlsx&amp;sheet=U0&amp;row=1207&amp;col=7&amp;number=1.42&amp;sourceID=14","1.42")</f>
        <v>1.42</v>
      </c>
    </row>
    <row r="1208" spans="1:7">
      <c r="A1208" s="3"/>
      <c r="B1208" s="3"/>
      <c r="C1208" s="3"/>
      <c r="D1208" s="3"/>
      <c r="E1208" s="3">
        <v>5</v>
      </c>
      <c r="F1208" s="4" t="str">
        <f>HYPERLINK("http://141.218.60.56/~jnz1568/getInfo.php?workbook=18_15.xlsx&amp;sheet=U0&amp;row=1208&amp;col=6&amp;number=3.4&amp;sourceID=14","3.4")</f>
        <v>3.4</v>
      </c>
      <c r="G1208" s="4" t="str">
        <f>HYPERLINK("http://141.218.60.56/~jnz1568/getInfo.php?workbook=18_15.xlsx&amp;sheet=U0&amp;row=1208&amp;col=7&amp;number=1.38&amp;sourceID=14","1.38")</f>
        <v>1.38</v>
      </c>
    </row>
    <row r="1209" spans="1:7">
      <c r="A1209" s="3"/>
      <c r="B1209" s="3"/>
      <c r="C1209" s="3"/>
      <c r="D1209" s="3"/>
      <c r="E1209" s="3">
        <v>6</v>
      </c>
      <c r="F1209" s="4" t="str">
        <f>HYPERLINK("http://141.218.60.56/~jnz1568/getInfo.php?workbook=18_15.xlsx&amp;sheet=U0&amp;row=1209&amp;col=6&amp;number=3.5&amp;sourceID=14","3.5")</f>
        <v>3.5</v>
      </c>
      <c r="G1209" s="4" t="str">
        <f>HYPERLINK("http://141.218.60.56/~jnz1568/getInfo.php?workbook=18_15.xlsx&amp;sheet=U0&amp;row=1209&amp;col=7&amp;number=1.34&amp;sourceID=14","1.34")</f>
        <v>1.34</v>
      </c>
    </row>
    <row r="1210" spans="1:7">
      <c r="A1210" s="3"/>
      <c r="B1210" s="3"/>
      <c r="C1210" s="3"/>
      <c r="D1210" s="3"/>
      <c r="E1210" s="3">
        <v>7</v>
      </c>
      <c r="F1210" s="4" t="str">
        <f>HYPERLINK("http://141.218.60.56/~jnz1568/getInfo.php?workbook=18_15.xlsx&amp;sheet=U0&amp;row=1210&amp;col=6&amp;number=3.6&amp;sourceID=14","3.6")</f>
        <v>3.6</v>
      </c>
      <c r="G1210" s="4" t="str">
        <f>HYPERLINK("http://141.218.60.56/~jnz1568/getInfo.php?workbook=18_15.xlsx&amp;sheet=U0&amp;row=1210&amp;col=7&amp;number=1.31&amp;sourceID=14","1.31")</f>
        <v>1.31</v>
      </c>
    </row>
    <row r="1211" spans="1:7">
      <c r="A1211" s="3"/>
      <c r="B1211" s="3"/>
      <c r="C1211" s="3"/>
      <c r="D1211" s="3"/>
      <c r="E1211" s="3">
        <v>8</v>
      </c>
      <c r="F1211" s="4" t="str">
        <f>HYPERLINK("http://141.218.60.56/~jnz1568/getInfo.php?workbook=18_15.xlsx&amp;sheet=U0&amp;row=1211&amp;col=6&amp;number=3.7&amp;sourceID=14","3.7")</f>
        <v>3.7</v>
      </c>
      <c r="G1211" s="4" t="str">
        <f>HYPERLINK("http://141.218.60.56/~jnz1568/getInfo.php?workbook=18_15.xlsx&amp;sheet=U0&amp;row=1211&amp;col=7&amp;number=1.28&amp;sourceID=14","1.28")</f>
        <v>1.28</v>
      </c>
    </row>
    <row r="1212" spans="1:7">
      <c r="A1212" s="3"/>
      <c r="B1212" s="3"/>
      <c r="C1212" s="3"/>
      <c r="D1212" s="3"/>
      <c r="E1212" s="3">
        <v>9</v>
      </c>
      <c r="F1212" s="4" t="str">
        <f>HYPERLINK("http://141.218.60.56/~jnz1568/getInfo.php?workbook=18_15.xlsx&amp;sheet=U0&amp;row=1212&amp;col=6&amp;number=3.8&amp;sourceID=14","3.8")</f>
        <v>3.8</v>
      </c>
      <c r="G1212" s="4" t="str">
        <f>HYPERLINK("http://141.218.60.56/~jnz1568/getInfo.php?workbook=18_15.xlsx&amp;sheet=U0&amp;row=1212&amp;col=7&amp;number=1.26&amp;sourceID=14","1.26")</f>
        <v>1.26</v>
      </c>
    </row>
    <row r="1213" spans="1:7">
      <c r="A1213" s="3"/>
      <c r="B1213" s="3"/>
      <c r="C1213" s="3"/>
      <c r="D1213" s="3"/>
      <c r="E1213" s="3">
        <v>10</v>
      </c>
      <c r="F1213" s="4" t="str">
        <f>HYPERLINK("http://141.218.60.56/~jnz1568/getInfo.php?workbook=18_15.xlsx&amp;sheet=U0&amp;row=1213&amp;col=6&amp;number=3.9&amp;sourceID=14","3.9")</f>
        <v>3.9</v>
      </c>
      <c r="G1213" s="4" t="str">
        <f>HYPERLINK("http://141.218.60.56/~jnz1568/getInfo.php?workbook=18_15.xlsx&amp;sheet=U0&amp;row=1213&amp;col=7&amp;number=1.25&amp;sourceID=14","1.25")</f>
        <v>1.25</v>
      </c>
    </row>
    <row r="1214" spans="1:7">
      <c r="A1214" s="3"/>
      <c r="B1214" s="3"/>
      <c r="C1214" s="3"/>
      <c r="D1214" s="3"/>
      <c r="E1214" s="3">
        <v>11</v>
      </c>
      <c r="F1214" s="4" t="str">
        <f>HYPERLINK("http://141.218.60.56/~jnz1568/getInfo.php?workbook=18_15.xlsx&amp;sheet=U0&amp;row=1214&amp;col=6&amp;number=4&amp;sourceID=14","4")</f>
        <v>4</v>
      </c>
      <c r="G1214" s="4" t="str">
        <f>HYPERLINK("http://141.218.60.56/~jnz1568/getInfo.php?workbook=18_15.xlsx&amp;sheet=U0&amp;row=1214&amp;col=7&amp;number=1.24&amp;sourceID=14","1.24")</f>
        <v>1.24</v>
      </c>
    </row>
    <row r="1215" spans="1:7">
      <c r="A1215" s="3"/>
      <c r="B1215" s="3"/>
      <c r="C1215" s="3"/>
      <c r="D1215" s="3"/>
      <c r="E1215" s="3">
        <v>12</v>
      </c>
      <c r="F1215" s="4" t="str">
        <f>HYPERLINK("http://141.218.60.56/~jnz1568/getInfo.php?workbook=18_15.xlsx&amp;sheet=U0&amp;row=1215&amp;col=6&amp;number=4.1&amp;sourceID=14","4.1")</f>
        <v>4.1</v>
      </c>
      <c r="G1215" s="4" t="str">
        <f>HYPERLINK("http://141.218.60.56/~jnz1568/getInfo.php?workbook=18_15.xlsx&amp;sheet=U0&amp;row=1215&amp;col=7&amp;number=1.24&amp;sourceID=14","1.24")</f>
        <v>1.24</v>
      </c>
    </row>
    <row r="1216" spans="1:7">
      <c r="A1216" s="3"/>
      <c r="B1216" s="3"/>
      <c r="C1216" s="3"/>
      <c r="D1216" s="3"/>
      <c r="E1216" s="3">
        <v>13</v>
      </c>
      <c r="F1216" s="4" t="str">
        <f>HYPERLINK("http://141.218.60.56/~jnz1568/getInfo.php?workbook=18_15.xlsx&amp;sheet=U0&amp;row=1216&amp;col=6&amp;number=4.2&amp;sourceID=14","4.2")</f>
        <v>4.2</v>
      </c>
      <c r="G1216" s="4" t="str">
        <f>HYPERLINK("http://141.218.60.56/~jnz1568/getInfo.php?workbook=18_15.xlsx&amp;sheet=U0&amp;row=1216&amp;col=7&amp;number=1.23&amp;sourceID=14","1.23")</f>
        <v>1.23</v>
      </c>
    </row>
    <row r="1217" spans="1:7">
      <c r="A1217" s="3"/>
      <c r="B1217" s="3"/>
      <c r="C1217" s="3"/>
      <c r="D1217" s="3"/>
      <c r="E1217" s="3">
        <v>14</v>
      </c>
      <c r="F1217" s="4" t="str">
        <f>HYPERLINK("http://141.218.60.56/~jnz1568/getInfo.php?workbook=18_15.xlsx&amp;sheet=U0&amp;row=1217&amp;col=6&amp;number=4.3&amp;sourceID=14","4.3")</f>
        <v>4.3</v>
      </c>
      <c r="G1217" s="4" t="str">
        <f>HYPERLINK("http://141.218.60.56/~jnz1568/getInfo.php?workbook=18_15.xlsx&amp;sheet=U0&amp;row=1217&amp;col=7&amp;number=1.22&amp;sourceID=14","1.22")</f>
        <v>1.22</v>
      </c>
    </row>
    <row r="1218" spans="1:7">
      <c r="A1218" s="3"/>
      <c r="B1218" s="3"/>
      <c r="C1218" s="3"/>
      <c r="D1218" s="3"/>
      <c r="E1218" s="3">
        <v>15</v>
      </c>
      <c r="F1218" s="4" t="str">
        <f>HYPERLINK("http://141.218.60.56/~jnz1568/getInfo.php?workbook=18_15.xlsx&amp;sheet=U0&amp;row=1218&amp;col=6&amp;number=4.4&amp;sourceID=14","4.4")</f>
        <v>4.4</v>
      </c>
      <c r="G1218" s="4" t="str">
        <f>HYPERLINK("http://141.218.60.56/~jnz1568/getInfo.php?workbook=18_15.xlsx&amp;sheet=U0&amp;row=1218&amp;col=7&amp;number=1.21&amp;sourceID=14","1.21")</f>
        <v>1.21</v>
      </c>
    </row>
    <row r="1219" spans="1:7">
      <c r="A1219" s="3"/>
      <c r="B1219" s="3"/>
      <c r="C1219" s="3"/>
      <c r="D1219" s="3"/>
      <c r="E1219" s="3">
        <v>16</v>
      </c>
      <c r="F1219" s="4" t="str">
        <f>HYPERLINK("http://141.218.60.56/~jnz1568/getInfo.php?workbook=18_15.xlsx&amp;sheet=U0&amp;row=1219&amp;col=6&amp;number=4.5&amp;sourceID=14","4.5")</f>
        <v>4.5</v>
      </c>
      <c r="G1219" s="4" t="str">
        <f>HYPERLINK("http://141.218.60.56/~jnz1568/getInfo.php?workbook=18_15.xlsx&amp;sheet=U0&amp;row=1219&amp;col=7&amp;number=1.19&amp;sourceID=14","1.19")</f>
        <v>1.19</v>
      </c>
    </row>
    <row r="1220" spans="1:7">
      <c r="A1220" s="3"/>
      <c r="B1220" s="3"/>
      <c r="C1220" s="3"/>
      <c r="D1220" s="3"/>
      <c r="E1220" s="3">
        <v>17</v>
      </c>
      <c r="F1220" s="4" t="str">
        <f>HYPERLINK("http://141.218.60.56/~jnz1568/getInfo.php?workbook=18_15.xlsx&amp;sheet=U0&amp;row=1220&amp;col=6&amp;number=4.6&amp;sourceID=14","4.6")</f>
        <v>4.6</v>
      </c>
      <c r="G1220" s="4" t="str">
        <f>HYPERLINK("http://141.218.60.56/~jnz1568/getInfo.php?workbook=18_15.xlsx&amp;sheet=U0&amp;row=1220&amp;col=7&amp;number=1.17&amp;sourceID=14","1.17")</f>
        <v>1.17</v>
      </c>
    </row>
    <row r="1221" spans="1:7">
      <c r="A1221" s="3"/>
      <c r="B1221" s="3"/>
      <c r="C1221" s="3"/>
      <c r="D1221" s="3"/>
      <c r="E1221" s="3">
        <v>18</v>
      </c>
      <c r="F1221" s="4" t="str">
        <f>HYPERLINK("http://141.218.60.56/~jnz1568/getInfo.php?workbook=18_15.xlsx&amp;sheet=U0&amp;row=1221&amp;col=6&amp;number=4.7&amp;sourceID=14","4.7")</f>
        <v>4.7</v>
      </c>
      <c r="G1221" s="4" t="str">
        <f>HYPERLINK("http://141.218.60.56/~jnz1568/getInfo.php?workbook=18_15.xlsx&amp;sheet=U0&amp;row=1221&amp;col=7&amp;number=1.12&amp;sourceID=14","1.12")</f>
        <v>1.12</v>
      </c>
    </row>
    <row r="1222" spans="1:7">
      <c r="A1222" s="3"/>
      <c r="B1222" s="3"/>
      <c r="C1222" s="3"/>
      <c r="D1222" s="3"/>
      <c r="E1222" s="3">
        <v>19</v>
      </c>
      <c r="F1222" s="4" t="str">
        <f>HYPERLINK("http://141.218.60.56/~jnz1568/getInfo.php?workbook=18_15.xlsx&amp;sheet=U0&amp;row=1222&amp;col=6&amp;number=4.8&amp;sourceID=14","4.8")</f>
        <v>4.8</v>
      </c>
      <c r="G1222" s="4" t="str">
        <f>HYPERLINK("http://141.218.60.56/~jnz1568/getInfo.php?workbook=18_15.xlsx&amp;sheet=U0&amp;row=1222&amp;col=7&amp;number=1.07&amp;sourceID=14","1.07")</f>
        <v>1.07</v>
      </c>
    </row>
    <row r="1223" spans="1:7">
      <c r="A1223" s="3"/>
      <c r="B1223" s="3"/>
      <c r="C1223" s="3"/>
      <c r="D1223" s="3"/>
      <c r="E1223" s="3">
        <v>20</v>
      </c>
      <c r="F1223" s="4" t="str">
        <f>HYPERLINK("http://141.218.60.56/~jnz1568/getInfo.php?workbook=18_15.xlsx&amp;sheet=U0&amp;row=1223&amp;col=6&amp;number=4.9&amp;sourceID=14","4.9")</f>
        <v>4.9</v>
      </c>
      <c r="G1223" s="4" t="str">
        <f>HYPERLINK("http://141.218.60.56/~jnz1568/getInfo.php?workbook=18_15.xlsx&amp;sheet=U0&amp;row=1223&amp;col=7&amp;number=1.01&amp;sourceID=14","1.01")</f>
        <v>1.01</v>
      </c>
    </row>
    <row r="1224" spans="1:7">
      <c r="A1224" s="3">
        <v>18</v>
      </c>
      <c r="B1224" s="3">
        <v>15</v>
      </c>
      <c r="C1224" s="3">
        <v>3</v>
      </c>
      <c r="D1224" s="3">
        <v>9</v>
      </c>
      <c r="E1224" s="3">
        <v>1</v>
      </c>
      <c r="F1224" s="4" t="str">
        <f>HYPERLINK("http://141.218.60.56/~jnz1568/getInfo.php?workbook=18_15.xlsx&amp;sheet=U0&amp;row=1224&amp;col=6&amp;number=3&amp;sourceID=14","3")</f>
        <v>3</v>
      </c>
      <c r="G1224" s="4" t="str">
        <f>HYPERLINK("http://141.218.60.56/~jnz1568/getInfo.php?workbook=18_15.xlsx&amp;sheet=U0&amp;row=1224&amp;col=7&amp;number=0.893&amp;sourceID=14","0.893")</f>
        <v>0.893</v>
      </c>
    </row>
    <row r="1225" spans="1:7">
      <c r="A1225" s="3"/>
      <c r="B1225" s="3"/>
      <c r="C1225" s="3"/>
      <c r="D1225" s="3"/>
      <c r="E1225" s="3">
        <v>2</v>
      </c>
      <c r="F1225" s="4" t="str">
        <f>HYPERLINK("http://141.218.60.56/~jnz1568/getInfo.php?workbook=18_15.xlsx&amp;sheet=U0&amp;row=1225&amp;col=6&amp;number=3.1&amp;sourceID=14","3.1")</f>
        <v>3.1</v>
      </c>
      <c r="G1225" s="4" t="str">
        <f>HYPERLINK("http://141.218.60.56/~jnz1568/getInfo.php?workbook=18_15.xlsx&amp;sheet=U0&amp;row=1225&amp;col=7&amp;number=0.892&amp;sourceID=14","0.892")</f>
        <v>0.892</v>
      </c>
    </row>
    <row r="1226" spans="1:7">
      <c r="A1226" s="3"/>
      <c r="B1226" s="3"/>
      <c r="C1226" s="3"/>
      <c r="D1226" s="3"/>
      <c r="E1226" s="3">
        <v>3</v>
      </c>
      <c r="F1226" s="4" t="str">
        <f>HYPERLINK("http://141.218.60.56/~jnz1568/getInfo.php?workbook=18_15.xlsx&amp;sheet=U0&amp;row=1226&amp;col=6&amp;number=3.2&amp;sourceID=14","3.2")</f>
        <v>3.2</v>
      </c>
      <c r="G1226" s="4" t="str">
        <f>HYPERLINK("http://141.218.60.56/~jnz1568/getInfo.php?workbook=18_15.xlsx&amp;sheet=U0&amp;row=1226&amp;col=7&amp;number=0.89&amp;sourceID=14","0.89")</f>
        <v>0.89</v>
      </c>
    </row>
    <row r="1227" spans="1:7">
      <c r="A1227" s="3"/>
      <c r="B1227" s="3"/>
      <c r="C1227" s="3"/>
      <c r="D1227" s="3"/>
      <c r="E1227" s="3">
        <v>4</v>
      </c>
      <c r="F1227" s="4" t="str">
        <f>HYPERLINK("http://141.218.60.56/~jnz1568/getInfo.php?workbook=18_15.xlsx&amp;sheet=U0&amp;row=1227&amp;col=6&amp;number=3.3&amp;sourceID=14","3.3")</f>
        <v>3.3</v>
      </c>
      <c r="G1227" s="4" t="str">
        <f>HYPERLINK("http://141.218.60.56/~jnz1568/getInfo.php?workbook=18_15.xlsx&amp;sheet=U0&amp;row=1227&amp;col=7&amp;number=0.887&amp;sourceID=14","0.887")</f>
        <v>0.887</v>
      </c>
    </row>
    <row r="1228" spans="1:7">
      <c r="A1228" s="3"/>
      <c r="B1228" s="3"/>
      <c r="C1228" s="3"/>
      <c r="D1228" s="3"/>
      <c r="E1228" s="3">
        <v>5</v>
      </c>
      <c r="F1228" s="4" t="str">
        <f>HYPERLINK("http://141.218.60.56/~jnz1568/getInfo.php?workbook=18_15.xlsx&amp;sheet=U0&amp;row=1228&amp;col=6&amp;number=3.4&amp;sourceID=14","3.4")</f>
        <v>3.4</v>
      </c>
      <c r="G1228" s="4" t="str">
        <f>HYPERLINK("http://141.218.60.56/~jnz1568/getInfo.php?workbook=18_15.xlsx&amp;sheet=U0&amp;row=1228&amp;col=7&amp;number=0.885&amp;sourceID=14","0.885")</f>
        <v>0.885</v>
      </c>
    </row>
    <row r="1229" spans="1:7">
      <c r="A1229" s="3"/>
      <c r="B1229" s="3"/>
      <c r="C1229" s="3"/>
      <c r="D1229" s="3"/>
      <c r="E1229" s="3">
        <v>6</v>
      </c>
      <c r="F1229" s="4" t="str">
        <f>HYPERLINK("http://141.218.60.56/~jnz1568/getInfo.php?workbook=18_15.xlsx&amp;sheet=U0&amp;row=1229&amp;col=6&amp;number=3.5&amp;sourceID=14","3.5")</f>
        <v>3.5</v>
      </c>
      <c r="G1229" s="4" t="str">
        <f>HYPERLINK("http://141.218.60.56/~jnz1568/getInfo.php?workbook=18_15.xlsx&amp;sheet=U0&amp;row=1229&amp;col=7&amp;number=0.883&amp;sourceID=14","0.883")</f>
        <v>0.883</v>
      </c>
    </row>
    <row r="1230" spans="1:7">
      <c r="A1230" s="3"/>
      <c r="B1230" s="3"/>
      <c r="C1230" s="3"/>
      <c r="D1230" s="3"/>
      <c r="E1230" s="3">
        <v>7</v>
      </c>
      <c r="F1230" s="4" t="str">
        <f>HYPERLINK("http://141.218.60.56/~jnz1568/getInfo.php?workbook=18_15.xlsx&amp;sheet=U0&amp;row=1230&amp;col=6&amp;number=3.6&amp;sourceID=14","3.6")</f>
        <v>3.6</v>
      </c>
      <c r="G1230" s="4" t="str">
        <f>HYPERLINK("http://141.218.60.56/~jnz1568/getInfo.php?workbook=18_15.xlsx&amp;sheet=U0&amp;row=1230&amp;col=7&amp;number=0.881&amp;sourceID=14","0.881")</f>
        <v>0.881</v>
      </c>
    </row>
    <row r="1231" spans="1:7">
      <c r="A1231" s="3"/>
      <c r="B1231" s="3"/>
      <c r="C1231" s="3"/>
      <c r="D1231" s="3"/>
      <c r="E1231" s="3">
        <v>8</v>
      </c>
      <c r="F1231" s="4" t="str">
        <f>HYPERLINK("http://141.218.60.56/~jnz1568/getInfo.php?workbook=18_15.xlsx&amp;sheet=U0&amp;row=1231&amp;col=6&amp;number=3.7&amp;sourceID=14","3.7")</f>
        <v>3.7</v>
      </c>
      <c r="G1231" s="4" t="str">
        <f>HYPERLINK("http://141.218.60.56/~jnz1568/getInfo.php?workbook=18_15.xlsx&amp;sheet=U0&amp;row=1231&amp;col=7&amp;number=0.882&amp;sourceID=14","0.882")</f>
        <v>0.882</v>
      </c>
    </row>
    <row r="1232" spans="1:7">
      <c r="A1232" s="3"/>
      <c r="B1232" s="3"/>
      <c r="C1232" s="3"/>
      <c r="D1232" s="3"/>
      <c r="E1232" s="3">
        <v>9</v>
      </c>
      <c r="F1232" s="4" t="str">
        <f>HYPERLINK("http://141.218.60.56/~jnz1568/getInfo.php?workbook=18_15.xlsx&amp;sheet=U0&amp;row=1232&amp;col=6&amp;number=3.8&amp;sourceID=14","3.8")</f>
        <v>3.8</v>
      </c>
      <c r="G1232" s="4" t="str">
        <f>HYPERLINK("http://141.218.60.56/~jnz1568/getInfo.php?workbook=18_15.xlsx&amp;sheet=U0&amp;row=1232&amp;col=7&amp;number=0.888&amp;sourceID=14","0.888")</f>
        <v>0.888</v>
      </c>
    </row>
    <row r="1233" spans="1:7">
      <c r="A1233" s="3"/>
      <c r="B1233" s="3"/>
      <c r="C1233" s="3"/>
      <c r="D1233" s="3"/>
      <c r="E1233" s="3">
        <v>10</v>
      </c>
      <c r="F1233" s="4" t="str">
        <f>HYPERLINK("http://141.218.60.56/~jnz1568/getInfo.php?workbook=18_15.xlsx&amp;sheet=U0&amp;row=1233&amp;col=6&amp;number=3.9&amp;sourceID=14","3.9")</f>
        <v>3.9</v>
      </c>
      <c r="G1233" s="4" t="str">
        <f>HYPERLINK("http://141.218.60.56/~jnz1568/getInfo.php?workbook=18_15.xlsx&amp;sheet=U0&amp;row=1233&amp;col=7&amp;number=0.903&amp;sourceID=14","0.903")</f>
        <v>0.903</v>
      </c>
    </row>
    <row r="1234" spans="1:7">
      <c r="A1234" s="3"/>
      <c r="B1234" s="3"/>
      <c r="C1234" s="3"/>
      <c r="D1234" s="3"/>
      <c r="E1234" s="3">
        <v>11</v>
      </c>
      <c r="F1234" s="4" t="str">
        <f>HYPERLINK("http://141.218.60.56/~jnz1568/getInfo.php?workbook=18_15.xlsx&amp;sheet=U0&amp;row=1234&amp;col=6&amp;number=4&amp;sourceID=14","4")</f>
        <v>4</v>
      </c>
      <c r="G1234" s="4" t="str">
        <f>HYPERLINK("http://141.218.60.56/~jnz1568/getInfo.php?workbook=18_15.xlsx&amp;sheet=U0&amp;row=1234&amp;col=7&amp;number=0.936&amp;sourceID=14","0.936")</f>
        <v>0.936</v>
      </c>
    </row>
    <row r="1235" spans="1:7">
      <c r="A1235" s="3"/>
      <c r="B1235" s="3"/>
      <c r="C1235" s="3"/>
      <c r="D1235" s="3"/>
      <c r="E1235" s="3">
        <v>12</v>
      </c>
      <c r="F1235" s="4" t="str">
        <f>HYPERLINK("http://141.218.60.56/~jnz1568/getInfo.php?workbook=18_15.xlsx&amp;sheet=U0&amp;row=1235&amp;col=6&amp;number=4.1&amp;sourceID=14","4.1")</f>
        <v>4.1</v>
      </c>
      <c r="G1235" s="4" t="str">
        <f>HYPERLINK("http://141.218.60.56/~jnz1568/getInfo.php?workbook=18_15.xlsx&amp;sheet=U0&amp;row=1235&amp;col=7&amp;number=0.994&amp;sourceID=14","0.994")</f>
        <v>0.994</v>
      </c>
    </row>
    <row r="1236" spans="1:7">
      <c r="A1236" s="3"/>
      <c r="B1236" s="3"/>
      <c r="C1236" s="3"/>
      <c r="D1236" s="3"/>
      <c r="E1236" s="3">
        <v>13</v>
      </c>
      <c r="F1236" s="4" t="str">
        <f>HYPERLINK("http://141.218.60.56/~jnz1568/getInfo.php?workbook=18_15.xlsx&amp;sheet=U0&amp;row=1236&amp;col=6&amp;number=4.2&amp;sourceID=14","4.2")</f>
        <v>4.2</v>
      </c>
      <c r="G1236" s="4" t="str">
        <f>HYPERLINK("http://141.218.60.56/~jnz1568/getInfo.php?workbook=18_15.xlsx&amp;sheet=U0&amp;row=1236&amp;col=7&amp;number=1.08&amp;sourceID=14","1.08")</f>
        <v>1.08</v>
      </c>
    </row>
    <row r="1237" spans="1:7">
      <c r="A1237" s="3"/>
      <c r="B1237" s="3"/>
      <c r="C1237" s="3"/>
      <c r="D1237" s="3"/>
      <c r="E1237" s="3">
        <v>14</v>
      </c>
      <c r="F1237" s="4" t="str">
        <f>HYPERLINK("http://141.218.60.56/~jnz1568/getInfo.php?workbook=18_15.xlsx&amp;sheet=U0&amp;row=1237&amp;col=6&amp;number=4.3&amp;sourceID=14","4.3")</f>
        <v>4.3</v>
      </c>
      <c r="G1237" s="4" t="str">
        <f>HYPERLINK("http://141.218.60.56/~jnz1568/getInfo.php?workbook=18_15.xlsx&amp;sheet=U0&amp;row=1237&amp;col=7&amp;number=1.2&amp;sourceID=14","1.2")</f>
        <v>1.2</v>
      </c>
    </row>
    <row r="1238" spans="1:7">
      <c r="A1238" s="3"/>
      <c r="B1238" s="3"/>
      <c r="C1238" s="3"/>
      <c r="D1238" s="3"/>
      <c r="E1238" s="3">
        <v>15</v>
      </c>
      <c r="F1238" s="4" t="str">
        <f>HYPERLINK("http://141.218.60.56/~jnz1568/getInfo.php?workbook=18_15.xlsx&amp;sheet=U0&amp;row=1238&amp;col=6&amp;number=4.4&amp;sourceID=14","4.4")</f>
        <v>4.4</v>
      </c>
      <c r="G1238" s="4" t="str">
        <f>HYPERLINK("http://141.218.60.56/~jnz1568/getInfo.php?workbook=18_15.xlsx&amp;sheet=U0&amp;row=1238&amp;col=7&amp;number=1.34&amp;sourceID=14","1.34")</f>
        <v>1.34</v>
      </c>
    </row>
    <row r="1239" spans="1:7">
      <c r="A1239" s="3"/>
      <c r="B1239" s="3"/>
      <c r="C1239" s="3"/>
      <c r="D1239" s="3"/>
      <c r="E1239" s="3">
        <v>16</v>
      </c>
      <c r="F1239" s="4" t="str">
        <f>HYPERLINK("http://141.218.60.56/~jnz1568/getInfo.php?workbook=18_15.xlsx&amp;sheet=U0&amp;row=1239&amp;col=6&amp;number=4.5&amp;sourceID=14","4.5")</f>
        <v>4.5</v>
      </c>
      <c r="G1239" s="4" t="str">
        <f>HYPERLINK("http://141.218.60.56/~jnz1568/getInfo.php?workbook=18_15.xlsx&amp;sheet=U0&amp;row=1239&amp;col=7&amp;number=1.49&amp;sourceID=14","1.49")</f>
        <v>1.49</v>
      </c>
    </row>
    <row r="1240" spans="1:7">
      <c r="A1240" s="3"/>
      <c r="B1240" s="3"/>
      <c r="C1240" s="3"/>
      <c r="D1240" s="3"/>
      <c r="E1240" s="3">
        <v>17</v>
      </c>
      <c r="F1240" s="4" t="str">
        <f>HYPERLINK("http://141.218.60.56/~jnz1568/getInfo.php?workbook=18_15.xlsx&amp;sheet=U0&amp;row=1240&amp;col=6&amp;number=4.6&amp;sourceID=14","4.6")</f>
        <v>4.6</v>
      </c>
      <c r="G1240" s="4" t="str">
        <f>HYPERLINK("http://141.218.60.56/~jnz1568/getInfo.php?workbook=18_15.xlsx&amp;sheet=U0&amp;row=1240&amp;col=7&amp;number=1.62&amp;sourceID=14","1.62")</f>
        <v>1.62</v>
      </c>
    </row>
    <row r="1241" spans="1:7">
      <c r="A1241" s="3"/>
      <c r="B1241" s="3"/>
      <c r="C1241" s="3"/>
      <c r="D1241" s="3"/>
      <c r="E1241" s="3">
        <v>18</v>
      </c>
      <c r="F1241" s="4" t="str">
        <f>HYPERLINK("http://141.218.60.56/~jnz1568/getInfo.php?workbook=18_15.xlsx&amp;sheet=U0&amp;row=1241&amp;col=6&amp;number=4.7&amp;sourceID=14","4.7")</f>
        <v>4.7</v>
      </c>
      <c r="G1241" s="4" t="str">
        <f>HYPERLINK("http://141.218.60.56/~jnz1568/getInfo.php?workbook=18_15.xlsx&amp;sheet=U0&amp;row=1241&amp;col=7&amp;number=1.73&amp;sourceID=14","1.73")</f>
        <v>1.73</v>
      </c>
    </row>
    <row r="1242" spans="1:7">
      <c r="A1242" s="3"/>
      <c r="B1242" s="3"/>
      <c r="C1242" s="3"/>
      <c r="D1242" s="3"/>
      <c r="E1242" s="3">
        <v>19</v>
      </c>
      <c r="F1242" s="4" t="str">
        <f>HYPERLINK("http://141.218.60.56/~jnz1568/getInfo.php?workbook=18_15.xlsx&amp;sheet=U0&amp;row=1242&amp;col=6&amp;number=4.8&amp;sourceID=14","4.8")</f>
        <v>4.8</v>
      </c>
      <c r="G1242" s="4" t="str">
        <f>HYPERLINK("http://141.218.60.56/~jnz1568/getInfo.php?workbook=18_15.xlsx&amp;sheet=U0&amp;row=1242&amp;col=7&amp;number=1.79&amp;sourceID=14","1.79")</f>
        <v>1.79</v>
      </c>
    </row>
    <row r="1243" spans="1:7">
      <c r="A1243" s="3"/>
      <c r="B1243" s="3"/>
      <c r="C1243" s="3"/>
      <c r="D1243" s="3"/>
      <c r="E1243" s="3">
        <v>20</v>
      </c>
      <c r="F1243" s="4" t="str">
        <f>HYPERLINK("http://141.218.60.56/~jnz1568/getInfo.php?workbook=18_15.xlsx&amp;sheet=U0&amp;row=1243&amp;col=6&amp;number=4.9&amp;sourceID=14","4.9")</f>
        <v>4.9</v>
      </c>
      <c r="G1243" s="4" t="str">
        <f>HYPERLINK("http://141.218.60.56/~jnz1568/getInfo.php?workbook=18_15.xlsx&amp;sheet=U0&amp;row=1243&amp;col=7&amp;number=1.79&amp;sourceID=14","1.79")</f>
        <v>1.79</v>
      </c>
    </row>
    <row r="1244" spans="1:7">
      <c r="A1244" s="3">
        <v>18</v>
      </c>
      <c r="B1244" s="3">
        <v>15</v>
      </c>
      <c r="C1244" s="3">
        <v>3</v>
      </c>
      <c r="D1244" s="3">
        <v>10</v>
      </c>
      <c r="E1244" s="3">
        <v>1</v>
      </c>
      <c r="F1244" s="4" t="str">
        <f>HYPERLINK("http://141.218.60.56/~jnz1568/getInfo.php?workbook=18_15.xlsx&amp;sheet=U0&amp;row=1244&amp;col=6&amp;number=3&amp;sourceID=14","3")</f>
        <v>3</v>
      </c>
      <c r="G1244" s="4" t="str">
        <f>HYPERLINK("http://141.218.60.56/~jnz1568/getInfo.php?workbook=18_15.xlsx&amp;sheet=U0&amp;row=1244&amp;col=7&amp;number=2.26&amp;sourceID=14","2.26")</f>
        <v>2.26</v>
      </c>
    </row>
    <row r="1245" spans="1:7">
      <c r="A1245" s="3"/>
      <c r="B1245" s="3"/>
      <c r="C1245" s="3"/>
      <c r="D1245" s="3"/>
      <c r="E1245" s="3">
        <v>2</v>
      </c>
      <c r="F1245" s="4" t="str">
        <f>HYPERLINK("http://141.218.60.56/~jnz1568/getInfo.php?workbook=18_15.xlsx&amp;sheet=U0&amp;row=1245&amp;col=6&amp;number=3.1&amp;sourceID=14","3.1")</f>
        <v>3.1</v>
      </c>
      <c r="G1245" s="4" t="str">
        <f>HYPERLINK("http://141.218.60.56/~jnz1568/getInfo.php?workbook=18_15.xlsx&amp;sheet=U0&amp;row=1245&amp;col=7&amp;number=2.24&amp;sourceID=14","2.24")</f>
        <v>2.24</v>
      </c>
    </row>
    <row r="1246" spans="1:7">
      <c r="A1246" s="3"/>
      <c r="B1246" s="3"/>
      <c r="C1246" s="3"/>
      <c r="D1246" s="3"/>
      <c r="E1246" s="3">
        <v>3</v>
      </c>
      <c r="F1246" s="4" t="str">
        <f>HYPERLINK("http://141.218.60.56/~jnz1568/getInfo.php?workbook=18_15.xlsx&amp;sheet=U0&amp;row=1246&amp;col=6&amp;number=3.2&amp;sourceID=14","3.2")</f>
        <v>3.2</v>
      </c>
      <c r="G1246" s="4" t="str">
        <f>HYPERLINK("http://141.218.60.56/~jnz1568/getInfo.php?workbook=18_15.xlsx&amp;sheet=U0&amp;row=1246&amp;col=7&amp;number=2.23&amp;sourceID=14","2.23")</f>
        <v>2.23</v>
      </c>
    </row>
    <row r="1247" spans="1:7">
      <c r="A1247" s="3"/>
      <c r="B1247" s="3"/>
      <c r="C1247" s="3"/>
      <c r="D1247" s="3"/>
      <c r="E1247" s="3">
        <v>4</v>
      </c>
      <c r="F1247" s="4" t="str">
        <f>HYPERLINK("http://141.218.60.56/~jnz1568/getInfo.php?workbook=18_15.xlsx&amp;sheet=U0&amp;row=1247&amp;col=6&amp;number=3.3&amp;sourceID=14","3.3")</f>
        <v>3.3</v>
      </c>
      <c r="G1247" s="4" t="str">
        <f>HYPERLINK("http://141.218.60.56/~jnz1568/getInfo.php?workbook=18_15.xlsx&amp;sheet=U0&amp;row=1247&amp;col=7&amp;number=2.21&amp;sourceID=14","2.21")</f>
        <v>2.21</v>
      </c>
    </row>
    <row r="1248" spans="1:7">
      <c r="A1248" s="3"/>
      <c r="B1248" s="3"/>
      <c r="C1248" s="3"/>
      <c r="D1248" s="3"/>
      <c r="E1248" s="3">
        <v>5</v>
      </c>
      <c r="F1248" s="4" t="str">
        <f>HYPERLINK("http://141.218.60.56/~jnz1568/getInfo.php?workbook=18_15.xlsx&amp;sheet=U0&amp;row=1248&amp;col=6&amp;number=3.4&amp;sourceID=14","3.4")</f>
        <v>3.4</v>
      </c>
      <c r="G1248" s="4" t="str">
        <f>HYPERLINK("http://141.218.60.56/~jnz1568/getInfo.php?workbook=18_15.xlsx&amp;sheet=U0&amp;row=1248&amp;col=7&amp;number=2.19&amp;sourceID=14","2.19")</f>
        <v>2.19</v>
      </c>
    </row>
    <row r="1249" spans="1:7">
      <c r="A1249" s="3"/>
      <c r="B1249" s="3"/>
      <c r="C1249" s="3"/>
      <c r="D1249" s="3"/>
      <c r="E1249" s="3">
        <v>6</v>
      </c>
      <c r="F1249" s="4" t="str">
        <f>HYPERLINK("http://141.218.60.56/~jnz1568/getInfo.php?workbook=18_15.xlsx&amp;sheet=U0&amp;row=1249&amp;col=6&amp;number=3.5&amp;sourceID=14","3.5")</f>
        <v>3.5</v>
      </c>
      <c r="G1249" s="4" t="str">
        <f>HYPERLINK("http://141.218.60.56/~jnz1568/getInfo.php?workbook=18_15.xlsx&amp;sheet=U0&amp;row=1249&amp;col=7&amp;number=2.16&amp;sourceID=14","2.16")</f>
        <v>2.16</v>
      </c>
    </row>
    <row r="1250" spans="1:7">
      <c r="A1250" s="3"/>
      <c r="B1250" s="3"/>
      <c r="C1250" s="3"/>
      <c r="D1250" s="3"/>
      <c r="E1250" s="3">
        <v>7</v>
      </c>
      <c r="F1250" s="4" t="str">
        <f>HYPERLINK("http://141.218.60.56/~jnz1568/getInfo.php?workbook=18_15.xlsx&amp;sheet=U0&amp;row=1250&amp;col=6&amp;number=3.6&amp;sourceID=14","3.6")</f>
        <v>3.6</v>
      </c>
      <c r="G1250" s="4" t="str">
        <f>HYPERLINK("http://141.218.60.56/~jnz1568/getInfo.php?workbook=18_15.xlsx&amp;sheet=U0&amp;row=1250&amp;col=7&amp;number=2.14&amp;sourceID=14","2.14")</f>
        <v>2.14</v>
      </c>
    </row>
    <row r="1251" spans="1:7">
      <c r="A1251" s="3"/>
      <c r="B1251" s="3"/>
      <c r="C1251" s="3"/>
      <c r="D1251" s="3"/>
      <c r="E1251" s="3">
        <v>8</v>
      </c>
      <c r="F1251" s="4" t="str">
        <f>HYPERLINK("http://141.218.60.56/~jnz1568/getInfo.php?workbook=18_15.xlsx&amp;sheet=U0&amp;row=1251&amp;col=6&amp;number=3.7&amp;sourceID=14","3.7")</f>
        <v>3.7</v>
      </c>
      <c r="G1251" s="4" t="str">
        <f>HYPERLINK("http://141.218.60.56/~jnz1568/getInfo.php?workbook=18_15.xlsx&amp;sheet=U0&amp;row=1251&amp;col=7&amp;number=2.13&amp;sourceID=14","2.13")</f>
        <v>2.13</v>
      </c>
    </row>
    <row r="1252" spans="1:7">
      <c r="A1252" s="3"/>
      <c r="B1252" s="3"/>
      <c r="C1252" s="3"/>
      <c r="D1252" s="3"/>
      <c r="E1252" s="3">
        <v>9</v>
      </c>
      <c r="F1252" s="4" t="str">
        <f>HYPERLINK("http://141.218.60.56/~jnz1568/getInfo.php?workbook=18_15.xlsx&amp;sheet=U0&amp;row=1252&amp;col=6&amp;number=3.8&amp;sourceID=14","3.8")</f>
        <v>3.8</v>
      </c>
      <c r="G1252" s="4" t="str">
        <f>HYPERLINK("http://141.218.60.56/~jnz1568/getInfo.php?workbook=18_15.xlsx&amp;sheet=U0&amp;row=1252&amp;col=7&amp;number=2.14&amp;sourceID=14","2.14")</f>
        <v>2.14</v>
      </c>
    </row>
    <row r="1253" spans="1:7">
      <c r="A1253" s="3"/>
      <c r="B1253" s="3"/>
      <c r="C1253" s="3"/>
      <c r="D1253" s="3"/>
      <c r="E1253" s="3">
        <v>10</v>
      </c>
      <c r="F1253" s="4" t="str">
        <f>HYPERLINK("http://141.218.60.56/~jnz1568/getInfo.php?workbook=18_15.xlsx&amp;sheet=U0&amp;row=1253&amp;col=6&amp;number=3.9&amp;sourceID=14","3.9")</f>
        <v>3.9</v>
      </c>
      <c r="G1253" s="4" t="str">
        <f>HYPERLINK("http://141.218.60.56/~jnz1568/getInfo.php?workbook=18_15.xlsx&amp;sheet=U0&amp;row=1253&amp;col=7&amp;number=2.18&amp;sourceID=14","2.18")</f>
        <v>2.18</v>
      </c>
    </row>
    <row r="1254" spans="1:7">
      <c r="A1254" s="3"/>
      <c r="B1254" s="3"/>
      <c r="C1254" s="3"/>
      <c r="D1254" s="3"/>
      <c r="E1254" s="3">
        <v>11</v>
      </c>
      <c r="F1254" s="4" t="str">
        <f>HYPERLINK("http://141.218.60.56/~jnz1568/getInfo.php?workbook=18_15.xlsx&amp;sheet=U0&amp;row=1254&amp;col=6&amp;number=4&amp;sourceID=14","4")</f>
        <v>4</v>
      </c>
      <c r="G1254" s="4" t="str">
        <f>HYPERLINK("http://141.218.60.56/~jnz1568/getInfo.php?workbook=18_15.xlsx&amp;sheet=U0&amp;row=1254&amp;col=7&amp;number=2.26&amp;sourceID=14","2.26")</f>
        <v>2.26</v>
      </c>
    </row>
    <row r="1255" spans="1:7">
      <c r="A1255" s="3"/>
      <c r="B1255" s="3"/>
      <c r="C1255" s="3"/>
      <c r="D1255" s="3"/>
      <c r="E1255" s="3">
        <v>12</v>
      </c>
      <c r="F1255" s="4" t="str">
        <f>HYPERLINK("http://141.218.60.56/~jnz1568/getInfo.php?workbook=18_15.xlsx&amp;sheet=U0&amp;row=1255&amp;col=6&amp;number=4.1&amp;sourceID=14","4.1")</f>
        <v>4.1</v>
      </c>
      <c r="G1255" s="4" t="str">
        <f>HYPERLINK("http://141.218.60.56/~jnz1568/getInfo.php?workbook=18_15.xlsx&amp;sheet=U0&amp;row=1255&amp;col=7&amp;number=2.39&amp;sourceID=14","2.39")</f>
        <v>2.39</v>
      </c>
    </row>
    <row r="1256" spans="1:7">
      <c r="A1256" s="3"/>
      <c r="B1256" s="3"/>
      <c r="C1256" s="3"/>
      <c r="D1256" s="3"/>
      <c r="E1256" s="3">
        <v>13</v>
      </c>
      <c r="F1256" s="4" t="str">
        <f>HYPERLINK("http://141.218.60.56/~jnz1568/getInfo.php?workbook=18_15.xlsx&amp;sheet=U0&amp;row=1256&amp;col=6&amp;number=4.2&amp;sourceID=14","4.2")</f>
        <v>4.2</v>
      </c>
      <c r="G1256" s="4" t="str">
        <f>HYPERLINK("http://141.218.60.56/~jnz1568/getInfo.php?workbook=18_15.xlsx&amp;sheet=U0&amp;row=1256&amp;col=7&amp;number=2.6&amp;sourceID=14","2.6")</f>
        <v>2.6</v>
      </c>
    </row>
    <row r="1257" spans="1:7">
      <c r="A1257" s="3"/>
      <c r="B1257" s="3"/>
      <c r="C1257" s="3"/>
      <c r="D1257" s="3"/>
      <c r="E1257" s="3">
        <v>14</v>
      </c>
      <c r="F1257" s="4" t="str">
        <f>HYPERLINK("http://141.218.60.56/~jnz1568/getInfo.php?workbook=18_15.xlsx&amp;sheet=U0&amp;row=1257&amp;col=6&amp;number=4.3&amp;sourceID=14","4.3")</f>
        <v>4.3</v>
      </c>
      <c r="G1257" s="4" t="str">
        <f>HYPERLINK("http://141.218.60.56/~jnz1568/getInfo.php?workbook=18_15.xlsx&amp;sheet=U0&amp;row=1257&amp;col=7&amp;number=2.87&amp;sourceID=14","2.87")</f>
        <v>2.87</v>
      </c>
    </row>
    <row r="1258" spans="1:7">
      <c r="A1258" s="3"/>
      <c r="B1258" s="3"/>
      <c r="C1258" s="3"/>
      <c r="D1258" s="3"/>
      <c r="E1258" s="3">
        <v>15</v>
      </c>
      <c r="F1258" s="4" t="str">
        <f>HYPERLINK("http://141.218.60.56/~jnz1568/getInfo.php?workbook=18_15.xlsx&amp;sheet=U0&amp;row=1258&amp;col=6&amp;number=4.4&amp;sourceID=14","4.4")</f>
        <v>4.4</v>
      </c>
      <c r="G1258" s="4" t="str">
        <f>HYPERLINK("http://141.218.60.56/~jnz1568/getInfo.php?workbook=18_15.xlsx&amp;sheet=U0&amp;row=1258&amp;col=7&amp;number=3.22&amp;sourceID=14","3.22")</f>
        <v>3.22</v>
      </c>
    </row>
    <row r="1259" spans="1:7">
      <c r="A1259" s="3"/>
      <c r="B1259" s="3"/>
      <c r="C1259" s="3"/>
      <c r="D1259" s="3"/>
      <c r="E1259" s="3">
        <v>16</v>
      </c>
      <c r="F1259" s="4" t="str">
        <f>HYPERLINK("http://141.218.60.56/~jnz1568/getInfo.php?workbook=18_15.xlsx&amp;sheet=U0&amp;row=1259&amp;col=6&amp;number=4.5&amp;sourceID=14","4.5")</f>
        <v>4.5</v>
      </c>
      <c r="G1259" s="4" t="str">
        <f>HYPERLINK("http://141.218.60.56/~jnz1568/getInfo.php?workbook=18_15.xlsx&amp;sheet=U0&amp;row=1259&amp;col=7&amp;number=3.61&amp;sourceID=14","3.61")</f>
        <v>3.61</v>
      </c>
    </row>
    <row r="1260" spans="1:7">
      <c r="A1260" s="3"/>
      <c r="B1260" s="3"/>
      <c r="C1260" s="3"/>
      <c r="D1260" s="3"/>
      <c r="E1260" s="3">
        <v>17</v>
      </c>
      <c r="F1260" s="4" t="str">
        <f>HYPERLINK("http://141.218.60.56/~jnz1568/getInfo.php?workbook=18_15.xlsx&amp;sheet=U0&amp;row=1260&amp;col=6&amp;number=4.6&amp;sourceID=14","4.6")</f>
        <v>4.6</v>
      </c>
      <c r="G1260" s="4" t="str">
        <f>HYPERLINK("http://141.218.60.56/~jnz1568/getInfo.php?workbook=18_15.xlsx&amp;sheet=U0&amp;row=1260&amp;col=7&amp;number=3.99&amp;sourceID=14","3.99")</f>
        <v>3.99</v>
      </c>
    </row>
    <row r="1261" spans="1:7">
      <c r="A1261" s="3"/>
      <c r="B1261" s="3"/>
      <c r="C1261" s="3"/>
      <c r="D1261" s="3"/>
      <c r="E1261" s="3">
        <v>18</v>
      </c>
      <c r="F1261" s="4" t="str">
        <f>HYPERLINK("http://141.218.60.56/~jnz1568/getInfo.php?workbook=18_15.xlsx&amp;sheet=U0&amp;row=1261&amp;col=6&amp;number=4.7&amp;sourceID=14","4.7")</f>
        <v>4.7</v>
      </c>
      <c r="G1261" s="4" t="str">
        <f>HYPERLINK("http://141.218.60.56/~jnz1568/getInfo.php?workbook=18_15.xlsx&amp;sheet=U0&amp;row=1261&amp;col=7&amp;number=4.27&amp;sourceID=14","4.27")</f>
        <v>4.27</v>
      </c>
    </row>
    <row r="1262" spans="1:7">
      <c r="A1262" s="3"/>
      <c r="B1262" s="3"/>
      <c r="C1262" s="3"/>
      <c r="D1262" s="3"/>
      <c r="E1262" s="3">
        <v>19</v>
      </c>
      <c r="F1262" s="4" t="str">
        <f>HYPERLINK("http://141.218.60.56/~jnz1568/getInfo.php?workbook=18_15.xlsx&amp;sheet=U0&amp;row=1262&amp;col=6&amp;number=4.8&amp;sourceID=14","4.8")</f>
        <v>4.8</v>
      </c>
      <c r="G1262" s="4" t="str">
        <f>HYPERLINK("http://141.218.60.56/~jnz1568/getInfo.php?workbook=18_15.xlsx&amp;sheet=U0&amp;row=1262&amp;col=7&amp;number=4.44&amp;sourceID=14","4.44")</f>
        <v>4.44</v>
      </c>
    </row>
    <row r="1263" spans="1:7">
      <c r="A1263" s="3"/>
      <c r="B1263" s="3"/>
      <c r="C1263" s="3"/>
      <c r="D1263" s="3"/>
      <c r="E1263" s="3">
        <v>20</v>
      </c>
      <c r="F1263" s="4" t="str">
        <f>HYPERLINK("http://141.218.60.56/~jnz1568/getInfo.php?workbook=18_15.xlsx&amp;sheet=U0&amp;row=1263&amp;col=6&amp;number=4.9&amp;sourceID=14","4.9")</f>
        <v>4.9</v>
      </c>
      <c r="G1263" s="4" t="str">
        <f>HYPERLINK("http://141.218.60.56/~jnz1568/getInfo.php?workbook=18_15.xlsx&amp;sheet=U0&amp;row=1263&amp;col=7&amp;number=4.52&amp;sourceID=14","4.52")</f>
        <v>4.52</v>
      </c>
    </row>
    <row r="1264" spans="1:7">
      <c r="A1264" s="3">
        <v>18</v>
      </c>
      <c r="B1264" s="3">
        <v>15</v>
      </c>
      <c r="C1264" s="3">
        <v>3</v>
      </c>
      <c r="D1264" s="3">
        <v>11</v>
      </c>
      <c r="E1264" s="3">
        <v>1</v>
      </c>
      <c r="F1264" s="4" t="str">
        <f>HYPERLINK("http://141.218.60.56/~jnz1568/getInfo.php?workbook=18_15.xlsx&amp;sheet=U0&amp;row=1264&amp;col=6&amp;number=3&amp;sourceID=14","3")</f>
        <v>3</v>
      </c>
      <c r="G1264" s="4" t="str">
        <f>HYPERLINK("http://141.218.60.56/~jnz1568/getInfo.php?workbook=18_15.xlsx&amp;sheet=U0&amp;row=1264&amp;col=7&amp;number=0.818&amp;sourceID=14","0.818")</f>
        <v>0.818</v>
      </c>
    </row>
    <row r="1265" spans="1:7">
      <c r="A1265" s="3"/>
      <c r="B1265" s="3"/>
      <c r="C1265" s="3"/>
      <c r="D1265" s="3"/>
      <c r="E1265" s="3">
        <v>2</v>
      </c>
      <c r="F1265" s="4" t="str">
        <f>HYPERLINK("http://141.218.60.56/~jnz1568/getInfo.php?workbook=18_15.xlsx&amp;sheet=U0&amp;row=1265&amp;col=6&amp;number=3.1&amp;sourceID=14","3.1")</f>
        <v>3.1</v>
      </c>
      <c r="G1265" s="4" t="str">
        <f>HYPERLINK("http://141.218.60.56/~jnz1568/getInfo.php?workbook=18_15.xlsx&amp;sheet=U0&amp;row=1265&amp;col=7&amp;number=0.805&amp;sourceID=14","0.805")</f>
        <v>0.805</v>
      </c>
    </row>
    <row r="1266" spans="1:7">
      <c r="A1266" s="3"/>
      <c r="B1266" s="3"/>
      <c r="C1266" s="3"/>
      <c r="D1266" s="3"/>
      <c r="E1266" s="3">
        <v>3</v>
      </c>
      <c r="F1266" s="4" t="str">
        <f>HYPERLINK("http://141.218.60.56/~jnz1568/getInfo.php?workbook=18_15.xlsx&amp;sheet=U0&amp;row=1266&amp;col=6&amp;number=3.2&amp;sourceID=14","3.2")</f>
        <v>3.2</v>
      </c>
      <c r="G1266" s="4" t="str">
        <f>HYPERLINK("http://141.218.60.56/~jnz1568/getInfo.php?workbook=18_15.xlsx&amp;sheet=U0&amp;row=1266&amp;col=7&amp;number=0.79&amp;sourceID=14","0.79")</f>
        <v>0.79</v>
      </c>
    </row>
    <row r="1267" spans="1:7">
      <c r="A1267" s="3"/>
      <c r="B1267" s="3"/>
      <c r="C1267" s="3"/>
      <c r="D1267" s="3"/>
      <c r="E1267" s="3">
        <v>4</v>
      </c>
      <c r="F1267" s="4" t="str">
        <f>HYPERLINK("http://141.218.60.56/~jnz1568/getInfo.php?workbook=18_15.xlsx&amp;sheet=U0&amp;row=1267&amp;col=6&amp;number=3.3&amp;sourceID=14","3.3")</f>
        <v>3.3</v>
      </c>
      <c r="G1267" s="4" t="str">
        <f>HYPERLINK("http://141.218.60.56/~jnz1568/getInfo.php?workbook=18_15.xlsx&amp;sheet=U0&amp;row=1267&amp;col=7&amp;number=0.771&amp;sourceID=14","0.771")</f>
        <v>0.771</v>
      </c>
    </row>
    <row r="1268" spans="1:7">
      <c r="A1268" s="3"/>
      <c r="B1268" s="3"/>
      <c r="C1268" s="3"/>
      <c r="D1268" s="3"/>
      <c r="E1268" s="3">
        <v>5</v>
      </c>
      <c r="F1268" s="4" t="str">
        <f>HYPERLINK("http://141.218.60.56/~jnz1568/getInfo.php?workbook=18_15.xlsx&amp;sheet=U0&amp;row=1268&amp;col=6&amp;number=3.4&amp;sourceID=14","3.4")</f>
        <v>3.4</v>
      </c>
      <c r="G1268" s="4" t="str">
        <f>HYPERLINK("http://141.218.60.56/~jnz1568/getInfo.php?workbook=18_15.xlsx&amp;sheet=U0&amp;row=1268&amp;col=7&amp;number=0.748&amp;sourceID=14","0.748")</f>
        <v>0.748</v>
      </c>
    </row>
    <row r="1269" spans="1:7">
      <c r="A1269" s="3"/>
      <c r="B1269" s="3"/>
      <c r="C1269" s="3"/>
      <c r="D1269" s="3"/>
      <c r="E1269" s="3">
        <v>6</v>
      </c>
      <c r="F1269" s="4" t="str">
        <f>HYPERLINK("http://141.218.60.56/~jnz1568/getInfo.php?workbook=18_15.xlsx&amp;sheet=U0&amp;row=1269&amp;col=6&amp;number=3.5&amp;sourceID=14","3.5")</f>
        <v>3.5</v>
      </c>
      <c r="G1269" s="4" t="str">
        <f>HYPERLINK("http://141.218.60.56/~jnz1568/getInfo.php?workbook=18_15.xlsx&amp;sheet=U0&amp;row=1269&amp;col=7&amp;number=0.722&amp;sourceID=14","0.722")</f>
        <v>0.722</v>
      </c>
    </row>
    <row r="1270" spans="1:7">
      <c r="A1270" s="3"/>
      <c r="B1270" s="3"/>
      <c r="C1270" s="3"/>
      <c r="D1270" s="3"/>
      <c r="E1270" s="3">
        <v>7</v>
      </c>
      <c r="F1270" s="4" t="str">
        <f>HYPERLINK("http://141.218.60.56/~jnz1568/getInfo.php?workbook=18_15.xlsx&amp;sheet=U0&amp;row=1270&amp;col=6&amp;number=3.6&amp;sourceID=14","3.6")</f>
        <v>3.6</v>
      </c>
      <c r="G1270" s="4" t="str">
        <f>HYPERLINK("http://141.218.60.56/~jnz1568/getInfo.php?workbook=18_15.xlsx&amp;sheet=U0&amp;row=1270&amp;col=7&amp;number=0.692&amp;sourceID=14","0.692")</f>
        <v>0.692</v>
      </c>
    </row>
    <row r="1271" spans="1:7">
      <c r="A1271" s="3"/>
      <c r="B1271" s="3"/>
      <c r="C1271" s="3"/>
      <c r="D1271" s="3"/>
      <c r="E1271" s="3">
        <v>8</v>
      </c>
      <c r="F1271" s="4" t="str">
        <f>HYPERLINK("http://141.218.60.56/~jnz1568/getInfo.php?workbook=18_15.xlsx&amp;sheet=U0&amp;row=1271&amp;col=6&amp;number=3.7&amp;sourceID=14","3.7")</f>
        <v>3.7</v>
      </c>
      <c r="G1271" s="4" t="str">
        <f>HYPERLINK("http://141.218.60.56/~jnz1568/getInfo.php?workbook=18_15.xlsx&amp;sheet=U0&amp;row=1271&amp;col=7&amp;number=0.659&amp;sourceID=14","0.659")</f>
        <v>0.659</v>
      </c>
    </row>
    <row r="1272" spans="1:7">
      <c r="A1272" s="3"/>
      <c r="B1272" s="3"/>
      <c r="C1272" s="3"/>
      <c r="D1272" s="3"/>
      <c r="E1272" s="3">
        <v>9</v>
      </c>
      <c r="F1272" s="4" t="str">
        <f>HYPERLINK("http://141.218.60.56/~jnz1568/getInfo.php?workbook=18_15.xlsx&amp;sheet=U0&amp;row=1272&amp;col=6&amp;number=3.8&amp;sourceID=14","3.8")</f>
        <v>3.8</v>
      </c>
      <c r="G1272" s="4" t="str">
        <f>HYPERLINK("http://141.218.60.56/~jnz1568/getInfo.php?workbook=18_15.xlsx&amp;sheet=U0&amp;row=1272&amp;col=7&amp;number=0.626&amp;sourceID=14","0.626")</f>
        <v>0.626</v>
      </c>
    </row>
    <row r="1273" spans="1:7">
      <c r="A1273" s="3"/>
      <c r="B1273" s="3"/>
      <c r="C1273" s="3"/>
      <c r="D1273" s="3"/>
      <c r="E1273" s="3">
        <v>10</v>
      </c>
      <c r="F1273" s="4" t="str">
        <f>HYPERLINK("http://141.218.60.56/~jnz1568/getInfo.php?workbook=18_15.xlsx&amp;sheet=U0&amp;row=1273&amp;col=6&amp;number=3.9&amp;sourceID=14","3.9")</f>
        <v>3.9</v>
      </c>
      <c r="G1273" s="4" t="str">
        <f>HYPERLINK("http://141.218.60.56/~jnz1568/getInfo.php?workbook=18_15.xlsx&amp;sheet=U0&amp;row=1273&amp;col=7&amp;number=0.597&amp;sourceID=14","0.597")</f>
        <v>0.597</v>
      </c>
    </row>
    <row r="1274" spans="1:7">
      <c r="A1274" s="3"/>
      <c r="B1274" s="3"/>
      <c r="C1274" s="3"/>
      <c r="D1274" s="3"/>
      <c r="E1274" s="3">
        <v>11</v>
      </c>
      <c r="F1274" s="4" t="str">
        <f>HYPERLINK("http://141.218.60.56/~jnz1568/getInfo.php?workbook=18_15.xlsx&amp;sheet=U0&amp;row=1274&amp;col=6&amp;number=4&amp;sourceID=14","4")</f>
        <v>4</v>
      </c>
      <c r="G1274" s="4" t="str">
        <f>HYPERLINK("http://141.218.60.56/~jnz1568/getInfo.php?workbook=18_15.xlsx&amp;sheet=U0&amp;row=1274&amp;col=7&amp;number=0.573&amp;sourceID=14","0.573")</f>
        <v>0.573</v>
      </c>
    </row>
    <row r="1275" spans="1:7">
      <c r="A1275" s="3"/>
      <c r="B1275" s="3"/>
      <c r="C1275" s="3"/>
      <c r="D1275" s="3"/>
      <c r="E1275" s="3">
        <v>12</v>
      </c>
      <c r="F1275" s="4" t="str">
        <f>HYPERLINK("http://141.218.60.56/~jnz1568/getInfo.php?workbook=18_15.xlsx&amp;sheet=U0&amp;row=1275&amp;col=6&amp;number=4.1&amp;sourceID=14","4.1")</f>
        <v>4.1</v>
      </c>
      <c r="G1275" s="4" t="str">
        <f>HYPERLINK("http://141.218.60.56/~jnz1568/getInfo.php?workbook=18_15.xlsx&amp;sheet=U0&amp;row=1275&amp;col=7&amp;number=0.554&amp;sourceID=14","0.554")</f>
        <v>0.554</v>
      </c>
    </row>
    <row r="1276" spans="1:7">
      <c r="A1276" s="3"/>
      <c r="B1276" s="3"/>
      <c r="C1276" s="3"/>
      <c r="D1276" s="3"/>
      <c r="E1276" s="3">
        <v>13</v>
      </c>
      <c r="F1276" s="4" t="str">
        <f>HYPERLINK("http://141.218.60.56/~jnz1568/getInfo.php?workbook=18_15.xlsx&amp;sheet=U0&amp;row=1276&amp;col=6&amp;number=4.2&amp;sourceID=14","4.2")</f>
        <v>4.2</v>
      </c>
      <c r="G1276" s="4" t="str">
        <f>HYPERLINK("http://141.218.60.56/~jnz1568/getInfo.php?workbook=18_15.xlsx&amp;sheet=U0&amp;row=1276&amp;col=7&amp;number=0.534&amp;sourceID=14","0.534")</f>
        <v>0.534</v>
      </c>
    </row>
    <row r="1277" spans="1:7">
      <c r="A1277" s="3"/>
      <c r="B1277" s="3"/>
      <c r="C1277" s="3"/>
      <c r="D1277" s="3"/>
      <c r="E1277" s="3">
        <v>14</v>
      </c>
      <c r="F1277" s="4" t="str">
        <f>HYPERLINK("http://141.218.60.56/~jnz1568/getInfo.php?workbook=18_15.xlsx&amp;sheet=U0&amp;row=1277&amp;col=6&amp;number=4.3&amp;sourceID=14","4.3")</f>
        <v>4.3</v>
      </c>
      <c r="G1277" s="4" t="str">
        <f>HYPERLINK("http://141.218.60.56/~jnz1568/getInfo.php?workbook=18_15.xlsx&amp;sheet=U0&amp;row=1277&amp;col=7&amp;number=0.51&amp;sourceID=14","0.51")</f>
        <v>0.51</v>
      </c>
    </row>
    <row r="1278" spans="1:7">
      <c r="A1278" s="3"/>
      <c r="B1278" s="3"/>
      <c r="C1278" s="3"/>
      <c r="D1278" s="3"/>
      <c r="E1278" s="3">
        <v>15</v>
      </c>
      <c r="F1278" s="4" t="str">
        <f>HYPERLINK("http://141.218.60.56/~jnz1568/getInfo.php?workbook=18_15.xlsx&amp;sheet=U0&amp;row=1278&amp;col=6&amp;number=4.4&amp;sourceID=14","4.4")</f>
        <v>4.4</v>
      </c>
      <c r="G1278" s="4" t="str">
        <f>HYPERLINK("http://141.218.60.56/~jnz1568/getInfo.php?workbook=18_15.xlsx&amp;sheet=U0&amp;row=1278&amp;col=7&amp;number=0.484&amp;sourceID=14","0.484")</f>
        <v>0.484</v>
      </c>
    </row>
    <row r="1279" spans="1:7">
      <c r="A1279" s="3"/>
      <c r="B1279" s="3"/>
      <c r="C1279" s="3"/>
      <c r="D1279" s="3"/>
      <c r="E1279" s="3">
        <v>16</v>
      </c>
      <c r="F1279" s="4" t="str">
        <f>HYPERLINK("http://141.218.60.56/~jnz1568/getInfo.php?workbook=18_15.xlsx&amp;sheet=U0&amp;row=1279&amp;col=6&amp;number=4.5&amp;sourceID=14","4.5")</f>
        <v>4.5</v>
      </c>
      <c r="G1279" s="4" t="str">
        <f>HYPERLINK("http://141.218.60.56/~jnz1568/getInfo.php?workbook=18_15.xlsx&amp;sheet=U0&amp;row=1279&amp;col=7&amp;number=0.46&amp;sourceID=14","0.46")</f>
        <v>0.46</v>
      </c>
    </row>
    <row r="1280" spans="1:7">
      <c r="A1280" s="3"/>
      <c r="B1280" s="3"/>
      <c r="C1280" s="3"/>
      <c r="D1280" s="3"/>
      <c r="E1280" s="3">
        <v>17</v>
      </c>
      <c r="F1280" s="4" t="str">
        <f>HYPERLINK("http://141.218.60.56/~jnz1568/getInfo.php?workbook=18_15.xlsx&amp;sheet=U0&amp;row=1280&amp;col=6&amp;number=4.6&amp;sourceID=14","4.6")</f>
        <v>4.6</v>
      </c>
      <c r="G1280" s="4" t="str">
        <f>HYPERLINK("http://141.218.60.56/~jnz1568/getInfo.php?workbook=18_15.xlsx&amp;sheet=U0&amp;row=1280&amp;col=7&amp;number=0.437&amp;sourceID=14","0.437")</f>
        <v>0.437</v>
      </c>
    </row>
    <row r="1281" spans="1:7">
      <c r="A1281" s="3"/>
      <c r="B1281" s="3"/>
      <c r="C1281" s="3"/>
      <c r="D1281" s="3"/>
      <c r="E1281" s="3">
        <v>18</v>
      </c>
      <c r="F1281" s="4" t="str">
        <f>HYPERLINK("http://141.218.60.56/~jnz1568/getInfo.php?workbook=18_15.xlsx&amp;sheet=U0&amp;row=1281&amp;col=6&amp;number=4.7&amp;sourceID=14","4.7")</f>
        <v>4.7</v>
      </c>
      <c r="G1281" s="4" t="str">
        <f>HYPERLINK("http://141.218.60.56/~jnz1568/getInfo.php?workbook=18_15.xlsx&amp;sheet=U0&amp;row=1281&amp;col=7&amp;number=0.415&amp;sourceID=14","0.415")</f>
        <v>0.415</v>
      </c>
    </row>
    <row r="1282" spans="1:7">
      <c r="A1282" s="3"/>
      <c r="B1282" s="3"/>
      <c r="C1282" s="3"/>
      <c r="D1282" s="3"/>
      <c r="E1282" s="3">
        <v>19</v>
      </c>
      <c r="F1282" s="4" t="str">
        <f>HYPERLINK("http://141.218.60.56/~jnz1568/getInfo.php?workbook=18_15.xlsx&amp;sheet=U0&amp;row=1282&amp;col=6&amp;number=4.8&amp;sourceID=14","4.8")</f>
        <v>4.8</v>
      </c>
      <c r="G1282" s="4" t="str">
        <f>HYPERLINK("http://141.218.60.56/~jnz1568/getInfo.php?workbook=18_15.xlsx&amp;sheet=U0&amp;row=1282&amp;col=7&amp;number=0.393&amp;sourceID=14","0.393")</f>
        <v>0.393</v>
      </c>
    </row>
    <row r="1283" spans="1:7">
      <c r="A1283" s="3"/>
      <c r="B1283" s="3"/>
      <c r="C1283" s="3"/>
      <c r="D1283" s="3"/>
      <c r="E1283" s="3">
        <v>20</v>
      </c>
      <c r="F1283" s="4" t="str">
        <f>HYPERLINK("http://141.218.60.56/~jnz1568/getInfo.php?workbook=18_15.xlsx&amp;sheet=U0&amp;row=1283&amp;col=6&amp;number=4.9&amp;sourceID=14","4.9")</f>
        <v>4.9</v>
      </c>
      <c r="G1283" s="4" t="str">
        <f>HYPERLINK("http://141.218.60.56/~jnz1568/getInfo.php?workbook=18_15.xlsx&amp;sheet=U0&amp;row=1283&amp;col=7&amp;number=0.371&amp;sourceID=14","0.371")</f>
        <v>0.371</v>
      </c>
    </row>
    <row r="1284" spans="1:7">
      <c r="A1284" s="3">
        <v>18</v>
      </c>
      <c r="B1284" s="3">
        <v>15</v>
      </c>
      <c r="C1284" s="3">
        <v>3</v>
      </c>
      <c r="D1284" s="3">
        <v>12</v>
      </c>
      <c r="E1284" s="3">
        <v>1</v>
      </c>
      <c r="F1284" s="4" t="str">
        <f>HYPERLINK("http://141.218.60.56/~jnz1568/getInfo.php?workbook=18_15.xlsx&amp;sheet=U0&amp;row=1284&amp;col=6&amp;number=3&amp;sourceID=14","3")</f>
        <v>3</v>
      </c>
      <c r="G1284" s="4" t="str">
        <f>HYPERLINK("http://141.218.60.56/~jnz1568/getInfo.php?workbook=18_15.xlsx&amp;sheet=U0&amp;row=1284&amp;col=7&amp;number=2.34&amp;sourceID=14","2.34")</f>
        <v>2.34</v>
      </c>
    </row>
    <row r="1285" spans="1:7">
      <c r="A1285" s="3"/>
      <c r="B1285" s="3"/>
      <c r="C1285" s="3"/>
      <c r="D1285" s="3"/>
      <c r="E1285" s="3">
        <v>2</v>
      </c>
      <c r="F1285" s="4" t="str">
        <f>HYPERLINK("http://141.218.60.56/~jnz1568/getInfo.php?workbook=18_15.xlsx&amp;sheet=U0&amp;row=1285&amp;col=6&amp;number=3.1&amp;sourceID=14","3.1")</f>
        <v>3.1</v>
      </c>
      <c r="G1285" s="4" t="str">
        <f>HYPERLINK("http://141.218.60.56/~jnz1568/getInfo.php?workbook=18_15.xlsx&amp;sheet=U0&amp;row=1285&amp;col=7&amp;number=2.32&amp;sourceID=14","2.32")</f>
        <v>2.32</v>
      </c>
    </row>
    <row r="1286" spans="1:7">
      <c r="A1286" s="3"/>
      <c r="B1286" s="3"/>
      <c r="C1286" s="3"/>
      <c r="D1286" s="3"/>
      <c r="E1286" s="3">
        <v>3</v>
      </c>
      <c r="F1286" s="4" t="str">
        <f>HYPERLINK("http://141.218.60.56/~jnz1568/getInfo.php?workbook=18_15.xlsx&amp;sheet=U0&amp;row=1286&amp;col=6&amp;number=3.2&amp;sourceID=14","3.2")</f>
        <v>3.2</v>
      </c>
      <c r="G1286" s="4" t="str">
        <f>HYPERLINK("http://141.218.60.56/~jnz1568/getInfo.php?workbook=18_15.xlsx&amp;sheet=U0&amp;row=1286&amp;col=7&amp;number=2.3&amp;sourceID=14","2.3")</f>
        <v>2.3</v>
      </c>
    </row>
    <row r="1287" spans="1:7">
      <c r="A1287" s="3"/>
      <c r="B1287" s="3"/>
      <c r="C1287" s="3"/>
      <c r="D1287" s="3"/>
      <c r="E1287" s="3">
        <v>4</v>
      </c>
      <c r="F1287" s="4" t="str">
        <f>HYPERLINK("http://141.218.60.56/~jnz1568/getInfo.php?workbook=18_15.xlsx&amp;sheet=U0&amp;row=1287&amp;col=6&amp;number=3.3&amp;sourceID=14","3.3")</f>
        <v>3.3</v>
      </c>
      <c r="G1287" s="4" t="str">
        <f>HYPERLINK("http://141.218.60.56/~jnz1568/getInfo.php?workbook=18_15.xlsx&amp;sheet=U0&amp;row=1287&amp;col=7&amp;number=2.27&amp;sourceID=14","2.27")</f>
        <v>2.27</v>
      </c>
    </row>
    <row r="1288" spans="1:7">
      <c r="A1288" s="3"/>
      <c r="B1288" s="3"/>
      <c r="C1288" s="3"/>
      <c r="D1288" s="3"/>
      <c r="E1288" s="3">
        <v>5</v>
      </c>
      <c r="F1288" s="4" t="str">
        <f>HYPERLINK("http://141.218.60.56/~jnz1568/getInfo.php?workbook=18_15.xlsx&amp;sheet=U0&amp;row=1288&amp;col=6&amp;number=3.4&amp;sourceID=14","3.4")</f>
        <v>3.4</v>
      </c>
      <c r="G1288" s="4" t="str">
        <f>HYPERLINK("http://141.218.60.56/~jnz1568/getInfo.php?workbook=18_15.xlsx&amp;sheet=U0&amp;row=1288&amp;col=7&amp;number=2.24&amp;sourceID=14","2.24")</f>
        <v>2.24</v>
      </c>
    </row>
    <row r="1289" spans="1:7">
      <c r="A1289" s="3"/>
      <c r="B1289" s="3"/>
      <c r="C1289" s="3"/>
      <c r="D1289" s="3"/>
      <c r="E1289" s="3">
        <v>6</v>
      </c>
      <c r="F1289" s="4" t="str">
        <f>HYPERLINK("http://141.218.60.56/~jnz1568/getInfo.php?workbook=18_15.xlsx&amp;sheet=U0&amp;row=1289&amp;col=6&amp;number=3.5&amp;sourceID=14","3.5")</f>
        <v>3.5</v>
      </c>
      <c r="G1289" s="4" t="str">
        <f>HYPERLINK("http://141.218.60.56/~jnz1568/getInfo.php?workbook=18_15.xlsx&amp;sheet=U0&amp;row=1289&amp;col=7&amp;number=2.21&amp;sourceID=14","2.21")</f>
        <v>2.21</v>
      </c>
    </row>
    <row r="1290" spans="1:7">
      <c r="A1290" s="3"/>
      <c r="B1290" s="3"/>
      <c r="C1290" s="3"/>
      <c r="D1290" s="3"/>
      <c r="E1290" s="3">
        <v>7</v>
      </c>
      <c r="F1290" s="4" t="str">
        <f>HYPERLINK("http://141.218.60.56/~jnz1568/getInfo.php?workbook=18_15.xlsx&amp;sheet=U0&amp;row=1290&amp;col=6&amp;number=3.6&amp;sourceID=14","3.6")</f>
        <v>3.6</v>
      </c>
      <c r="G1290" s="4" t="str">
        <f>HYPERLINK("http://141.218.60.56/~jnz1568/getInfo.php?workbook=18_15.xlsx&amp;sheet=U0&amp;row=1290&amp;col=7&amp;number=2.17&amp;sourceID=14","2.17")</f>
        <v>2.17</v>
      </c>
    </row>
    <row r="1291" spans="1:7">
      <c r="A1291" s="3"/>
      <c r="B1291" s="3"/>
      <c r="C1291" s="3"/>
      <c r="D1291" s="3"/>
      <c r="E1291" s="3">
        <v>8</v>
      </c>
      <c r="F1291" s="4" t="str">
        <f>HYPERLINK("http://141.218.60.56/~jnz1568/getInfo.php?workbook=18_15.xlsx&amp;sheet=U0&amp;row=1291&amp;col=6&amp;number=3.7&amp;sourceID=14","3.7")</f>
        <v>3.7</v>
      </c>
      <c r="G1291" s="4" t="str">
        <f>HYPERLINK("http://141.218.60.56/~jnz1568/getInfo.php?workbook=18_15.xlsx&amp;sheet=U0&amp;row=1291&amp;col=7&amp;number=2.12&amp;sourceID=14","2.12")</f>
        <v>2.12</v>
      </c>
    </row>
    <row r="1292" spans="1:7">
      <c r="A1292" s="3"/>
      <c r="B1292" s="3"/>
      <c r="C1292" s="3"/>
      <c r="D1292" s="3"/>
      <c r="E1292" s="3">
        <v>9</v>
      </c>
      <c r="F1292" s="4" t="str">
        <f>HYPERLINK("http://141.218.60.56/~jnz1568/getInfo.php?workbook=18_15.xlsx&amp;sheet=U0&amp;row=1292&amp;col=6&amp;number=3.8&amp;sourceID=14","3.8")</f>
        <v>3.8</v>
      </c>
      <c r="G1292" s="4" t="str">
        <f>HYPERLINK("http://141.218.60.56/~jnz1568/getInfo.php?workbook=18_15.xlsx&amp;sheet=U0&amp;row=1292&amp;col=7&amp;number=2.07&amp;sourceID=14","2.07")</f>
        <v>2.07</v>
      </c>
    </row>
    <row r="1293" spans="1:7">
      <c r="A1293" s="3"/>
      <c r="B1293" s="3"/>
      <c r="C1293" s="3"/>
      <c r="D1293" s="3"/>
      <c r="E1293" s="3">
        <v>10</v>
      </c>
      <c r="F1293" s="4" t="str">
        <f>HYPERLINK("http://141.218.60.56/~jnz1568/getInfo.php?workbook=18_15.xlsx&amp;sheet=U0&amp;row=1293&amp;col=6&amp;number=3.9&amp;sourceID=14","3.9")</f>
        <v>3.9</v>
      </c>
      <c r="G1293" s="4" t="str">
        <f>HYPERLINK("http://141.218.60.56/~jnz1568/getInfo.php?workbook=18_15.xlsx&amp;sheet=U0&amp;row=1293&amp;col=7&amp;number=2.02&amp;sourceID=14","2.02")</f>
        <v>2.02</v>
      </c>
    </row>
    <row r="1294" spans="1:7">
      <c r="A1294" s="3"/>
      <c r="B1294" s="3"/>
      <c r="C1294" s="3"/>
      <c r="D1294" s="3"/>
      <c r="E1294" s="3">
        <v>11</v>
      </c>
      <c r="F1294" s="4" t="str">
        <f>HYPERLINK("http://141.218.60.56/~jnz1568/getInfo.php?workbook=18_15.xlsx&amp;sheet=U0&amp;row=1294&amp;col=6&amp;number=4&amp;sourceID=14","4")</f>
        <v>4</v>
      </c>
      <c r="G1294" s="4" t="str">
        <f>HYPERLINK("http://141.218.60.56/~jnz1568/getInfo.php?workbook=18_15.xlsx&amp;sheet=U0&amp;row=1294&amp;col=7&amp;number=1.98&amp;sourceID=14","1.98")</f>
        <v>1.98</v>
      </c>
    </row>
    <row r="1295" spans="1:7">
      <c r="A1295" s="3"/>
      <c r="B1295" s="3"/>
      <c r="C1295" s="3"/>
      <c r="D1295" s="3"/>
      <c r="E1295" s="3">
        <v>12</v>
      </c>
      <c r="F1295" s="4" t="str">
        <f>HYPERLINK("http://141.218.60.56/~jnz1568/getInfo.php?workbook=18_15.xlsx&amp;sheet=U0&amp;row=1295&amp;col=6&amp;number=4.1&amp;sourceID=14","4.1")</f>
        <v>4.1</v>
      </c>
      <c r="G1295" s="4" t="str">
        <f>HYPERLINK("http://141.218.60.56/~jnz1568/getInfo.php?workbook=18_15.xlsx&amp;sheet=U0&amp;row=1295&amp;col=7&amp;number=1.94&amp;sourceID=14","1.94")</f>
        <v>1.94</v>
      </c>
    </row>
    <row r="1296" spans="1:7">
      <c r="A1296" s="3"/>
      <c r="B1296" s="3"/>
      <c r="C1296" s="3"/>
      <c r="D1296" s="3"/>
      <c r="E1296" s="3">
        <v>13</v>
      </c>
      <c r="F1296" s="4" t="str">
        <f>HYPERLINK("http://141.218.60.56/~jnz1568/getInfo.php?workbook=18_15.xlsx&amp;sheet=U0&amp;row=1296&amp;col=6&amp;number=4.2&amp;sourceID=14","4.2")</f>
        <v>4.2</v>
      </c>
      <c r="G1296" s="4" t="str">
        <f>HYPERLINK("http://141.218.60.56/~jnz1568/getInfo.php?workbook=18_15.xlsx&amp;sheet=U0&amp;row=1296&amp;col=7&amp;number=1.91&amp;sourceID=14","1.91")</f>
        <v>1.91</v>
      </c>
    </row>
    <row r="1297" spans="1:7">
      <c r="A1297" s="3"/>
      <c r="B1297" s="3"/>
      <c r="C1297" s="3"/>
      <c r="D1297" s="3"/>
      <c r="E1297" s="3">
        <v>14</v>
      </c>
      <c r="F1297" s="4" t="str">
        <f>HYPERLINK("http://141.218.60.56/~jnz1568/getInfo.php?workbook=18_15.xlsx&amp;sheet=U0&amp;row=1297&amp;col=6&amp;number=4.3&amp;sourceID=14","4.3")</f>
        <v>4.3</v>
      </c>
      <c r="G1297" s="4" t="str">
        <f>HYPERLINK("http://141.218.60.56/~jnz1568/getInfo.php?workbook=18_15.xlsx&amp;sheet=U0&amp;row=1297&amp;col=7&amp;number=1.86&amp;sourceID=14","1.86")</f>
        <v>1.86</v>
      </c>
    </row>
    <row r="1298" spans="1:7">
      <c r="A1298" s="3"/>
      <c r="B1298" s="3"/>
      <c r="C1298" s="3"/>
      <c r="D1298" s="3"/>
      <c r="E1298" s="3">
        <v>15</v>
      </c>
      <c r="F1298" s="4" t="str">
        <f>HYPERLINK("http://141.218.60.56/~jnz1568/getInfo.php?workbook=18_15.xlsx&amp;sheet=U0&amp;row=1298&amp;col=6&amp;number=4.4&amp;sourceID=14","4.4")</f>
        <v>4.4</v>
      </c>
      <c r="G1298" s="4" t="str">
        <f>HYPERLINK("http://141.218.60.56/~jnz1568/getInfo.php?workbook=18_15.xlsx&amp;sheet=U0&amp;row=1298&amp;col=7&amp;number=1.8&amp;sourceID=14","1.8")</f>
        <v>1.8</v>
      </c>
    </row>
    <row r="1299" spans="1:7">
      <c r="A1299" s="3"/>
      <c r="B1299" s="3"/>
      <c r="C1299" s="3"/>
      <c r="D1299" s="3"/>
      <c r="E1299" s="3">
        <v>16</v>
      </c>
      <c r="F1299" s="4" t="str">
        <f>HYPERLINK("http://141.218.60.56/~jnz1568/getInfo.php?workbook=18_15.xlsx&amp;sheet=U0&amp;row=1299&amp;col=6&amp;number=4.5&amp;sourceID=14","4.5")</f>
        <v>4.5</v>
      </c>
      <c r="G1299" s="4" t="str">
        <f>HYPERLINK("http://141.218.60.56/~jnz1568/getInfo.php?workbook=18_15.xlsx&amp;sheet=U0&amp;row=1299&amp;col=7&amp;number=1.76&amp;sourceID=14","1.76")</f>
        <v>1.76</v>
      </c>
    </row>
    <row r="1300" spans="1:7">
      <c r="A1300" s="3"/>
      <c r="B1300" s="3"/>
      <c r="C1300" s="3"/>
      <c r="D1300" s="3"/>
      <c r="E1300" s="3">
        <v>17</v>
      </c>
      <c r="F1300" s="4" t="str">
        <f>HYPERLINK("http://141.218.60.56/~jnz1568/getInfo.php?workbook=18_15.xlsx&amp;sheet=U0&amp;row=1300&amp;col=6&amp;number=4.6&amp;sourceID=14","4.6")</f>
        <v>4.6</v>
      </c>
      <c r="G1300" s="4" t="str">
        <f>HYPERLINK("http://141.218.60.56/~jnz1568/getInfo.php?workbook=18_15.xlsx&amp;sheet=U0&amp;row=1300&amp;col=7&amp;number=1.72&amp;sourceID=14","1.72")</f>
        <v>1.72</v>
      </c>
    </row>
    <row r="1301" spans="1:7">
      <c r="A1301" s="3"/>
      <c r="B1301" s="3"/>
      <c r="C1301" s="3"/>
      <c r="D1301" s="3"/>
      <c r="E1301" s="3">
        <v>18</v>
      </c>
      <c r="F1301" s="4" t="str">
        <f>HYPERLINK("http://141.218.60.56/~jnz1568/getInfo.php?workbook=18_15.xlsx&amp;sheet=U0&amp;row=1301&amp;col=6&amp;number=4.7&amp;sourceID=14","4.7")</f>
        <v>4.7</v>
      </c>
      <c r="G1301" s="4" t="str">
        <f>HYPERLINK("http://141.218.60.56/~jnz1568/getInfo.php?workbook=18_15.xlsx&amp;sheet=U0&amp;row=1301&amp;col=7&amp;number=1.69&amp;sourceID=14","1.69")</f>
        <v>1.69</v>
      </c>
    </row>
    <row r="1302" spans="1:7">
      <c r="A1302" s="3"/>
      <c r="B1302" s="3"/>
      <c r="C1302" s="3"/>
      <c r="D1302" s="3"/>
      <c r="E1302" s="3">
        <v>19</v>
      </c>
      <c r="F1302" s="4" t="str">
        <f>HYPERLINK("http://141.218.60.56/~jnz1568/getInfo.php?workbook=18_15.xlsx&amp;sheet=U0&amp;row=1302&amp;col=6&amp;number=4.8&amp;sourceID=14","4.8")</f>
        <v>4.8</v>
      </c>
      <c r="G1302" s="4" t="str">
        <f>HYPERLINK("http://141.218.60.56/~jnz1568/getInfo.php?workbook=18_15.xlsx&amp;sheet=U0&amp;row=1302&amp;col=7&amp;number=1.66&amp;sourceID=14","1.66")</f>
        <v>1.66</v>
      </c>
    </row>
    <row r="1303" spans="1:7">
      <c r="A1303" s="3"/>
      <c r="B1303" s="3"/>
      <c r="C1303" s="3"/>
      <c r="D1303" s="3"/>
      <c r="E1303" s="3">
        <v>20</v>
      </c>
      <c r="F1303" s="4" t="str">
        <f>HYPERLINK("http://141.218.60.56/~jnz1568/getInfo.php?workbook=18_15.xlsx&amp;sheet=U0&amp;row=1303&amp;col=6&amp;number=4.9&amp;sourceID=14","4.9")</f>
        <v>4.9</v>
      </c>
      <c r="G1303" s="4" t="str">
        <f>HYPERLINK("http://141.218.60.56/~jnz1568/getInfo.php?workbook=18_15.xlsx&amp;sheet=U0&amp;row=1303&amp;col=7&amp;number=1.64&amp;sourceID=14","1.64")</f>
        <v>1.64</v>
      </c>
    </row>
    <row r="1304" spans="1:7">
      <c r="A1304" s="3">
        <v>18</v>
      </c>
      <c r="B1304" s="3">
        <v>15</v>
      </c>
      <c r="C1304" s="3">
        <v>3</v>
      </c>
      <c r="D1304" s="3">
        <v>13</v>
      </c>
      <c r="E1304" s="3">
        <v>1</v>
      </c>
      <c r="F1304" s="4" t="str">
        <f>HYPERLINK("http://141.218.60.56/~jnz1568/getInfo.php?workbook=18_15.xlsx&amp;sheet=U0&amp;row=1304&amp;col=6&amp;number=3&amp;sourceID=14","3")</f>
        <v>3</v>
      </c>
      <c r="G1304" s="4" t="str">
        <f>HYPERLINK("http://141.218.60.56/~jnz1568/getInfo.php?workbook=18_15.xlsx&amp;sheet=U0&amp;row=1304&amp;col=7&amp;number=0.197&amp;sourceID=14","0.197")</f>
        <v>0.197</v>
      </c>
    </row>
    <row r="1305" spans="1:7">
      <c r="A1305" s="3"/>
      <c r="B1305" s="3"/>
      <c r="C1305" s="3"/>
      <c r="D1305" s="3"/>
      <c r="E1305" s="3">
        <v>2</v>
      </c>
      <c r="F1305" s="4" t="str">
        <f>HYPERLINK("http://141.218.60.56/~jnz1568/getInfo.php?workbook=18_15.xlsx&amp;sheet=U0&amp;row=1305&amp;col=6&amp;number=3.1&amp;sourceID=14","3.1")</f>
        <v>3.1</v>
      </c>
      <c r="G1305" s="4" t="str">
        <f>HYPERLINK("http://141.218.60.56/~jnz1568/getInfo.php?workbook=18_15.xlsx&amp;sheet=U0&amp;row=1305&amp;col=7&amp;number=0.2&amp;sourceID=14","0.2")</f>
        <v>0.2</v>
      </c>
    </row>
    <row r="1306" spans="1:7">
      <c r="A1306" s="3"/>
      <c r="B1306" s="3"/>
      <c r="C1306" s="3"/>
      <c r="D1306" s="3"/>
      <c r="E1306" s="3">
        <v>3</v>
      </c>
      <c r="F1306" s="4" t="str">
        <f>HYPERLINK("http://141.218.60.56/~jnz1568/getInfo.php?workbook=18_15.xlsx&amp;sheet=U0&amp;row=1306&amp;col=6&amp;number=3.2&amp;sourceID=14","3.2")</f>
        <v>3.2</v>
      </c>
      <c r="G1306" s="4" t="str">
        <f>HYPERLINK("http://141.218.60.56/~jnz1568/getInfo.php?workbook=18_15.xlsx&amp;sheet=U0&amp;row=1306&amp;col=7&amp;number=0.204&amp;sourceID=14","0.204")</f>
        <v>0.204</v>
      </c>
    </row>
    <row r="1307" spans="1:7">
      <c r="A1307" s="3"/>
      <c r="B1307" s="3"/>
      <c r="C1307" s="3"/>
      <c r="D1307" s="3"/>
      <c r="E1307" s="3">
        <v>4</v>
      </c>
      <c r="F1307" s="4" t="str">
        <f>HYPERLINK("http://141.218.60.56/~jnz1568/getInfo.php?workbook=18_15.xlsx&amp;sheet=U0&amp;row=1307&amp;col=6&amp;number=3.3&amp;sourceID=14","3.3")</f>
        <v>3.3</v>
      </c>
      <c r="G1307" s="4" t="str">
        <f>HYPERLINK("http://141.218.60.56/~jnz1568/getInfo.php?workbook=18_15.xlsx&amp;sheet=U0&amp;row=1307&amp;col=7&amp;number=0.208&amp;sourceID=14","0.208")</f>
        <v>0.208</v>
      </c>
    </row>
    <row r="1308" spans="1:7">
      <c r="A1308" s="3"/>
      <c r="B1308" s="3"/>
      <c r="C1308" s="3"/>
      <c r="D1308" s="3"/>
      <c r="E1308" s="3">
        <v>5</v>
      </c>
      <c r="F1308" s="4" t="str">
        <f>HYPERLINK("http://141.218.60.56/~jnz1568/getInfo.php?workbook=18_15.xlsx&amp;sheet=U0&amp;row=1308&amp;col=6&amp;number=3.4&amp;sourceID=14","3.4")</f>
        <v>3.4</v>
      </c>
      <c r="G1308" s="4" t="str">
        <f>HYPERLINK("http://141.218.60.56/~jnz1568/getInfo.php?workbook=18_15.xlsx&amp;sheet=U0&amp;row=1308&amp;col=7&amp;number=0.214&amp;sourceID=14","0.214")</f>
        <v>0.214</v>
      </c>
    </row>
    <row r="1309" spans="1:7">
      <c r="A1309" s="3"/>
      <c r="B1309" s="3"/>
      <c r="C1309" s="3"/>
      <c r="D1309" s="3"/>
      <c r="E1309" s="3">
        <v>6</v>
      </c>
      <c r="F1309" s="4" t="str">
        <f>HYPERLINK("http://141.218.60.56/~jnz1568/getInfo.php?workbook=18_15.xlsx&amp;sheet=U0&amp;row=1309&amp;col=6&amp;number=3.5&amp;sourceID=14","3.5")</f>
        <v>3.5</v>
      </c>
      <c r="G1309" s="4" t="str">
        <f>HYPERLINK("http://141.218.60.56/~jnz1568/getInfo.php?workbook=18_15.xlsx&amp;sheet=U0&amp;row=1309&amp;col=7&amp;number=0.221&amp;sourceID=14","0.221")</f>
        <v>0.221</v>
      </c>
    </row>
    <row r="1310" spans="1:7">
      <c r="A1310" s="3"/>
      <c r="B1310" s="3"/>
      <c r="C1310" s="3"/>
      <c r="D1310" s="3"/>
      <c r="E1310" s="3">
        <v>7</v>
      </c>
      <c r="F1310" s="4" t="str">
        <f>HYPERLINK("http://141.218.60.56/~jnz1568/getInfo.php?workbook=18_15.xlsx&amp;sheet=U0&amp;row=1310&amp;col=6&amp;number=3.6&amp;sourceID=14","3.6")</f>
        <v>3.6</v>
      </c>
      <c r="G1310" s="4" t="str">
        <f>HYPERLINK("http://141.218.60.56/~jnz1568/getInfo.php?workbook=18_15.xlsx&amp;sheet=U0&amp;row=1310&amp;col=7&amp;number=0.229&amp;sourceID=14","0.229")</f>
        <v>0.229</v>
      </c>
    </row>
    <row r="1311" spans="1:7">
      <c r="A1311" s="3"/>
      <c r="B1311" s="3"/>
      <c r="C1311" s="3"/>
      <c r="D1311" s="3"/>
      <c r="E1311" s="3">
        <v>8</v>
      </c>
      <c r="F1311" s="4" t="str">
        <f>HYPERLINK("http://141.218.60.56/~jnz1568/getInfo.php?workbook=18_15.xlsx&amp;sheet=U0&amp;row=1311&amp;col=6&amp;number=3.7&amp;sourceID=14","3.7")</f>
        <v>3.7</v>
      </c>
      <c r="G1311" s="4" t="str">
        <f>HYPERLINK("http://141.218.60.56/~jnz1568/getInfo.php?workbook=18_15.xlsx&amp;sheet=U0&amp;row=1311&amp;col=7&amp;number=0.239&amp;sourceID=14","0.239")</f>
        <v>0.239</v>
      </c>
    </row>
    <row r="1312" spans="1:7">
      <c r="A1312" s="3"/>
      <c r="B1312" s="3"/>
      <c r="C1312" s="3"/>
      <c r="D1312" s="3"/>
      <c r="E1312" s="3">
        <v>9</v>
      </c>
      <c r="F1312" s="4" t="str">
        <f>HYPERLINK("http://141.218.60.56/~jnz1568/getInfo.php?workbook=18_15.xlsx&amp;sheet=U0&amp;row=1312&amp;col=6&amp;number=3.8&amp;sourceID=14","3.8")</f>
        <v>3.8</v>
      </c>
      <c r="G1312" s="4" t="str">
        <f>HYPERLINK("http://141.218.60.56/~jnz1568/getInfo.php?workbook=18_15.xlsx&amp;sheet=U0&amp;row=1312&amp;col=7&amp;number=0.251&amp;sourceID=14","0.251")</f>
        <v>0.251</v>
      </c>
    </row>
    <row r="1313" spans="1:7">
      <c r="A1313" s="3"/>
      <c r="B1313" s="3"/>
      <c r="C1313" s="3"/>
      <c r="D1313" s="3"/>
      <c r="E1313" s="3">
        <v>10</v>
      </c>
      <c r="F1313" s="4" t="str">
        <f>HYPERLINK("http://141.218.60.56/~jnz1568/getInfo.php?workbook=18_15.xlsx&amp;sheet=U0&amp;row=1313&amp;col=6&amp;number=3.9&amp;sourceID=14","3.9")</f>
        <v>3.9</v>
      </c>
      <c r="G1313" s="4" t="str">
        <f>HYPERLINK("http://141.218.60.56/~jnz1568/getInfo.php?workbook=18_15.xlsx&amp;sheet=U0&amp;row=1313&amp;col=7&amp;number=0.264&amp;sourceID=14","0.264")</f>
        <v>0.264</v>
      </c>
    </row>
    <row r="1314" spans="1:7">
      <c r="A1314" s="3"/>
      <c r="B1314" s="3"/>
      <c r="C1314" s="3"/>
      <c r="D1314" s="3"/>
      <c r="E1314" s="3">
        <v>11</v>
      </c>
      <c r="F1314" s="4" t="str">
        <f>HYPERLINK("http://141.218.60.56/~jnz1568/getInfo.php?workbook=18_15.xlsx&amp;sheet=U0&amp;row=1314&amp;col=6&amp;number=4&amp;sourceID=14","4")</f>
        <v>4</v>
      </c>
      <c r="G1314" s="4" t="str">
        <f>HYPERLINK("http://141.218.60.56/~jnz1568/getInfo.php?workbook=18_15.xlsx&amp;sheet=U0&amp;row=1314&amp;col=7&amp;number=0.279&amp;sourceID=14","0.279")</f>
        <v>0.279</v>
      </c>
    </row>
    <row r="1315" spans="1:7">
      <c r="A1315" s="3"/>
      <c r="B1315" s="3"/>
      <c r="C1315" s="3"/>
      <c r="D1315" s="3"/>
      <c r="E1315" s="3">
        <v>12</v>
      </c>
      <c r="F1315" s="4" t="str">
        <f>HYPERLINK("http://141.218.60.56/~jnz1568/getInfo.php?workbook=18_15.xlsx&amp;sheet=U0&amp;row=1315&amp;col=6&amp;number=4.1&amp;sourceID=14","4.1")</f>
        <v>4.1</v>
      </c>
      <c r="G1315" s="4" t="str">
        <f>HYPERLINK("http://141.218.60.56/~jnz1568/getInfo.php?workbook=18_15.xlsx&amp;sheet=U0&amp;row=1315&amp;col=7&amp;number=0.294&amp;sourceID=14","0.294")</f>
        <v>0.294</v>
      </c>
    </row>
    <row r="1316" spans="1:7">
      <c r="A1316" s="3"/>
      <c r="B1316" s="3"/>
      <c r="C1316" s="3"/>
      <c r="D1316" s="3"/>
      <c r="E1316" s="3">
        <v>13</v>
      </c>
      <c r="F1316" s="4" t="str">
        <f>HYPERLINK("http://141.218.60.56/~jnz1568/getInfo.php?workbook=18_15.xlsx&amp;sheet=U0&amp;row=1316&amp;col=6&amp;number=4.2&amp;sourceID=14","4.2")</f>
        <v>4.2</v>
      </c>
      <c r="G1316" s="4" t="str">
        <f>HYPERLINK("http://141.218.60.56/~jnz1568/getInfo.php?workbook=18_15.xlsx&amp;sheet=U0&amp;row=1316&amp;col=7&amp;number=0.308&amp;sourceID=14","0.308")</f>
        <v>0.308</v>
      </c>
    </row>
    <row r="1317" spans="1:7">
      <c r="A1317" s="3"/>
      <c r="B1317" s="3"/>
      <c r="C1317" s="3"/>
      <c r="D1317" s="3"/>
      <c r="E1317" s="3">
        <v>14</v>
      </c>
      <c r="F1317" s="4" t="str">
        <f>HYPERLINK("http://141.218.60.56/~jnz1568/getInfo.php?workbook=18_15.xlsx&amp;sheet=U0&amp;row=1317&amp;col=6&amp;number=4.3&amp;sourceID=14","4.3")</f>
        <v>4.3</v>
      </c>
      <c r="G1317" s="4" t="str">
        <f>HYPERLINK("http://141.218.60.56/~jnz1568/getInfo.php?workbook=18_15.xlsx&amp;sheet=U0&amp;row=1317&amp;col=7&amp;number=0.318&amp;sourceID=14","0.318")</f>
        <v>0.318</v>
      </c>
    </row>
    <row r="1318" spans="1:7">
      <c r="A1318" s="3"/>
      <c r="B1318" s="3"/>
      <c r="C1318" s="3"/>
      <c r="D1318" s="3"/>
      <c r="E1318" s="3">
        <v>15</v>
      </c>
      <c r="F1318" s="4" t="str">
        <f>HYPERLINK("http://141.218.60.56/~jnz1568/getInfo.php?workbook=18_15.xlsx&amp;sheet=U0&amp;row=1318&amp;col=6&amp;number=4.4&amp;sourceID=14","4.4")</f>
        <v>4.4</v>
      </c>
      <c r="G1318" s="4" t="str">
        <f>HYPERLINK("http://141.218.60.56/~jnz1568/getInfo.php?workbook=18_15.xlsx&amp;sheet=U0&amp;row=1318&amp;col=7&amp;number=0.322&amp;sourceID=14","0.322")</f>
        <v>0.322</v>
      </c>
    </row>
    <row r="1319" spans="1:7">
      <c r="A1319" s="3"/>
      <c r="B1319" s="3"/>
      <c r="C1319" s="3"/>
      <c r="D1319" s="3"/>
      <c r="E1319" s="3">
        <v>16</v>
      </c>
      <c r="F1319" s="4" t="str">
        <f>HYPERLINK("http://141.218.60.56/~jnz1568/getInfo.php?workbook=18_15.xlsx&amp;sheet=U0&amp;row=1319&amp;col=6&amp;number=4.5&amp;sourceID=14","4.5")</f>
        <v>4.5</v>
      </c>
      <c r="G1319" s="4" t="str">
        <f>HYPERLINK("http://141.218.60.56/~jnz1568/getInfo.php?workbook=18_15.xlsx&amp;sheet=U0&amp;row=1319&amp;col=7&amp;number=0.316&amp;sourceID=14","0.316")</f>
        <v>0.316</v>
      </c>
    </row>
    <row r="1320" spans="1:7">
      <c r="A1320" s="3"/>
      <c r="B1320" s="3"/>
      <c r="C1320" s="3"/>
      <c r="D1320" s="3"/>
      <c r="E1320" s="3">
        <v>17</v>
      </c>
      <c r="F1320" s="4" t="str">
        <f>HYPERLINK("http://141.218.60.56/~jnz1568/getInfo.php?workbook=18_15.xlsx&amp;sheet=U0&amp;row=1320&amp;col=6&amp;number=4.6&amp;sourceID=14","4.6")</f>
        <v>4.6</v>
      </c>
      <c r="G1320" s="4" t="str">
        <f>HYPERLINK("http://141.218.60.56/~jnz1568/getInfo.php?workbook=18_15.xlsx&amp;sheet=U0&amp;row=1320&amp;col=7&amp;number=0.305&amp;sourceID=14","0.305")</f>
        <v>0.305</v>
      </c>
    </row>
    <row r="1321" spans="1:7">
      <c r="A1321" s="3"/>
      <c r="B1321" s="3"/>
      <c r="C1321" s="3"/>
      <c r="D1321" s="3"/>
      <c r="E1321" s="3">
        <v>18</v>
      </c>
      <c r="F1321" s="4" t="str">
        <f>HYPERLINK("http://141.218.60.56/~jnz1568/getInfo.php?workbook=18_15.xlsx&amp;sheet=U0&amp;row=1321&amp;col=6&amp;number=4.7&amp;sourceID=14","4.7")</f>
        <v>4.7</v>
      </c>
      <c r="G1321" s="4" t="str">
        <f>HYPERLINK("http://141.218.60.56/~jnz1568/getInfo.php?workbook=18_15.xlsx&amp;sheet=U0&amp;row=1321&amp;col=7&amp;number=0.294&amp;sourceID=14","0.294")</f>
        <v>0.294</v>
      </c>
    </row>
    <row r="1322" spans="1:7">
      <c r="A1322" s="3"/>
      <c r="B1322" s="3"/>
      <c r="C1322" s="3"/>
      <c r="D1322" s="3"/>
      <c r="E1322" s="3">
        <v>19</v>
      </c>
      <c r="F1322" s="4" t="str">
        <f>HYPERLINK("http://141.218.60.56/~jnz1568/getInfo.php?workbook=18_15.xlsx&amp;sheet=U0&amp;row=1322&amp;col=6&amp;number=4.8&amp;sourceID=14","4.8")</f>
        <v>4.8</v>
      </c>
      <c r="G1322" s="4" t="str">
        <f>HYPERLINK("http://141.218.60.56/~jnz1568/getInfo.php?workbook=18_15.xlsx&amp;sheet=U0&amp;row=1322&amp;col=7&amp;number=0.283&amp;sourceID=14","0.283")</f>
        <v>0.283</v>
      </c>
    </row>
    <row r="1323" spans="1:7">
      <c r="A1323" s="3"/>
      <c r="B1323" s="3"/>
      <c r="C1323" s="3"/>
      <c r="D1323" s="3"/>
      <c r="E1323" s="3">
        <v>20</v>
      </c>
      <c r="F1323" s="4" t="str">
        <f>HYPERLINK("http://141.218.60.56/~jnz1568/getInfo.php?workbook=18_15.xlsx&amp;sheet=U0&amp;row=1323&amp;col=6&amp;number=4.9&amp;sourceID=14","4.9")</f>
        <v>4.9</v>
      </c>
      <c r="G1323" s="4" t="str">
        <f>HYPERLINK("http://141.218.60.56/~jnz1568/getInfo.php?workbook=18_15.xlsx&amp;sheet=U0&amp;row=1323&amp;col=7&amp;number=0.27&amp;sourceID=14","0.27")</f>
        <v>0.27</v>
      </c>
    </row>
    <row r="1324" spans="1:7">
      <c r="A1324" s="3">
        <v>18</v>
      </c>
      <c r="B1324" s="3">
        <v>15</v>
      </c>
      <c r="C1324" s="3">
        <v>3</v>
      </c>
      <c r="D1324" s="3">
        <v>14</v>
      </c>
      <c r="E1324" s="3">
        <v>1</v>
      </c>
      <c r="F1324" s="4" t="str">
        <f>HYPERLINK("http://141.218.60.56/~jnz1568/getInfo.php?workbook=18_15.xlsx&amp;sheet=U0&amp;row=1324&amp;col=6&amp;number=3&amp;sourceID=14","3")</f>
        <v>3</v>
      </c>
      <c r="G1324" s="4" t="str">
        <f>HYPERLINK("http://141.218.60.56/~jnz1568/getInfo.php?workbook=18_15.xlsx&amp;sheet=U0&amp;row=1324&amp;col=7&amp;number=0.344&amp;sourceID=14","0.344")</f>
        <v>0.344</v>
      </c>
    </row>
    <row r="1325" spans="1:7">
      <c r="A1325" s="3"/>
      <c r="B1325" s="3"/>
      <c r="C1325" s="3"/>
      <c r="D1325" s="3"/>
      <c r="E1325" s="3">
        <v>2</v>
      </c>
      <c r="F1325" s="4" t="str">
        <f>HYPERLINK("http://141.218.60.56/~jnz1568/getInfo.php?workbook=18_15.xlsx&amp;sheet=U0&amp;row=1325&amp;col=6&amp;number=3.1&amp;sourceID=14","3.1")</f>
        <v>3.1</v>
      </c>
      <c r="G1325" s="4" t="str">
        <f>HYPERLINK("http://141.218.60.56/~jnz1568/getInfo.php?workbook=18_15.xlsx&amp;sheet=U0&amp;row=1325&amp;col=7&amp;number=0.341&amp;sourceID=14","0.341")</f>
        <v>0.341</v>
      </c>
    </row>
    <row r="1326" spans="1:7">
      <c r="A1326" s="3"/>
      <c r="B1326" s="3"/>
      <c r="C1326" s="3"/>
      <c r="D1326" s="3"/>
      <c r="E1326" s="3">
        <v>3</v>
      </c>
      <c r="F1326" s="4" t="str">
        <f>HYPERLINK("http://141.218.60.56/~jnz1568/getInfo.php?workbook=18_15.xlsx&amp;sheet=U0&amp;row=1326&amp;col=6&amp;number=3.2&amp;sourceID=14","3.2")</f>
        <v>3.2</v>
      </c>
      <c r="G1326" s="4" t="str">
        <f>HYPERLINK("http://141.218.60.56/~jnz1568/getInfo.php?workbook=18_15.xlsx&amp;sheet=U0&amp;row=1326&amp;col=7&amp;number=0.338&amp;sourceID=14","0.338")</f>
        <v>0.338</v>
      </c>
    </row>
    <row r="1327" spans="1:7">
      <c r="A1327" s="3"/>
      <c r="B1327" s="3"/>
      <c r="C1327" s="3"/>
      <c r="D1327" s="3"/>
      <c r="E1327" s="3">
        <v>4</v>
      </c>
      <c r="F1327" s="4" t="str">
        <f>HYPERLINK("http://141.218.60.56/~jnz1568/getInfo.php?workbook=18_15.xlsx&amp;sheet=U0&amp;row=1327&amp;col=6&amp;number=3.3&amp;sourceID=14","3.3")</f>
        <v>3.3</v>
      </c>
      <c r="G1327" s="4" t="str">
        <f>HYPERLINK("http://141.218.60.56/~jnz1568/getInfo.php?workbook=18_15.xlsx&amp;sheet=U0&amp;row=1327&amp;col=7&amp;number=0.334&amp;sourceID=14","0.334")</f>
        <v>0.334</v>
      </c>
    </row>
    <row r="1328" spans="1:7">
      <c r="A1328" s="3"/>
      <c r="B1328" s="3"/>
      <c r="C1328" s="3"/>
      <c r="D1328" s="3"/>
      <c r="E1328" s="3">
        <v>5</v>
      </c>
      <c r="F1328" s="4" t="str">
        <f>HYPERLINK("http://141.218.60.56/~jnz1568/getInfo.php?workbook=18_15.xlsx&amp;sheet=U0&amp;row=1328&amp;col=6&amp;number=3.4&amp;sourceID=14","3.4")</f>
        <v>3.4</v>
      </c>
      <c r="G1328" s="4" t="str">
        <f>HYPERLINK("http://141.218.60.56/~jnz1568/getInfo.php?workbook=18_15.xlsx&amp;sheet=U0&amp;row=1328&amp;col=7&amp;number=0.329&amp;sourceID=14","0.329")</f>
        <v>0.329</v>
      </c>
    </row>
    <row r="1329" spans="1:7">
      <c r="A1329" s="3"/>
      <c r="B1329" s="3"/>
      <c r="C1329" s="3"/>
      <c r="D1329" s="3"/>
      <c r="E1329" s="3">
        <v>6</v>
      </c>
      <c r="F1329" s="4" t="str">
        <f>HYPERLINK("http://141.218.60.56/~jnz1568/getInfo.php?workbook=18_15.xlsx&amp;sheet=U0&amp;row=1329&amp;col=6&amp;number=3.5&amp;sourceID=14","3.5")</f>
        <v>3.5</v>
      </c>
      <c r="G1329" s="4" t="str">
        <f>HYPERLINK("http://141.218.60.56/~jnz1568/getInfo.php?workbook=18_15.xlsx&amp;sheet=U0&amp;row=1329&amp;col=7&amp;number=0.323&amp;sourceID=14","0.323")</f>
        <v>0.323</v>
      </c>
    </row>
    <row r="1330" spans="1:7">
      <c r="A1330" s="3"/>
      <c r="B1330" s="3"/>
      <c r="C1330" s="3"/>
      <c r="D1330" s="3"/>
      <c r="E1330" s="3">
        <v>7</v>
      </c>
      <c r="F1330" s="4" t="str">
        <f>HYPERLINK("http://141.218.60.56/~jnz1568/getInfo.php?workbook=18_15.xlsx&amp;sheet=U0&amp;row=1330&amp;col=6&amp;number=3.6&amp;sourceID=14","3.6")</f>
        <v>3.6</v>
      </c>
      <c r="G1330" s="4" t="str">
        <f>HYPERLINK("http://141.218.60.56/~jnz1568/getInfo.php?workbook=18_15.xlsx&amp;sheet=U0&amp;row=1330&amp;col=7&amp;number=0.316&amp;sourceID=14","0.316")</f>
        <v>0.316</v>
      </c>
    </row>
    <row r="1331" spans="1:7">
      <c r="A1331" s="3"/>
      <c r="B1331" s="3"/>
      <c r="C1331" s="3"/>
      <c r="D1331" s="3"/>
      <c r="E1331" s="3">
        <v>8</v>
      </c>
      <c r="F1331" s="4" t="str">
        <f>HYPERLINK("http://141.218.60.56/~jnz1568/getInfo.php?workbook=18_15.xlsx&amp;sheet=U0&amp;row=1331&amp;col=6&amp;number=3.7&amp;sourceID=14","3.7")</f>
        <v>3.7</v>
      </c>
      <c r="G1331" s="4" t="str">
        <f>HYPERLINK("http://141.218.60.56/~jnz1568/getInfo.php?workbook=18_15.xlsx&amp;sheet=U0&amp;row=1331&amp;col=7&amp;number=0.307&amp;sourceID=14","0.307")</f>
        <v>0.307</v>
      </c>
    </row>
    <row r="1332" spans="1:7">
      <c r="A1332" s="3"/>
      <c r="B1332" s="3"/>
      <c r="C1332" s="3"/>
      <c r="D1332" s="3"/>
      <c r="E1332" s="3">
        <v>9</v>
      </c>
      <c r="F1332" s="4" t="str">
        <f>HYPERLINK("http://141.218.60.56/~jnz1568/getInfo.php?workbook=18_15.xlsx&amp;sheet=U0&amp;row=1332&amp;col=6&amp;number=3.8&amp;sourceID=14","3.8")</f>
        <v>3.8</v>
      </c>
      <c r="G1332" s="4" t="str">
        <f>HYPERLINK("http://141.218.60.56/~jnz1568/getInfo.php?workbook=18_15.xlsx&amp;sheet=U0&amp;row=1332&amp;col=7&amp;number=0.296&amp;sourceID=14","0.296")</f>
        <v>0.296</v>
      </c>
    </row>
    <row r="1333" spans="1:7">
      <c r="A1333" s="3"/>
      <c r="B1333" s="3"/>
      <c r="C1333" s="3"/>
      <c r="D1333" s="3"/>
      <c r="E1333" s="3">
        <v>10</v>
      </c>
      <c r="F1333" s="4" t="str">
        <f>HYPERLINK("http://141.218.60.56/~jnz1568/getInfo.php?workbook=18_15.xlsx&amp;sheet=U0&amp;row=1333&amp;col=6&amp;number=3.9&amp;sourceID=14","3.9")</f>
        <v>3.9</v>
      </c>
      <c r="G1333" s="4" t="str">
        <f>HYPERLINK("http://141.218.60.56/~jnz1568/getInfo.php?workbook=18_15.xlsx&amp;sheet=U0&amp;row=1333&amp;col=7&amp;number=0.284&amp;sourceID=14","0.284")</f>
        <v>0.284</v>
      </c>
    </row>
    <row r="1334" spans="1:7">
      <c r="A1334" s="3"/>
      <c r="B1334" s="3"/>
      <c r="C1334" s="3"/>
      <c r="D1334" s="3"/>
      <c r="E1334" s="3">
        <v>11</v>
      </c>
      <c r="F1334" s="4" t="str">
        <f>HYPERLINK("http://141.218.60.56/~jnz1568/getInfo.php?workbook=18_15.xlsx&amp;sheet=U0&amp;row=1334&amp;col=6&amp;number=4&amp;sourceID=14","4")</f>
        <v>4</v>
      </c>
      <c r="G1334" s="4" t="str">
        <f>HYPERLINK("http://141.218.60.56/~jnz1568/getInfo.php?workbook=18_15.xlsx&amp;sheet=U0&amp;row=1334&amp;col=7&amp;number=0.269&amp;sourceID=14","0.269")</f>
        <v>0.269</v>
      </c>
    </row>
    <row r="1335" spans="1:7">
      <c r="A1335" s="3"/>
      <c r="B1335" s="3"/>
      <c r="C1335" s="3"/>
      <c r="D1335" s="3"/>
      <c r="E1335" s="3">
        <v>12</v>
      </c>
      <c r="F1335" s="4" t="str">
        <f>HYPERLINK("http://141.218.60.56/~jnz1568/getInfo.php?workbook=18_15.xlsx&amp;sheet=U0&amp;row=1335&amp;col=6&amp;number=4.1&amp;sourceID=14","4.1")</f>
        <v>4.1</v>
      </c>
      <c r="G1335" s="4" t="str">
        <f>HYPERLINK("http://141.218.60.56/~jnz1568/getInfo.php?workbook=18_15.xlsx&amp;sheet=U0&amp;row=1335&amp;col=7&amp;number=0.253&amp;sourceID=14","0.253")</f>
        <v>0.253</v>
      </c>
    </row>
    <row r="1336" spans="1:7">
      <c r="A1336" s="3"/>
      <c r="B1336" s="3"/>
      <c r="C1336" s="3"/>
      <c r="D1336" s="3"/>
      <c r="E1336" s="3">
        <v>13</v>
      </c>
      <c r="F1336" s="4" t="str">
        <f>HYPERLINK("http://141.218.60.56/~jnz1568/getInfo.php?workbook=18_15.xlsx&amp;sheet=U0&amp;row=1336&amp;col=6&amp;number=4.2&amp;sourceID=14","4.2")</f>
        <v>4.2</v>
      </c>
      <c r="G1336" s="4" t="str">
        <f>HYPERLINK("http://141.218.60.56/~jnz1568/getInfo.php?workbook=18_15.xlsx&amp;sheet=U0&amp;row=1336&amp;col=7&amp;number=0.238&amp;sourceID=14","0.238")</f>
        <v>0.238</v>
      </c>
    </row>
    <row r="1337" spans="1:7">
      <c r="A1337" s="3"/>
      <c r="B1337" s="3"/>
      <c r="C1337" s="3"/>
      <c r="D1337" s="3"/>
      <c r="E1337" s="3">
        <v>14</v>
      </c>
      <c r="F1337" s="4" t="str">
        <f>HYPERLINK("http://141.218.60.56/~jnz1568/getInfo.php?workbook=18_15.xlsx&amp;sheet=U0&amp;row=1337&amp;col=6&amp;number=4.3&amp;sourceID=14","4.3")</f>
        <v>4.3</v>
      </c>
      <c r="G1337" s="4" t="str">
        <f>HYPERLINK("http://141.218.60.56/~jnz1568/getInfo.php?workbook=18_15.xlsx&amp;sheet=U0&amp;row=1337&amp;col=7&amp;number=0.226&amp;sourceID=14","0.226")</f>
        <v>0.226</v>
      </c>
    </row>
    <row r="1338" spans="1:7">
      <c r="A1338" s="3"/>
      <c r="B1338" s="3"/>
      <c r="C1338" s="3"/>
      <c r="D1338" s="3"/>
      <c r="E1338" s="3">
        <v>15</v>
      </c>
      <c r="F1338" s="4" t="str">
        <f>HYPERLINK("http://141.218.60.56/~jnz1568/getInfo.php?workbook=18_15.xlsx&amp;sheet=U0&amp;row=1338&amp;col=6&amp;number=4.4&amp;sourceID=14","4.4")</f>
        <v>4.4</v>
      </c>
      <c r="G1338" s="4" t="str">
        <f>HYPERLINK("http://141.218.60.56/~jnz1568/getInfo.php?workbook=18_15.xlsx&amp;sheet=U0&amp;row=1338&amp;col=7&amp;number=0.215&amp;sourceID=14","0.215")</f>
        <v>0.215</v>
      </c>
    </row>
    <row r="1339" spans="1:7">
      <c r="A1339" s="3"/>
      <c r="B1339" s="3"/>
      <c r="C1339" s="3"/>
      <c r="D1339" s="3"/>
      <c r="E1339" s="3">
        <v>16</v>
      </c>
      <c r="F1339" s="4" t="str">
        <f>HYPERLINK("http://141.218.60.56/~jnz1568/getInfo.php?workbook=18_15.xlsx&amp;sheet=U0&amp;row=1339&amp;col=6&amp;number=4.5&amp;sourceID=14","4.5")</f>
        <v>4.5</v>
      </c>
      <c r="G1339" s="4" t="str">
        <f>HYPERLINK("http://141.218.60.56/~jnz1568/getInfo.php?workbook=18_15.xlsx&amp;sheet=U0&amp;row=1339&amp;col=7&amp;number=0.205&amp;sourceID=14","0.205")</f>
        <v>0.205</v>
      </c>
    </row>
    <row r="1340" spans="1:7">
      <c r="A1340" s="3"/>
      <c r="B1340" s="3"/>
      <c r="C1340" s="3"/>
      <c r="D1340" s="3"/>
      <c r="E1340" s="3">
        <v>17</v>
      </c>
      <c r="F1340" s="4" t="str">
        <f>HYPERLINK("http://141.218.60.56/~jnz1568/getInfo.php?workbook=18_15.xlsx&amp;sheet=U0&amp;row=1340&amp;col=6&amp;number=4.6&amp;sourceID=14","4.6")</f>
        <v>4.6</v>
      </c>
      <c r="G1340" s="4" t="str">
        <f>HYPERLINK("http://141.218.60.56/~jnz1568/getInfo.php?workbook=18_15.xlsx&amp;sheet=U0&amp;row=1340&amp;col=7&amp;number=0.194&amp;sourceID=14","0.194")</f>
        <v>0.194</v>
      </c>
    </row>
    <row r="1341" spans="1:7">
      <c r="A1341" s="3"/>
      <c r="B1341" s="3"/>
      <c r="C1341" s="3"/>
      <c r="D1341" s="3"/>
      <c r="E1341" s="3">
        <v>18</v>
      </c>
      <c r="F1341" s="4" t="str">
        <f>HYPERLINK("http://141.218.60.56/~jnz1568/getInfo.php?workbook=18_15.xlsx&amp;sheet=U0&amp;row=1341&amp;col=6&amp;number=4.7&amp;sourceID=14","4.7")</f>
        <v>4.7</v>
      </c>
      <c r="G1341" s="4" t="str">
        <f>HYPERLINK("http://141.218.60.56/~jnz1568/getInfo.php?workbook=18_15.xlsx&amp;sheet=U0&amp;row=1341&amp;col=7&amp;number=0.185&amp;sourceID=14","0.185")</f>
        <v>0.185</v>
      </c>
    </row>
    <row r="1342" spans="1:7">
      <c r="A1342" s="3"/>
      <c r="B1342" s="3"/>
      <c r="C1342" s="3"/>
      <c r="D1342" s="3"/>
      <c r="E1342" s="3">
        <v>19</v>
      </c>
      <c r="F1342" s="4" t="str">
        <f>HYPERLINK("http://141.218.60.56/~jnz1568/getInfo.php?workbook=18_15.xlsx&amp;sheet=U0&amp;row=1342&amp;col=6&amp;number=4.8&amp;sourceID=14","4.8")</f>
        <v>4.8</v>
      </c>
      <c r="G1342" s="4" t="str">
        <f>HYPERLINK("http://141.218.60.56/~jnz1568/getInfo.php?workbook=18_15.xlsx&amp;sheet=U0&amp;row=1342&amp;col=7&amp;number=0.178&amp;sourceID=14","0.178")</f>
        <v>0.178</v>
      </c>
    </row>
    <row r="1343" spans="1:7">
      <c r="A1343" s="3"/>
      <c r="B1343" s="3"/>
      <c r="C1343" s="3"/>
      <c r="D1343" s="3"/>
      <c r="E1343" s="3">
        <v>20</v>
      </c>
      <c r="F1343" s="4" t="str">
        <f>HYPERLINK("http://141.218.60.56/~jnz1568/getInfo.php?workbook=18_15.xlsx&amp;sheet=U0&amp;row=1343&amp;col=6&amp;number=4.9&amp;sourceID=14","4.9")</f>
        <v>4.9</v>
      </c>
      <c r="G1343" s="4" t="str">
        <f>HYPERLINK("http://141.218.60.56/~jnz1568/getInfo.php?workbook=18_15.xlsx&amp;sheet=U0&amp;row=1343&amp;col=7&amp;number=0.17&amp;sourceID=14","0.17")</f>
        <v>0.17</v>
      </c>
    </row>
    <row r="1344" spans="1:7">
      <c r="A1344" s="3">
        <v>18</v>
      </c>
      <c r="B1344" s="3">
        <v>15</v>
      </c>
      <c r="C1344" s="3">
        <v>3</v>
      </c>
      <c r="D1344" s="3">
        <v>15</v>
      </c>
      <c r="E1344" s="3">
        <v>1</v>
      </c>
      <c r="F1344" s="4" t="str">
        <f>HYPERLINK("http://141.218.60.56/~jnz1568/getInfo.php?workbook=18_15.xlsx&amp;sheet=U0&amp;row=1344&amp;col=6&amp;number=3&amp;sourceID=14","3")</f>
        <v>3</v>
      </c>
      <c r="G1344" s="4" t="str">
        <f>HYPERLINK("http://141.218.60.56/~jnz1568/getInfo.php?workbook=18_15.xlsx&amp;sheet=U0&amp;row=1344&amp;col=7&amp;number=0.679&amp;sourceID=14","0.679")</f>
        <v>0.679</v>
      </c>
    </row>
    <row r="1345" spans="1:7">
      <c r="A1345" s="3"/>
      <c r="B1345" s="3"/>
      <c r="C1345" s="3"/>
      <c r="D1345" s="3"/>
      <c r="E1345" s="3">
        <v>2</v>
      </c>
      <c r="F1345" s="4" t="str">
        <f>HYPERLINK("http://141.218.60.56/~jnz1568/getInfo.php?workbook=18_15.xlsx&amp;sheet=U0&amp;row=1345&amp;col=6&amp;number=3.1&amp;sourceID=14","3.1")</f>
        <v>3.1</v>
      </c>
      <c r="G1345" s="4" t="str">
        <f>HYPERLINK("http://141.218.60.56/~jnz1568/getInfo.php?workbook=18_15.xlsx&amp;sheet=U0&amp;row=1345&amp;col=7&amp;number=0.674&amp;sourceID=14","0.674")</f>
        <v>0.674</v>
      </c>
    </row>
    <row r="1346" spans="1:7">
      <c r="A1346" s="3"/>
      <c r="B1346" s="3"/>
      <c r="C1346" s="3"/>
      <c r="D1346" s="3"/>
      <c r="E1346" s="3">
        <v>3</v>
      </c>
      <c r="F1346" s="4" t="str">
        <f>HYPERLINK("http://141.218.60.56/~jnz1568/getInfo.php?workbook=18_15.xlsx&amp;sheet=U0&amp;row=1346&amp;col=6&amp;number=3.2&amp;sourceID=14","3.2")</f>
        <v>3.2</v>
      </c>
      <c r="G1346" s="4" t="str">
        <f>HYPERLINK("http://141.218.60.56/~jnz1568/getInfo.php?workbook=18_15.xlsx&amp;sheet=U0&amp;row=1346&amp;col=7&amp;number=0.668&amp;sourceID=14","0.668")</f>
        <v>0.668</v>
      </c>
    </row>
    <row r="1347" spans="1:7">
      <c r="A1347" s="3"/>
      <c r="B1347" s="3"/>
      <c r="C1347" s="3"/>
      <c r="D1347" s="3"/>
      <c r="E1347" s="3">
        <v>4</v>
      </c>
      <c r="F1347" s="4" t="str">
        <f>HYPERLINK("http://141.218.60.56/~jnz1568/getInfo.php?workbook=18_15.xlsx&amp;sheet=U0&amp;row=1347&amp;col=6&amp;number=3.3&amp;sourceID=14","3.3")</f>
        <v>3.3</v>
      </c>
      <c r="G1347" s="4" t="str">
        <f>HYPERLINK("http://141.218.60.56/~jnz1568/getInfo.php?workbook=18_15.xlsx&amp;sheet=U0&amp;row=1347&amp;col=7&amp;number=0.66&amp;sourceID=14","0.66")</f>
        <v>0.66</v>
      </c>
    </row>
    <row r="1348" spans="1:7">
      <c r="A1348" s="3"/>
      <c r="B1348" s="3"/>
      <c r="C1348" s="3"/>
      <c r="D1348" s="3"/>
      <c r="E1348" s="3">
        <v>5</v>
      </c>
      <c r="F1348" s="4" t="str">
        <f>HYPERLINK("http://141.218.60.56/~jnz1568/getInfo.php?workbook=18_15.xlsx&amp;sheet=U0&amp;row=1348&amp;col=6&amp;number=3.4&amp;sourceID=14","3.4")</f>
        <v>3.4</v>
      </c>
      <c r="G1348" s="4" t="str">
        <f>HYPERLINK("http://141.218.60.56/~jnz1568/getInfo.php?workbook=18_15.xlsx&amp;sheet=U0&amp;row=1348&amp;col=7&amp;number=0.65&amp;sourceID=14","0.65")</f>
        <v>0.65</v>
      </c>
    </row>
    <row r="1349" spans="1:7">
      <c r="A1349" s="3"/>
      <c r="B1349" s="3"/>
      <c r="C1349" s="3"/>
      <c r="D1349" s="3"/>
      <c r="E1349" s="3">
        <v>6</v>
      </c>
      <c r="F1349" s="4" t="str">
        <f>HYPERLINK("http://141.218.60.56/~jnz1568/getInfo.php?workbook=18_15.xlsx&amp;sheet=U0&amp;row=1349&amp;col=6&amp;number=3.5&amp;sourceID=14","3.5")</f>
        <v>3.5</v>
      </c>
      <c r="G1349" s="4" t="str">
        <f>HYPERLINK("http://141.218.60.56/~jnz1568/getInfo.php?workbook=18_15.xlsx&amp;sheet=U0&amp;row=1349&amp;col=7&amp;number=0.638&amp;sourceID=14","0.638")</f>
        <v>0.638</v>
      </c>
    </row>
    <row r="1350" spans="1:7">
      <c r="A1350" s="3"/>
      <c r="B1350" s="3"/>
      <c r="C1350" s="3"/>
      <c r="D1350" s="3"/>
      <c r="E1350" s="3">
        <v>7</v>
      </c>
      <c r="F1350" s="4" t="str">
        <f>HYPERLINK("http://141.218.60.56/~jnz1568/getInfo.php?workbook=18_15.xlsx&amp;sheet=U0&amp;row=1350&amp;col=6&amp;number=3.6&amp;sourceID=14","3.6")</f>
        <v>3.6</v>
      </c>
      <c r="G1350" s="4" t="str">
        <f>HYPERLINK("http://141.218.60.56/~jnz1568/getInfo.php?workbook=18_15.xlsx&amp;sheet=U0&amp;row=1350&amp;col=7&amp;number=0.623&amp;sourceID=14","0.623")</f>
        <v>0.623</v>
      </c>
    </row>
    <row r="1351" spans="1:7">
      <c r="A1351" s="3"/>
      <c r="B1351" s="3"/>
      <c r="C1351" s="3"/>
      <c r="D1351" s="3"/>
      <c r="E1351" s="3">
        <v>8</v>
      </c>
      <c r="F1351" s="4" t="str">
        <f>HYPERLINK("http://141.218.60.56/~jnz1568/getInfo.php?workbook=18_15.xlsx&amp;sheet=U0&amp;row=1351&amp;col=6&amp;number=3.7&amp;sourceID=14","3.7")</f>
        <v>3.7</v>
      </c>
      <c r="G1351" s="4" t="str">
        <f>HYPERLINK("http://141.218.60.56/~jnz1568/getInfo.php?workbook=18_15.xlsx&amp;sheet=U0&amp;row=1351&amp;col=7&amp;number=0.606&amp;sourceID=14","0.606")</f>
        <v>0.606</v>
      </c>
    </row>
    <row r="1352" spans="1:7">
      <c r="A1352" s="3"/>
      <c r="B1352" s="3"/>
      <c r="C1352" s="3"/>
      <c r="D1352" s="3"/>
      <c r="E1352" s="3">
        <v>9</v>
      </c>
      <c r="F1352" s="4" t="str">
        <f>HYPERLINK("http://141.218.60.56/~jnz1568/getInfo.php?workbook=18_15.xlsx&amp;sheet=U0&amp;row=1352&amp;col=6&amp;number=3.8&amp;sourceID=14","3.8")</f>
        <v>3.8</v>
      </c>
      <c r="G1352" s="4" t="str">
        <f>HYPERLINK("http://141.218.60.56/~jnz1568/getInfo.php?workbook=18_15.xlsx&amp;sheet=U0&amp;row=1352&amp;col=7&amp;number=0.585&amp;sourceID=14","0.585")</f>
        <v>0.585</v>
      </c>
    </row>
    <row r="1353" spans="1:7">
      <c r="A1353" s="3"/>
      <c r="B1353" s="3"/>
      <c r="C1353" s="3"/>
      <c r="D1353" s="3"/>
      <c r="E1353" s="3">
        <v>10</v>
      </c>
      <c r="F1353" s="4" t="str">
        <f>HYPERLINK("http://141.218.60.56/~jnz1568/getInfo.php?workbook=18_15.xlsx&amp;sheet=U0&amp;row=1353&amp;col=6&amp;number=3.9&amp;sourceID=14","3.9")</f>
        <v>3.9</v>
      </c>
      <c r="G1353" s="4" t="str">
        <f>HYPERLINK("http://141.218.60.56/~jnz1568/getInfo.php?workbook=18_15.xlsx&amp;sheet=U0&amp;row=1353&amp;col=7&amp;number=0.562&amp;sourceID=14","0.562")</f>
        <v>0.562</v>
      </c>
    </row>
    <row r="1354" spans="1:7">
      <c r="A1354" s="3"/>
      <c r="B1354" s="3"/>
      <c r="C1354" s="3"/>
      <c r="D1354" s="3"/>
      <c r="E1354" s="3">
        <v>11</v>
      </c>
      <c r="F1354" s="4" t="str">
        <f>HYPERLINK("http://141.218.60.56/~jnz1568/getInfo.php?workbook=18_15.xlsx&amp;sheet=U0&amp;row=1354&amp;col=6&amp;number=4&amp;sourceID=14","4")</f>
        <v>4</v>
      </c>
      <c r="G1354" s="4" t="str">
        <f>HYPERLINK("http://141.218.60.56/~jnz1568/getInfo.php?workbook=18_15.xlsx&amp;sheet=U0&amp;row=1354&amp;col=7&amp;number=0.536&amp;sourceID=14","0.536")</f>
        <v>0.536</v>
      </c>
    </row>
    <row r="1355" spans="1:7">
      <c r="A1355" s="3"/>
      <c r="B1355" s="3"/>
      <c r="C1355" s="3"/>
      <c r="D1355" s="3"/>
      <c r="E1355" s="3">
        <v>12</v>
      </c>
      <c r="F1355" s="4" t="str">
        <f>HYPERLINK("http://141.218.60.56/~jnz1568/getInfo.php?workbook=18_15.xlsx&amp;sheet=U0&amp;row=1355&amp;col=6&amp;number=4.1&amp;sourceID=14","4.1")</f>
        <v>4.1</v>
      </c>
      <c r="G1355" s="4" t="str">
        <f>HYPERLINK("http://141.218.60.56/~jnz1568/getInfo.php?workbook=18_15.xlsx&amp;sheet=U0&amp;row=1355&amp;col=7&amp;number=0.51&amp;sourceID=14","0.51")</f>
        <v>0.51</v>
      </c>
    </row>
    <row r="1356" spans="1:7">
      <c r="A1356" s="3"/>
      <c r="B1356" s="3"/>
      <c r="C1356" s="3"/>
      <c r="D1356" s="3"/>
      <c r="E1356" s="3">
        <v>13</v>
      </c>
      <c r="F1356" s="4" t="str">
        <f>HYPERLINK("http://141.218.60.56/~jnz1568/getInfo.php?workbook=18_15.xlsx&amp;sheet=U0&amp;row=1356&amp;col=6&amp;number=4.2&amp;sourceID=14","4.2")</f>
        <v>4.2</v>
      </c>
      <c r="G1356" s="4" t="str">
        <f>HYPERLINK("http://141.218.60.56/~jnz1568/getInfo.php?workbook=18_15.xlsx&amp;sheet=U0&amp;row=1356&amp;col=7&amp;number=0.485&amp;sourceID=14","0.485")</f>
        <v>0.485</v>
      </c>
    </row>
    <row r="1357" spans="1:7">
      <c r="A1357" s="3"/>
      <c r="B1357" s="3"/>
      <c r="C1357" s="3"/>
      <c r="D1357" s="3"/>
      <c r="E1357" s="3">
        <v>14</v>
      </c>
      <c r="F1357" s="4" t="str">
        <f>HYPERLINK("http://141.218.60.56/~jnz1568/getInfo.php?workbook=18_15.xlsx&amp;sheet=U0&amp;row=1357&amp;col=6&amp;number=4.3&amp;sourceID=14","4.3")</f>
        <v>4.3</v>
      </c>
      <c r="G1357" s="4" t="str">
        <f>HYPERLINK("http://141.218.60.56/~jnz1568/getInfo.php?workbook=18_15.xlsx&amp;sheet=U0&amp;row=1357&amp;col=7&amp;number=0.462&amp;sourceID=14","0.462")</f>
        <v>0.462</v>
      </c>
    </row>
    <row r="1358" spans="1:7">
      <c r="A1358" s="3"/>
      <c r="B1358" s="3"/>
      <c r="C1358" s="3"/>
      <c r="D1358" s="3"/>
      <c r="E1358" s="3">
        <v>15</v>
      </c>
      <c r="F1358" s="4" t="str">
        <f>HYPERLINK("http://141.218.60.56/~jnz1568/getInfo.php?workbook=18_15.xlsx&amp;sheet=U0&amp;row=1358&amp;col=6&amp;number=4.4&amp;sourceID=14","4.4")</f>
        <v>4.4</v>
      </c>
      <c r="G1358" s="4" t="str">
        <f>HYPERLINK("http://141.218.60.56/~jnz1568/getInfo.php?workbook=18_15.xlsx&amp;sheet=U0&amp;row=1358&amp;col=7&amp;number=0.442&amp;sourceID=14","0.442")</f>
        <v>0.442</v>
      </c>
    </row>
    <row r="1359" spans="1:7">
      <c r="A1359" s="3"/>
      <c r="B1359" s="3"/>
      <c r="C1359" s="3"/>
      <c r="D1359" s="3"/>
      <c r="E1359" s="3">
        <v>16</v>
      </c>
      <c r="F1359" s="4" t="str">
        <f>HYPERLINK("http://141.218.60.56/~jnz1568/getInfo.php?workbook=18_15.xlsx&amp;sheet=U0&amp;row=1359&amp;col=6&amp;number=4.5&amp;sourceID=14","4.5")</f>
        <v>4.5</v>
      </c>
      <c r="G1359" s="4" t="str">
        <f>HYPERLINK("http://141.218.60.56/~jnz1568/getInfo.php?workbook=18_15.xlsx&amp;sheet=U0&amp;row=1359&amp;col=7&amp;number=0.423&amp;sourceID=14","0.423")</f>
        <v>0.423</v>
      </c>
    </row>
    <row r="1360" spans="1:7">
      <c r="A1360" s="3"/>
      <c r="B1360" s="3"/>
      <c r="C1360" s="3"/>
      <c r="D1360" s="3"/>
      <c r="E1360" s="3">
        <v>17</v>
      </c>
      <c r="F1360" s="4" t="str">
        <f>HYPERLINK("http://141.218.60.56/~jnz1568/getInfo.php?workbook=18_15.xlsx&amp;sheet=U0&amp;row=1360&amp;col=6&amp;number=4.6&amp;sourceID=14","4.6")</f>
        <v>4.6</v>
      </c>
      <c r="G1360" s="4" t="str">
        <f>HYPERLINK("http://141.218.60.56/~jnz1568/getInfo.php?workbook=18_15.xlsx&amp;sheet=U0&amp;row=1360&amp;col=7&amp;number=0.406&amp;sourceID=14","0.406")</f>
        <v>0.406</v>
      </c>
    </row>
    <row r="1361" spans="1:7">
      <c r="A1361" s="3"/>
      <c r="B1361" s="3"/>
      <c r="C1361" s="3"/>
      <c r="D1361" s="3"/>
      <c r="E1361" s="3">
        <v>18</v>
      </c>
      <c r="F1361" s="4" t="str">
        <f>HYPERLINK("http://141.218.60.56/~jnz1568/getInfo.php?workbook=18_15.xlsx&amp;sheet=U0&amp;row=1361&amp;col=6&amp;number=4.7&amp;sourceID=14","4.7")</f>
        <v>4.7</v>
      </c>
      <c r="G1361" s="4" t="str">
        <f>HYPERLINK("http://141.218.60.56/~jnz1568/getInfo.php?workbook=18_15.xlsx&amp;sheet=U0&amp;row=1361&amp;col=7&amp;number=0.389&amp;sourceID=14","0.389")</f>
        <v>0.389</v>
      </c>
    </row>
    <row r="1362" spans="1:7">
      <c r="A1362" s="3"/>
      <c r="B1362" s="3"/>
      <c r="C1362" s="3"/>
      <c r="D1362" s="3"/>
      <c r="E1362" s="3">
        <v>19</v>
      </c>
      <c r="F1362" s="4" t="str">
        <f>HYPERLINK("http://141.218.60.56/~jnz1568/getInfo.php?workbook=18_15.xlsx&amp;sheet=U0&amp;row=1362&amp;col=6&amp;number=4.8&amp;sourceID=14","4.8")</f>
        <v>4.8</v>
      </c>
      <c r="G1362" s="4" t="str">
        <f>HYPERLINK("http://141.218.60.56/~jnz1568/getInfo.php?workbook=18_15.xlsx&amp;sheet=U0&amp;row=1362&amp;col=7&amp;number=0.373&amp;sourceID=14","0.373")</f>
        <v>0.373</v>
      </c>
    </row>
    <row r="1363" spans="1:7">
      <c r="A1363" s="3"/>
      <c r="B1363" s="3"/>
      <c r="C1363" s="3"/>
      <c r="D1363" s="3"/>
      <c r="E1363" s="3">
        <v>20</v>
      </c>
      <c r="F1363" s="4" t="str">
        <f>HYPERLINK("http://141.218.60.56/~jnz1568/getInfo.php?workbook=18_15.xlsx&amp;sheet=U0&amp;row=1363&amp;col=6&amp;number=4.9&amp;sourceID=14","4.9")</f>
        <v>4.9</v>
      </c>
      <c r="G1363" s="4" t="str">
        <f>HYPERLINK("http://141.218.60.56/~jnz1568/getInfo.php?workbook=18_15.xlsx&amp;sheet=U0&amp;row=1363&amp;col=7&amp;number=0.357&amp;sourceID=14","0.357")</f>
        <v>0.357</v>
      </c>
    </row>
    <row r="1364" spans="1:7">
      <c r="A1364" s="3">
        <v>18</v>
      </c>
      <c r="B1364" s="3">
        <v>15</v>
      </c>
      <c r="C1364" s="3">
        <v>3</v>
      </c>
      <c r="D1364" s="3">
        <v>16</v>
      </c>
      <c r="E1364" s="3">
        <v>1</v>
      </c>
      <c r="F1364" s="4" t="str">
        <f>HYPERLINK("http://141.218.60.56/~jnz1568/getInfo.php?workbook=18_15.xlsx&amp;sheet=U0&amp;row=1364&amp;col=6&amp;number=3&amp;sourceID=14","3")</f>
        <v>3</v>
      </c>
      <c r="G1364" s="4" t="str">
        <f>HYPERLINK("http://141.218.60.56/~jnz1568/getInfo.php?workbook=18_15.xlsx&amp;sheet=U0&amp;row=1364&amp;col=7&amp;number=1.18&amp;sourceID=14","1.18")</f>
        <v>1.18</v>
      </c>
    </row>
    <row r="1365" spans="1:7">
      <c r="A1365" s="3"/>
      <c r="B1365" s="3"/>
      <c r="C1365" s="3"/>
      <c r="D1365" s="3"/>
      <c r="E1365" s="3">
        <v>2</v>
      </c>
      <c r="F1365" s="4" t="str">
        <f>HYPERLINK("http://141.218.60.56/~jnz1568/getInfo.php?workbook=18_15.xlsx&amp;sheet=U0&amp;row=1365&amp;col=6&amp;number=3.1&amp;sourceID=14","3.1")</f>
        <v>3.1</v>
      </c>
      <c r="G1365" s="4" t="str">
        <f>HYPERLINK("http://141.218.60.56/~jnz1568/getInfo.php?workbook=18_15.xlsx&amp;sheet=U0&amp;row=1365&amp;col=7&amp;number=1.17&amp;sourceID=14","1.17")</f>
        <v>1.17</v>
      </c>
    </row>
    <row r="1366" spans="1:7">
      <c r="A1366" s="3"/>
      <c r="B1366" s="3"/>
      <c r="C1366" s="3"/>
      <c r="D1366" s="3"/>
      <c r="E1366" s="3">
        <v>3</v>
      </c>
      <c r="F1366" s="4" t="str">
        <f>HYPERLINK("http://141.218.60.56/~jnz1568/getInfo.php?workbook=18_15.xlsx&amp;sheet=U0&amp;row=1366&amp;col=6&amp;number=3.2&amp;sourceID=14","3.2")</f>
        <v>3.2</v>
      </c>
      <c r="G1366" s="4" t="str">
        <f>HYPERLINK("http://141.218.60.56/~jnz1568/getInfo.php?workbook=18_15.xlsx&amp;sheet=U0&amp;row=1366&amp;col=7&amp;number=1.16&amp;sourceID=14","1.16")</f>
        <v>1.16</v>
      </c>
    </row>
    <row r="1367" spans="1:7">
      <c r="A1367" s="3"/>
      <c r="B1367" s="3"/>
      <c r="C1367" s="3"/>
      <c r="D1367" s="3"/>
      <c r="E1367" s="3">
        <v>4</v>
      </c>
      <c r="F1367" s="4" t="str">
        <f>HYPERLINK("http://141.218.60.56/~jnz1568/getInfo.php?workbook=18_15.xlsx&amp;sheet=U0&amp;row=1367&amp;col=6&amp;number=3.3&amp;sourceID=14","3.3")</f>
        <v>3.3</v>
      </c>
      <c r="G1367" s="4" t="str">
        <f>HYPERLINK("http://141.218.60.56/~jnz1568/getInfo.php?workbook=18_15.xlsx&amp;sheet=U0&amp;row=1367&amp;col=7&amp;number=1.15&amp;sourceID=14","1.15")</f>
        <v>1.15</v>
      </c>
    </row>
    <row r="1368" spans="1:7">
      <c r="A1368" s="3"/>
      <c r="B1368" s="3"/>
      <c r="C1368" s="3"/>
      <c r="D1368" s="3"/>
      <c r="E1368" s="3">
        <v>5</v>
      </c>
      <c r="F1368" s="4" t="str">
        <f>HYPERLINK("http://141.218.60.56/~jnz1568/getInfo.php?workbook=18_15.xlsx&amp;sheet=U0&amp;row=1368&amp;col=6&amp;number=3.4&amp;sourceID=14","3.4")</f>
        <v>3.4</v>
      </c>
      <c r="G1368" s="4" t="str">
        <f>HYPERLINK("http://141.218.60.56/~jnz1568/getInfo.php?workbook=18_15.xlsx&amp;sheet=U0&amp;row=1368&amp;col=7&amp;number=1.14&amp;sourceID=14","1.14")</f>
        <v>1.14</v>
      </c>
    </row>
    <row r="1369" spans="1:7">
      <c r="A1369" s="3"/>
      <c r="B1369" s="3"/>
      <c r="C1369" s="3"/>
      <c r="D1369" s="3"/>
      <c r="E1369" s="3">
        <v>6</v>
      </c>
      <c r="F1369" s="4" t="str">
        <f>HYPERLINK("http://141.218.60.56/~jnz1568/getInfo.php?workbook=18_15.xlsx&amp;sheet=U0&amp;row=1369&amp;col=6&amp;number=3.5&amp;sourceID=14","3.5")</f>
        <v>3.5</v>
      </c>
      <c r="G1369" s="4" t="str">
        <f>HYPERLINK("http://141.218.60.56/~jnz1568/getInfo.php?workbook=18_15.xlsx&amp;sheet=U0&amp;row=1369&amp;col=7&amp;number=1.12&amp;sourceID=14","1.12")</f>
        <v>1.12</v>
      </c>
    </row>
    <row r="1370" spans="1:7">
      <c r="A1370" s="3"/>
      <c r="B1370" s="3"/>
      <c r="C1370" s="3"/>
      <c r="D1370" s="3"/>
      <c r="E1370" s="3">
        <v>7</v>
      </c>
      <c r="F1370" s="4" t="str">
        <f>HYPERLINK("http://141.218.60.56/~jnz1568/getInfo.php?workbook=18_15.xlsx&amp;sheet=U0&amp;row=1370&amp;col=6&amp;number=3.6&amp;sourceID=14","3.6")</f>
        <v>3.6</v>
      </c>
      <c r="G1370" s="4" t="str">
        <f>HYPERLINK("http://141.218.60.56/~jnz1568/getInfo.php?workbook=18_15.xlsx&amp;sheet=U0&amp;row=1370&amp;col=7&amp;number=1.1&amp;sourceID=14","1.1")</f>
        <v>1.1</v>
      </c>
    </row>
    <row r="1371" spans="1:7">
      <c r="A1371" s="3"/>
      <c r="B1371" s="3"/>
      <c r="C1371" s="3"/>
      <c r="D1371" s="3"/>
      <c r="E1371" s="3">
        <v>8</v>
      </c>
      <c r="F1371" s="4" t="str">
        <f>HYPERLINK("http://141.218.60.56/~jnz1568/getInfo.php?workbook=18_15.xlsx&amp;sheet=U0&amp;row=1371&amp;col=6&amp;number=3.7&amp;sourceID=14","3.7")</f>
        <v>3.7</v>
      </c>
      <c r="G1371" s="4" t="str">
        <f>HYPERLINK("http://141.218.60.56/~jnz1568/getInfo.php?workbook=18_15.xlsx&amp;sheet=U0&amp;row=1371&amp;col=7&amp;number=1.07&amp;sourceID=14","1.07")</f>
        <v>1.07</v>
      </c>
    </row>
    <row r="1372" spans="1:7">
      <c r="A1372" s="3"/>
      <c r="B1372" s="3"/>
      <c r="C1372" s="3"/>
      <c r="D1372" s="3"/>
      <c r="E1372" s="3">
        <v>9</v>
      </c>
      <c r="F1372" s="4" t="str">
        <f>HYPERLINK("http://141.218.60.56/~jnz1568/getInfo.php?workbook=18_15.xlsx&amp;sheet=U0&amp;row=1372&amp;col=6&amp;number=3.8&amp;sourceID=14","3.8")</f>
        <v>3.8</v>
      </c>
      <c r="G1372" s="4" t="str">
        <f>HYPERLINK("http://141.218.60.56/~jnz1568/getInfo.php?workbook=18_15.xlsx&amp;sheet=U0&amp;row=1372&amp;col=7&amp;number=1.04&amp;sourceID=14","1.04")</f>
        <v>1.04</v>
      </c>
    </row>
    <row r="1373" spans="1:7">
      <c r="A1373" s="3"/>
      <c r="B1373" s="3"/>
      <c r="C1373" s="3"/>
      <c r="D1373" s="3"/>
      <c r="E1373" s="3">
        <v>10</v>
      </c>
      <c r="F1373" s="4" t="str">
        <f>HYPERLINK("http://141.218.60.56/~jnz1568/getInfo.php?workbook=18_15.xlsx&amp;sheet=U0&amp;row=1373&amp;col=6&amp;number=3.9&amp;sourceID=14","3.9")</f>
        <v>3.9</v>
      </c>
      <c r="G1373" s="4" t="str">
        <f>HYPERLINK("http://141.218.60.56/~jnz1568/getInfo.php?workbook=18_15.xlsx&amp;sheet=U0&amp;row=1373&amp;col=7&amp;number=1.01&amp;sourceID=14","1.01")</f>
        <v>1.01</v>
      </c>
    </row>
    <row r="1374" spans="1:7">
      <c r="A1374" s="3"/>
      <c r="B1374" s="3"/>
      <c r="C1374" s="3"/>
      <c r="D1374" s="3"/>
      <c r="E1374" s="3">
        <v>11</v>
      </c>
      <c r="F1374" s="4" t="str">
        <f>HYPERLINK("http://141.218.60.56/~jnz1568/getInfo.php?workbook=18_15.xlsx&amp;sheet=U0&amp;row=1374&amp;col=6&amp;number=4&amp;sourceID=14","4")</f>
        <v>4</v>
      </c>
      <c r="G1374" s="4" t="str">
        <f>HYPERLINK("http://141.218.60.56/~jnz1568/getInfo.php?workbook=18_15.xlsx&amp;sheet=U0&amp;row=1374&amp;col=7&amp;number=0.967&amp;sourceID=14","0.967")</f>
        <v>0.967</v>
      </c>
    </row>
    <row r="1375" spans="1:7">
      <c r="A1375" s="3"/>
      <c r="B1375" s="3"/>
      <c r="C1375" s="3"/>
      <c r="D1375" s="3"/>
      <c r="E1375" s="3">
        <v>12</v>
      </c>
      <c r="F1375" s="4" t="str">
        <f>HYPERLINK("http://141.218.60.56/~jnz1568/getInfo.php?workbook=18_15.xlsx&amp;sheet=U0&amp;row=1375&amp;col=6&amp;number=4.1&amp;sourceID=14","4.1")</f>
        <v>4.1</v>
      </c>
      <c r="G1375" s="4" t="str">
        <f>HYPERLINK("http://141.218.60.56/~jnz1568/getInfo.php?workbook=18_15.xlsx&amp;sheet=U0&amp;row=1375&amp;col=7&amp;number=0.926&amp;sourceID=14","0.926")</f>
        <v>0.926</v>
      </c>
    </row>
    <row r="1376" spans="1:7">
      <c r="A1376" s="3"/>
      <c r="B1376" s="3"/>
      <c r="C1376" s="3"/>
      <c r="D1376" s="3"/>
      <c r="E1376" s="3">
        <v>13</v>
      </c>
      <c r="F1376" s="4" t="str">
        <f>HYPERLINK("http://141.218.60.56/~jnz1568/getInfo.php?workbook=18_15.xlsx&amp;sheet=U0&amp;row=1376&amp;col=6&amp;number=4.2&amp;sourceID=14","4.2")</f>
        <v>4.2</v>
      </c>
      <c r="G1376" s="4" t="str">
        <f>HYPERLINK("http://141.218.60.56/~jnz1568/getInfo.php?workbook=18_15.xlsx&amp;sheet=U0&amp;row=1376&amp;col=7&amp;number=0.885&amp;sourceID=14","0.885")</f>
        <v>0.885</v>
      </c>
    </row>
    <row r="1377" spans="1:7">
      <c r="A1377" s="3"/>
      <c r="B1377" s="3"/>
      <c r="C1377" s="3"/>
      <c r="D1377" s="3"/>
      <c r="E1377" s="3">
        <v>14</v>
      </c>
      <c r="F1377" s="4" t="str">
        <f>HYPERLINK("http://141.218.60.56/~jnz1568/getInfo.php?workbook=18_15.xlsx&amp;sheet=U0&amp;row=1377&amp;col=6&amp;number=4.3&amp;sourceID=14","4.3")</f>
        <v>4.3</v>
      </c>
      <c r="G1377" s="4" t="str">
        <f>HYPERLINK("http://141.218.60.56/~jnz1568/getInfo.php?workbook=18_15.xlsx&amp;sheet=U0&amp;row=1377&amp;col=7&amp;number=0.846&amp;sourceID=14","0.846")</f>
        <v>0.846</v>
      </c>
    </row>
    <row r="1378" spans="1:7">
      <c r="A1378" s="3"/>
      <c r="B1378" s="3"/>
      <c r="C1378" s="3"/>
      <c r="D1378" s="3"/>
      <c r="E1378" s="3">
        <v>15</v>
      </c>
      <c r="F1378" s="4" t="str">
        <f>HYPERLINK("http://141.218.60.56/~jnz1568/getInfo.php?workbook=18_15.xlsx&amp;sheet=U0&amp;row=1378&amp;col=6&amp;number=4.4&amp;sourceID=14","4.4")</f>
        <v>4.4</v>
      </c>
      <c r="G1378" s="4" t="str">
        <f>HYPERLINK("http://141.218.60.56/~jnz1568/getInfo.php?workbook=18_15.xlsx&amp;sheet=U0&amp;row=1378&amp;col=7&amp;number=0.809&amp;sourceID=14","0.809")</f>
        <v>0.809</v>
      </c>
    </row>
    <row r="1379" spans="1:7">
      <c r="A1379" s="3"/>
      <c r="B1379" s="3"/>
      <c r="C1379" s="3"/>
      <c r="D1379" s="3"/>
      <c r="E1379" s="3">
        <v>16</v>
      </c>
      <c r="F1379" s="4" t="str">
        <f>HYPERLINK("http://141.218.60.56/~jnz1568/getInfo.php?workbook=18_15.xlsx&amp;sheet=U0&amp;row=1379&amp;col=6&amp;number=4.5&amp;sourceID=14","4.5")</f>
        <v>4.5</v>
      </c>
      <c r="G1379" s="4" t="str">
        <f>HYPERLINK("http://141.218.60.56/~jnz1568/getInfo.php?workbook=18_15.xlsx&amp;sheet=U0&amp;row=1379&amp;col=7&amp;number=0.776&amp;sourceID=14","0.776")</f>
        <v>0.776</v>
      </c>
    </row>
    <row r="1380" spans="1:7">
      <c r="A1380" s="3"/>
      <c r="B1380" s="3"/>
      <c r="C1380" s="3"/>
      <c r="D1380" s="3"/>
      <c r="E1380" s="3">
        <v>17</v>
      </c>
      <c r="F1380" s="4" t="str">
        <f>HYPERLINK("http://141.218.60.56/~jnz1568/getInfo.php?workbook=18_15.xlsx&amp;sheet=U0&amp;row=1380&amp;col=6&amp;number=4.6&amp;sourceID=14","4.6")</f>
        <v>4.6</v>
      </c>
      <c r="G1380" s="4" t="str">
        <f>HYPERLINK("http://141.218.60.56/~jnz1568/getInfo.php?workbook=18_15.xlsx&amp;sheet=U0&amp;row=1380&amp;col=7&amp;number=0.745&amp;sourceID=14","0.745")</f>
        <v>0.745</v>
      </c>
    </row>
    <row r="1381" spans="1:7">
      <c r="A1381" s="3"/>
      <c r="B1381" s="3"/>
      <c r="C1381" s="3"/>
      <c r="D1381" s="3"/>
      <c r="E1381" s="3">
        <v>18</v>
      </c>
      <c r="F1381" s="4" t="str">
        <f>HYPERLINK("http://141.218.60.56/~jnz1568/getInfo.php?workbook=18_15.xlsx&amp;sheet=U0&amp;row=1381&amp;col=6&amp;number=4.7&amp;sourceID=14","4.7")</f>
        <v>4.7</v>
      </c>
      <c r="G1381" s="4" t="str">
        <f>HYPERLINK("http://141.218.60.56/~jnz1568/getInfo.php?workbook=18_15.xlsx&amp;sheet=U0&amp;row=1381&amp;col=7&amp;number=0.714&amp;sourceID=14","0.714")</f>
        <v>0.714</v>
      </c>
    </row>
    <row r="1382" spans="1:7">
      <c r="A1382" s="3"/>
      <c r="B1382" s="3"/>
      <c r="C1382" s="3"/>
      <c r="D1382" s="3"/>
      <c r="E1382" s="3">
        <v>19</v>
      </c>
      <c r="F1382" s="4" t="str">
        <f>HYPERLINK("http://141.218.60.56/~jnz1568/getInfo.php?workbook=18_15.xlsx&amp;sheet=U0&amp;row=1382&amp;col=6&amp;number=4.8&amp;sourceID=14","4.8")</f>
        <v>4.8</v>
      </c>
      <c r="G1382" s="4" t="str">
        <f>HYPERLINK("http://141.218.60.56/~jnz1568/getInfo.php?workbook=18_15.xlsx&amp;sheet=U0&amp;row=1382&amp;col=7&amp;number=0.682&amp;sourceID=14","0.682")</f>
        <v>0.682</v>
      </c>
    </row>
    <row r="1383" spans="1:7">
      <c r="A1383" s="3"/>
      <c r="B1383" s="3"/>
      <c r="C1383" s="3"/>
      <c r="D1383" s="3"/>
      <c r="E1383" s="3">
        <v>20</v>
      </c>
      <c r="F1383" s="4" t="str">
        <f>HYPERLINK("http://141.218.60.56/~jnz1568/getInfo.php?workbook=18_15.xlsx&amp;sheet=U0&amp;row=1383&amp;col=6&amp;number=4.9&amp;sourceID=14","4.9")</f>
        <v>4.9</v>
      </c>
      <c r="G1383" s="4" t="str">
        <f>HYPERLINK("http://141.218.60.56/~jnz1568/getInfo.php?workbook=18_15.xlsx&amp;sheet=U0&amp;row=1383&amp;col=7&amp;number=0.652&amp;sourceID=14","0.652")</f>
        <v>0.652</v>
      </c>
    </row>
    <row r="1384" spans="1:7">
      <c r="A1384" s="3">
        <v>18</v>
      </c>
      <c r="B1384" s="3">
        <v>15</v>
      </c>
      <c r="C1384" s="3">
        <v>3</v>
      </c>
      <c r="D1384" s="3">
        <v>17</v>
      </c>
      <c r="E1384" s="3">
        <v>1</v>
      </c>
      <c r="F1384" s="4" t="str">
        <f>HYPERLINK("http://141.218.60.56/~jnz1568/getInfo.php?workbook=18_15.xlsx&amp;sheet=U0&amp;row=1384&amp;col=6&amp;number=3&amp;sourceID=14","3")</f>
        <v>3</v>
      </c>
      <c r="G1384" s="4" t="str">
        <f>HYPERLINK("http://141.218.60.56/~jnz1568/getInfo.php?workbook=18_15.xlsx&amp;sheet=U0&amp;row=1384&amp;col=7&amp;number=1.92&amp;sourceID=14","1.92")</f>
        <v>1.92</v>
      </c>
    </row>
    <row r="1385" spans="1:7">
      <c r="A1385" s="3"/>
      <c r="B1385" s="3"/>
      <c r="C1385" s="3"/>
      <c r="D1385" s="3"/>
      <c r="E1385" s="3">
        <v>2</v>
      </c>
      <c r="F1385" s="4" t="str">
        <f>HYPERLINK("http://141.218.60.56/~jnz1568/getInfo.php?workbook=18_15.xlsx&amp;sheet=U0&amp;row=1385&amp;col=6&amp;number=3.1&amp;sourceID=14","3.1")</f>
        <v>3.1</v>
      </c>
      <c r="G1385" s="4" t="str">
        <f>HYPERLINK("http://141.218.60.56/~jnz1568/getInfo.php?workbook=18_15.xlsx&amp;sheet=U0&amp;row=1385&amp;col=7&amp;number=1.91&amp;sourceID=14","1.91")</f>
        <v>1.91</v>
      </c>
    </row>
    <row r="1386" spans="1:7">
      <c r="A1386" s="3"/>
      <c r="B1386" s="3"/>
      <c r="C1386" s="3"/>
      <c r="D1386" s="3"/>
      <c r="E1386" s="3">
        <v>3</v>
      </c>
      <c r="F1386" s="4" t="str">
        <f>HYPERLINK("http://141.218.60.56/~jnz1568/getInfo.php?workbook=18_15.xlsx&amp;sheet=U0&amp;row=1386&amp;col=6&amp;number=3.2&amp;sourceID=14","3.2")</f>
        <v>3.2</v>
      </c>
      <c r="G1386" s="4" t="str">
        <f>HYPERLINK("http://141.218.60.56/~jnz1568/getInfo.php?workbook=18_15.xlsx&amp;sheet=U0&amp;row=1386&amp;col=7&amp;number=1.89&amp;sourceID=14","1.89")</f>
        <v>1.89</v>
      </c>
    </row>
    <row r="1387" spans="1:7">
      <c r="A1387" s="3"/>
      <c r="B1387" s="3"/>
      <c r="C1387" s="3"/>
      <c r="D1387" s="3"/>
      <c r="E1387" s="3">
        <v>4</v>
      </c>
      <c r="F1387" s="4" t="str">
        <f>HYPERLINK("http://141.218.60.56/~jnz1568/getInfo.php?workbook=18_15.xlsx&amp;sheet=U0&amp;row=1387&amp;col=6&amp;number=3.3&amp;sourceID=14","3.3")</f>
        <v>3.3</v>
      </c>
      <c r="G1387" s="4" t="str">
        <f>HYPERLINK("http://141.218.60.56/~jnz1568/getInfo.php?workbook=18_15.xlsx&amp;sheet=U0&amp;row=1387&amp;col=7&amp;number=1.88&amp;sourceID=14","1.88")</f>
        <v>1.88</v>
      </c>
    </row>
    <row r="1388" spans="1:7">
      <c r="A1388" s="3"/>
      <c r="B1388" s="3"/>
      <c r="C1388" s="3"/>
      <c r="D1388" s="3"/>
      <c r="E1388" s="3">
        <v>5</v>
      </c>
      <c r="F1388" s="4" t="str">
        <f>HYPERLINK("http://141.218.60.56/~jnz1568/getInfo.php?workbook=18_15.xlsx&amp;sheet=U0&amp;row=1388&amp;col=6&amp;number=3.4&amp;sourceID=14","3.4")</f>
        <v>3.4</v>
      </c>
      <c r="G1388" s="4" t="str">
        <f>HYPERLINK("http://141.218.60.56/~jnz1568/getInfo.php?workbook=18_15.xlsx&amp;sheet=U0&amp;row=1388&amp;col=7&amp;number=1.86&amp;sourceID=14","1.86")</f>
        <v>1.86</v>
      </c>
    </row>
    <row r="1389" spans="1:7">
      <c r="A1389" s="3"/>
      <c r="B1389" s="3"/>
      <c r="C1389" s="3"/>
      <c r="D1389" s="3"/>
      <c r="E1389" s="3">
        <v>6</v>
      </c>
      <c r="F1389" s="4" t="str">
        <f>HYPERLINK("http://141.218.60.56/~jnz1568/getInfo.php?workbook=18_15.xlsx&amp;sheet=U0&amp;row=1389&amp;col=6&amp;number=3.5&amp;sourceID=14","3.5")</f>
        <v>3.5</v>
      </c>
      <c r="G1389" s="4" t="str">
        <f>HYPERLINK("http://141.218.60.56/~jnz1568/getInfo.php?workbook=18_15.xlsx&amp;sheet=U0&amp;row=1389&amp;col=7&amp;number=1.83&amp;sourceID=14","1.83")</f>
        <v>1.83</v>
      </c>
    </row>
    <row r="1390" spans="1:7">
      <c r="A1390" s="3"/>
      <c r="B1390" s="3"/>
      <c r="C1390" s="3"/>
      <c r="D1390" s="3"/>
      <c r="E1390" s="3">
        <v>7</v>
      </c>
      <c r="F1390" s="4" t="str">
        <f>HYPERLINK("http://141.218.60.56/~jnz1568/getInfo.php?workbook=18_15.xlsx&amp;sheet=U0&amp;row=1390&amp;col=6&amp;number=3.6&amp;sourceID=14","3.6")</f>
        <v>3.6</v>
      </c>
      <c r="G1390" s="4" t="str">
        <f>HYPERLINK("http://141.218.60.56/~jnz1568/getInfo.php?workbook=18_15.xlsx&amp;sheet=U0&amp;row=1390&amp;col=7&amp;number=1.8&amp;sourceID=14","1.8")</f>
        <v>1.8</v>
      </c>
    </row>
    <row r="1391" spans="1:7">
      <c r="A1391" s="3"/>
      <c r="B1391" s="3"/>
      <c r="C1391" s="3"/>
      <c r="D1391" s="3"/>
      <c r="E1391" s="3">
        <v>8</v>
      </c>
      <c r="F1391" s="4" t="str">
        <f>HYPERLINK("http://141.218.60.56/~jnz1568/getInfo.php?workbook=18_15.xlsx&amp;sheet=U0&amp;row=1391&amp;col=6&amp;number=3.7&amp;sourceID=14","3.7")</f>
        <v>3.7</v>
      </c>
      <c r="G1391" s="4" t="str">
        <f>HYPERLINK("http://141.218.60.56/~jnz1568/getInfo.php?workbook=18_15.xlsx&amp;sheet=U0&amp;row=1391&amp;col=7&amp;number=1.76&amp;sourceID=14","1.76")</f>
        <v>1.76</v>
      </c>
    </row>
    <row r="1392" spans="1:7">
      <c r="A1392" s="3"/>
      <c r="B1392" s="3"/>
      <c r="C1392" s="3"/>
      <c r="D1392" s="3"/>
      <c r="E1392" s="3">
        <v>9</v>
      </c>
      <c r="F1392" s="4" t="str">
        <f>HYPERLINK("http://141.218.60.56/~jnz1568/getInfo.php?workbook=18_15.xlsx&amp;sheet=U0&amp;row=1392&amp;col=6&amp;number=3.8&amp;sourceID=14","3.8")</f>
        <v>3.8</v>
      </c>
      <c r="G1392" s="4" t="str">
        <f>HYPERLINK("http://141.218.60.56/~jnz1568/getInfo.php?workbook=18_15.xlsx&amp;sheet=U0&amp;row=1392&amp;col=7&amp;number=1.72&amp;sourceID=14","1.72")</f>
        <v>1.72</v>
      </c>
    </row>
    <row r="1393" spans="1:7">
      <c r="A1393" s="3"/>
      <c r="B1393" s="3"/>
      <c r="C1393" s="3"/>
      <c r="D1393" s="3"/>
      <c r="E1393" s="3">
        <v>10</v>
      </c>
      <c r="F1393" s="4" t="str">
        <f>HYPERLINK("http://141.218.60.56/~jnz1568/getInfo.php?workbook=18_15.xlsx&amp;sheet=U0&amp;row=1393&amp;col=6&amp;number=3.9&amp;sourceID=14","3.9")</f>
        <v>3.9</v>
      </c>
      <c r="G1393" s="4" t="str">
        <f>HYPERLINK("http://141.218.60.56/~jnz1568/getInfo.php?workbook=18_15.xlsx&amp;sheet=U0&amp;row=1393&amp;col=7&amp;number=1.67&amp;sourceID=14","1.67")</f>
        <v>1.67</v>
      </c>
    </row>
    <row r="1394" spans="1:7">
      <c r="A1394" s="3"/>
      <c r="B1394" s="3"/>
      <c r="C1394" s="3"/>
      <c r="D1394" s="3"/>
      <c r="E1394" s="3">
        <v>11</v>
      </c>
      <c r="F1394" s="4" t="str">
        <f>HYPERLINK("http://141.218.60.56/~jnz1568/getInfo.php?workbook=18_15.xlsx&amp;sheet=U0&amp;row=1394&amp;col=6&amp;number=4&amp;sourceID=14","4")</f>
        <v>4</v>
      </c>
      <c r="G1394" s="4" t="str">
        <f>HYPERLINK("http://141.218.60.56/~jnz1568/getInfo.php?workbook=18_15.xlsx&amp;sheet=U0&amp;row=1394&amp;col=7&amp;number=1.61&amp;sourceID=14","1.61")</f>
        <v>1.61</v>
      </c>
    </row>
    <row r="1395" spans="1:7">
      <c r="A1395" s="3"/>
      <c r="B1395" s="3"/>
      <c r="C1395" s="3"/>
      <c r="D1395" s="3"/>
      <c r="E1395" s="3">
        <v>12</v>
      </c>
      <c r="F1395" s="4" t="str">
        <f>HYPERLINK("http://141.218.60.56/~jnz1568/getInfo.php?workbook=18_15.xlsx&amp;sheet=U0&amp;row=1395&amp;col=6&amp;number=4.1&amp;sourceID=14","4.1")</f>
        <v>4.1</v>
      </c>
      <c r="G1395" s="4" t="str">
        <f>HYPERLINK("http://141.218.60.56/~jnz1568/getInfo.php?workbook=18_15.xlsx&amp;sheet=U0&amp;row=1395&amp;col=7&amp;number=1.55&amp;sourceID=14","1.55")</f>
        <v>1.55</v>
      </c>
    </row>
    <row r="1396" spans="1:7">
      <c r="A1396" s="3"/>
      <c r="B1396" s="3"/>
      <c r="C1396" s="3"/>
      <c r="D1396" s="3"/>
      <c r="E1396" s="3">
        <v>13</v>
      </c>
      <c r="F1396" s="4" t="str">
        <f>HYPERLINK("http://141.218.60.56/~jnz1568/getInfo.php?workbook=18_15.xlsx&amp;sheet=U0&amp;row=1396&amp;col=6&amp;number=4.2&amp;sourceID=14","4.2")</f>
        <v>4.2</v>
      </c>
      <c r="G1396" s="4" t="str">
        <f>HYPERLINK("http://141.218.60.56/~jnz1568/getInfo.php?workbook=18_15.xlsx&amp;sheet=U0&amp;row=1396&amp;col=7&amp;number=1.49&amp;sourceID=14","1.49")</f>
        <v>1.49</v>
      </c>
    </row>
    <row r="1397" spans="1:7">
      <c r="A1397" s="3"/>
      <c r="B1397" s="3"/>
      <c r="C1397" s="3"/>
      <c r="D1397" s="3"/>
      <c r="E1397" s="3">
        <v>14</v>
      </c>
      <c r="F1397" s="4" t="str">
        <f>HYPERLINK("http://141.218.60.56/~jnz1568/getInfo.php?workbook=18_15.xlsx&amp;sheet=U0&amp;row=1397&amp;col=6&amp;number=4.3&amp;sourceID=14","4.3")</f>
        <v>4.3</v>
      </c>
      <c r="G1397" s="4" t="str">
        <f>HYPERLINK("http://141.218.60.56/~jnz1568/getInfo.php?workbook=18_15.xlsx&amp;sheet=U0&amp;row=1397&amp;col=7&amp;number=1.43&amp;sourceID=14","1.43")</f>
        <v>1.43</v>
      </c>
    </row>
    <row r="1398" spans="1:7">
      <c r="A1398" s="3"/>
      <c r="B1398" s="3"/>
      <c r="C1398" s="3"/>
      <c r="D1398" s="3"/>
      <c r="E1398" s="3">
        <v>15</v>
      </c>
      <c r="F1398" s="4" t="str">
        <f>HYPERLINK("http://141.218.60.56/~jnz1568/getInfo.php?workbook=18_15.xlsx&amp;sheet=U0&amp;row=1398&amp;col=6&amp;number=4.4&amp;sourceID=14","4.4")</f>
        <v>4.4</v>
      </c>
      <c r="G1398" s="4" t="str">
        <f>HYPERLINK("http://141.218.60.56/~jnz1568/getInfo.php?workbook=18_15.xlsx&amp;sheet=U0&amp;row=1398&amp;col=7&amp;number=1.38&amp;sourceID=14","1.38")</f>
        <v>1.38</v>
      </c>
    </row>
    <row r="1399" spans="1:7">
      <c r="A1399" s="3"/>
      <c r="B1399" s="3"/>
      <c r="C1399" s="3"/>
      <c r="D1399" s="3"/>
      <c r="E1399" s="3">
        <v>16</v>
      </c>
      <c r="F1399" s="4" t="str">
        <f>HYPERLINK("http://141.218.60.56/~jnz1568/getInfo.php?workbook=18_15.xlsx&amp;sheet=U0&amp;row=1399&amp;col=6&amp;number=4.5&amp;sourceID=14","4.5")</f>
        <v>4.5</v>
      </c>
      <c r="G1399" s="4" t="str">
        <f>HYPERLINK("http://141.218.60.56/~jnz1568/getInfo.php?workbook=18_15.xlsx&amp;sheet=U0&amp;row=1399&amp;col=7&amp;number=1.34&amp;sourceID=14","1.34")</f>
        <v>1.34</v>
      </c>
    </row>
    <row r="1400" spans="1:7">
      <c r="A1400" s="3"/>
      <c r="B1400" s="3"/>
      <c r="C1400" s="3"/>
      <c r="D1400" s="3"/>
      <c r="E1400" s="3">
        <v>17</v>
      </c>
      <c r="F1400" s="4" t="str">
        <f>HYPERLINK("http://141.218.60.56/~jnz1568/getInfo.php?workbook=18_15.xlsx&amp;sheet=U0&amp;row=1400&amp;col=6&amp;number=4.6&amp;sourceID=14","4.6")</f>
        <v>4.6</v>
      </c>
      <c r="G1400" s="4" t="str">
        <f>HYPERLINK("http://141.218.60.56/~jnz1568/getInfo.php?workbook=18_15.xlsx&amp;sheet=U0&amp;row=1400&amp;col=7&amp;number=1.31&amp;sourceID=14","1.31")</f>
        <v>1.31</v>
      </c>
    </row>
    <row r="1401" spans="1:7">
      <c r="A1401" s="3"/>
      <c r="B1401" s="3"/>
      <c r="C1401" s="3"/>
      <c r="D1401" s="3"/>
      <c r="E1401" s="3">
        <v>18</v>
      </c>
      <c r="F1401" s="4" t="str">
        <f>HYPERLINK("http://141.218.60.56/~jnz1568/getInfo.php?workbook=18_15.xlsx&amp;sheet=U0&amp;row=1401&amp;col=6&amp;number=4.7&amp;sourceID=14","4.7")</f>
        <v>4.7</v>
      </c>
      <c r="G1401" s="4" t="str">
        <f>HYPERLINK("http://141.218.60.56/~jnz1568/getInfo.php?workbook=18_15.xlsx&amp;sheet=U0&amp;row=1401&amp;col=7&amp;number=1.28&amp;sourceID=14","1.28")</f>
        <v>1.28</v>
      </c>
    </row>
    <row r="1402" spans="1:7">
      <c r="A1402" s="3"/>
      <c r="B1402" s="3"/>
      <c r="C1402" s="3"/>
      <c r="D1402" s="3"/>
      <c r="E1402" s="3">
        <v>19</v>
      </c>
      <c r="F1402" s="4" t="str">
        <f>HYPERLINK("http://141.218.60.56/~jnz1568/getInfo.php?workbook=18_15.xlsx&amp;sheet=U0&amp;row=1402&amp;col=6&amp;number=4.8&amp;sourceID=14","4.8")</f>
        <v>4.8</v>
      </c>
      <c r="G1402" s="4" t="str">
        <f>HYPERLINK("http://141.218.60.56/~jnz1568/getInfo.php?workbook=18_15.xlsx&amp;sheet=U0&amp;row=1402&amp;col=7&amp;number=1.25&amp;sourceID=14","1.25")</f>
        <v>1.25</v>
      </c>
    </row>
    <row r="1403" spans="1:7">
      <c r="A1403" s="3"/>
      <c r="B1403" s="3"/>
      <c r="C1403" s="3"/>
      <c r="D1403" s="3"/>
      <c r="E1403" s="3">
        <v>20</v>
      </c>
      <c r="F1403" s="4" t="str">
        <f>HYPERLINK("http://141.218.60.56/~jnz1568/getInfo.php?workbook=18_15.xlsx&amp;sheet=U0&amp;row=1403&amp;col=6&amp;number=4.9&amp;sourceID=14","4.9")</f>
        <v>4.9</v>
      </c>
      <c r="G1403" s="4" t="str">
        <f>HYPERLINK("http://141.218.60.56/~jnz1568/getInfo.php?workbook=18_15.xlsx&amp;sheet=U0&amp;row=1403&amp;col=7&amp;number=1.22&amp;sourceID=14","1.22")</f>
        <v>1.22</v>
      </c>
    </row>
    <row r="1404" spans="1:7">
      <c r="A1404" s="3">
        <v>18</v>
      </c>
      <c r="B1404" s="3">
        <v>15</v>
      </c>
      <c r="C1404" s="3">
        <v>3</v>
      </c>
      <c r="D1404" s="3">
        <v>18</v>
      </c>
      <c r="E1404" s="3">
        <v>1</v>
      </c>
      <c r="F1404" s="4" t="str">
        <f>HYPERLINK("http://141.218.60.56/~jnz1568/getInfo.php?workbook=18_15.xlsx&amp;sheet=U0&amp;row=1404&amp;col=6&amp;number=3&amp;sourceID=14","3")</f>
        <v>3</v>
      </c>
      <c r="G1404" s="4" t="str">
        <f>HYPERLINK("http://141.218.60.56/~jnz1568/getInfo.php?workbook=18_15.xlsx&amp;sheet=U0&amp;row=1404&amp;col=7&amp;number=0.0834&amp;sourceID=14","0.0834")</f>
        <v>0.0834</v>
      </c>
    </row>
    <row r="1405" spans="1:7">
      <c r="A1405" s="3"/>
      <c r="B1405" s="3"/>
      <c r="C1405" s="3"/>
      <c r="D1405" s="3"/>
      <c r="E1405" s="3">
        <v>2</v>
      </c>
      <c r="F1405" s="4" t="str">
        <f>HYPERLINK("http://141.218.60.56/~jnz1568/getInfo.php?workbook=18_15.xlsx&amp;sheet=U0&amp;row=1405&amp;col=6&amp;number=3.1&amp;sourceID=14","3.1")</f>
        <v>3.1</v>
      </c>
      <c r="G1405" s="4" t="str">
        <f>HYPERLINK("http://141.218.60.56/~jnz1568/getInfo.php?workbook=18_15.xlsx&amp;sheet=U0&amp;row=1405&amp;col=7&amp;number=0.0835&amp;sourceID=14","0.0835")</f>
        <v>0.0835</v>
      </c>
    </row>
    <row r="1406" spans="1:7">
      <c r="A1406" s="3"/>
      <c r="B1406" s="3"/>
      <c r="C1406" s="3"/>
      <c r="D1406" s="3"/>
      <c r="E1406" s="3">
        <v>3</v>
      </c>
      <c r="F1406" s="4" t="str">
        <f>HYPERLINK("http://141.218.60.56/~jnz1568/getInfo.php?workbook=18_15.xlsx&amp;sheet=U0&amp;row=1406&amp;col=6&amp;number=3.2&amp;sourceID=14","3.2")</f>
        <v>3.2</v>
      </c>
      <c r="G1406" s="4" t="str">
        <f>HYPERLINK("http://141.218.60.56/~jnz1568/getInfo.php?workbook=18_15.xlsx&amp;sheet=U0&amp;row=1406&amp;col=7&amp;number=0.0835&amp;sourceID=14","0.0835")</f>
        <v>0.0835</v>
      </c>
    </row>
    <row r="1407" spans="1:7">
      <c r="A1407" s="3"/>
      <c r="B1407" s="3"/>
      <c r="C1407" s="3"/>
      <c r="D1407" s="3"/>
      <c r="E1407" s="3">
        <v>4</v>
      </c>
      <c r="F1407" s="4" t="str">
        <f>HYPERLINK("http://141.218.60.56/~jnz1568/getInfo.php?workbook=18_15.xlsx&amp;sheet=U0&amp;row=1407&amp;col=6&amp;number=3.3&amp;sourceID=14","3.3")</f>
        <v>3.3</v>
      </c>
      <c r="G1407" s="4" t="str">
        <f>HYPERLINK("http://141.218.60.56/~jnz1568/getInfo.php?workbook=18_15.xlsx&amp;sheet=U0&amp;row=1407&amp;col=7&amp;number=0.0836&amp;sourceID=14","0.0836")</f>
        <v>0.0836</v>
      </c>
    </row>
    <row r="1408" spans="1:7">
      <c r="A1408" s="3"/>
      <c r="B1408" s="3"/>
      <c r="C1408" s="3"/>
      <c r="D1408" s="3"/>
      <c r="E1408" s="3">
        <v>5</v>
      </c>
      <c r="F1408" s="4" t="str">
        <f>HYPERLINK("http://141.218.60.56/~jnz1568/getInfo.php?workbook=18_15.xlsx&amp;sheet=U0&amp;row=1408&amp;col=6&amp;number=3.4&amp;sourceID=14","3.4")</f>
        <v>3.4</v>
      </c>
      <c r="G1408" s="4" t="str">
        <f>HYPERLINK("http://141.218.60.56/~jnz1568/getInfo.php?workbook=18_15.xlsx&amp;sheet=U0&amp;row=1408&amp;col=7&amp;number=0.0837&amp;sourceID=14","0.0837")</f>
        <v>0.0837</v>
      </c>
    </row>
    <row r="1409" spans="1:7">
      <c r="A1409" s="3"/>
      <c r="B1409" s="3"/>
      <c r="C1409" s="3"/>
      <c r="D1409" s="3"/>
      <c r="E1409" s="3">
        <v>6</v>
      </c>
      <c r="F1409" s="4" t="str">
        <f>HYPERLINK("http://141.218.60.56/~jnz1568/getInfo.php?workbook=18_15.xlsx&amp;sheet=U0&amp;row=1409&amp;col=6&amp;number=3.5&amp;sourceID=14","3.5")</f>
        <v>3.5</v>
      </c>
      <c r="G1409" s="4" t="str">
        <f>HYPERLINK("http://141.218.60.56/~jnz1568/getInfo.php?workbook=18_15.xlsx&amp;sheet=U0&amp;row=1409&amp;col=7&amp;number=0.0838&amp;sourceID=14","0.0838")</f>
        <v>0.0838</v>
      </c>
    </row>
    <row r="1410" spans="1:7">
      <c r="A1410" s="3"/>
      <c r="B1410" s="3"/>
      <c r="C1410" s="3"/>
      <c r="D1410" s="3"/>
      <c r="E1410" s="3">
        <v>7</v>
      </c>
      <c r="F1410" s="4" t="str">
        <f>HYPERLINK("http://141.218.60.56/~jnz1568/getInfo.php?workbook=18_15.xlsx&amp;sheet=U0&amp;row=1410&amp;col=6&amp;number=3.6&amp;sourceID=14","3.6")</f>
        <v>3.6</v>
      </c>
      <c r="G1410" s="4" t="str">
        <f>HYPERLINK("http://141.218.60.56/~jnz1568/getInfo.php?workbook=18_15.xlsx&amp;sheet=U0&amp;row=1410&amp;col=7&amp;number=0.0839&amp;sourceID=14","0.0839")</f>
        <v>0.0839</v>
      </c>
    </row>
    <row r="1411" spans="1:7">
      <c r="A1411" s="3"/>
      <c r="B1411" s="3"/>
      <c r="C1411" s="3"/>
      <c r="D1411" s="3"/>
      <c r="E1411" s="3">
        <v>8</v>
      </c>
      <c r="F1411" s="4" t="str">
        <f>HYPERLINK("http://141.218.60.56/~jnz1568/getInfo.php?workbook=18_15.xlsx&amp;sheet=U0&amp;row=1411&amp;col=6&amp;number=3.7&amp;sourceID=14","3.7")</f>
        <v>3.7</v>
      </c>
      <c r="G1411" s="4" t="str">
        <f>HYPERLINK("http://141.218.60.56/~jnz1568/getInfo.php?workbook=18_15.xlsx&amp;sheet=U0&amp;row=1411&amp;col=7&amp;number=0.0842&amp;sourceID=14","0.0842")</f>
        <v>0.0842</v>
      </c>
    </row>
    <row r="1412" spans="1:7">
      <c r="A1412" s="3"/>
      <c r="B1412" s="3"/>
      <c r="C1412" s="3"/>
      <c r="D1412" s="3"/>
      <c r="E1412" s="3">
        <v>9</v>
      </c>
      <c r="F1412" s="4" t="str">
        <f>HYPERLINK("http://141.218.60.56/~jnz1568/getInfo.php?workbook=18_15.xlsx&amp;sheet=U0&amp;row=1412&amp;col=6&amp;number=3.8&amp;sourceID=14","3.8")</f>
        <v>3.8</v>
      </c>
      <c r="G1412" s="4" t="str">
        <f>HYPERLINK("http://141.218.60.56/~jnz1568/getInfo.php?workbook=18_15.xlsx&amp;sheet=U0&amp;row=1412&amp;col=7&amp;number=0.0845&amp;sourceID=14","0.0845")</f>
        <v>0.0845</v>
      </c>
    </row>
    <row r="1413" spans="1:7">
      <c r="A1413" s="3"/>
      <c r="B1413" s="3"/>
      <c r="C1413" s="3"/>
      <c r="D1413" s="3"/>
      <c r="E1413" s="3">
        <v>10</v>
      </c>
      <c r="F1413" s="4" t="str">
        <f>HYPERLINK("http://141.218.60.56/~jnz1568/getInfo.php?workbook=18_15.xlsx&amp;sheet=U0&amp;row=1413&amp;col=6&amp;number=3.9&amp;sourceID=14","3.9")</f>
        <v>3.9</v>
      </c>
      <c r="G1413" s="4" t="str">
        <f>HYPERLINK("http://141.218.60.56/~jnz1568/getInfo.php?workbook=18_15.xlsx&amp;sheet=U0&amp;row=1413&amp;col=7&amp;number=0.085&amp;sourceID=14","0.085")</f>
        <v>0.085</v>
      </c>
    </row>
    <row r="1414" spans="1:7">
      <c r="A1414" s="3"/>
      <c r="B1414" s="3"/>
      <c r="C1414" s="3"/>
      <c r="D1414" s="3"/>
      <c r="E1414" s="3">
        <v>11</v>
      </c>
      <c r="F1414" s="4" t="str">
        <f>HYPERLINK("http://141.218.60.56/~jnz1568/getInfo.php?workbook=18_15.xlsx&amp;sheet=U0&amp;row=1414&amp;col=6&amp;number=4&amp;sourceID=14","4")</f>
        <v>4</v>
      </c>
      <c r="G1414" s="4" t="str">
        <f>HYPERLINK("http://141.218.60.56/~jnz1568/getInfo.php?workbook=18_15.xlsx&amp;sheet=U0&amp;row=1414&amp;col=7&amp;number=0.0859&amp;sourceID=14","0.0859")</f>
        <v>0.0859</v>
      </c>
    </row>
    <row r="1415" spans="1:7">
      <c r="A1415" s="3"/>
      <c r="B1415" s="3"/>
      <c r="C1415" s="3"/>
      <c r="D1415" s="3"/>
      <c r="E1415" s="3">
        <v>12</v>
      </c>
      <c r="F1415" s="4" t="str">
        <f>HYPERLINK("http://141.218.60.56/~jnz1568/getInfo.php?workbook=18_15.xlsx&amp;sheet=U0&amp;row=1415&amp;col=6&amp;number=4.1&amp;sourceID=14","4.1")</f>
        <v>4.1</v>
      </c>
      <c r="G1415" s="4" t="str">
        <f>HYPERLINK("http://141.218.60.56/~jnz1568/getInfo.php?workbook=18_15.xlsx&amp;sheet=U0&amp;row=1415&amp;col=7&amp;number=0.0872&amp;sourceID=14","0.0872")</f>
        <v>0.0872</v>
      </c>
    </row>
    <row r="1416" spans="1:7">
      <c r="A1416" s="3"/>
      <c r="B1416" s="3"/>
      <c r="C1416" s="3"/>
      <c r="D1416" s="3"/>
      <c r="E1416" s="3">
        <v>13</v>
      </c>
      <c r="F1416" s="4" t="str">
        <f>HYPERLINK("http://141.218.60.56/~jnz1568/getInfo.php?workbook=18_15.xlsx&amp;sheet=U0&amp;row=1416&amp;col=6&amp;number=4.2&amp;sourceID=14","4.2")</f>
        <v>4.2</v>
      </c>
      <c r="G1416" s="4" t="str">
        <f>HYPERLINK("http://141.218.60.56/~jnz1568/getInfo.php?workbook=18_15.xlsx&amp;sheet=U0&amp;row=1416&amp;col=7&amp;number=0.0891&amp;sourceID=14","0.0891")</f>
        <v>0.0891</v>
      </c>
    </row>
    <row r="1417" spans="1:7">
      <c r="A1417" s="3"/>
      <c r="B1417" s="3"/>
      <c r="C1417" s="3"/>
      <c r="D1417" s="3"/>
      <c r="E1417" s="3">
        <v>14</v>
      </c>
      <c r="F1417" s="4" t="str">
        <f>HYPERLINK("http://141.218.60.56/~jnz1568/getInfo.php?workbook=18_15.xlsx&amp;sheet=U0&amp;row=1417&amp;col=6&amp;number=4.3&amp;sourceID=14","4.3")</f>
        <v>4.3</v>
      </c>
      <c r="G1417" s="4" t="str">
        <f>HYPERLINK("http://141.218.60.56/~jnz1568/getInfo.php?workbook=18_15.xlsx&amp;sheet=U0&amp;row=1417&amp;col=7&amp;number=0.0913&amp;sourceID=14","0.0913")</f>
        <v>0.0913</v>
      </c>
    </row>
    <row r="1418" spans="1:7">
      <c r="A1418" s="3"/>
      <c r="B1418" s="3"/>
      <c r="C1418" s="3"/>
      <c r="D1418" s="3"/>
      <c r="E1418" s="3">
        <v>15</v>
      </c>
      <c r="F1418" s="4" t="str">
        <f>HYPERLINK("http://141.218.60.56/~jnz1568/getInfo.php?workbook=18_15.xlsx&amp;sheet=U0&amp;row=1418&amp;col=6&amp;number=4.4&amp;sourceID=14","4.4")</f>
        <v>4.4</v>
      </c>
      <c r="G1418" s="4" t="str">
        <f>HYPERLINK("http://141.218.60.56/~jnz1568/getInfo.php?workbook=18_15.xlsx&amp;sheet=U0&amp;row=1418&amp;col=7&amp;number=0.0934&amp;sourceID=14","0.0934")</f>
        <v>0.0934</v>
      </c>
    </row>
    <row r="1419" spans="1:7">
      <c r="A1419" s="3"/>
      <c r="B1419" s="3"/>
      <c r="C1419" s="3"/>
      <c r="D1419" s="3"/>
      <c r="E1419" s="3">
        <v>16</v>
      </c>
      <c r="F1419" s="4" t="str">
        <f>HYPERLINK("http://141.218.60.56/~jnz1568/getInfo.php?workbook=18_15.xlsx&amp;sheet=U0&amp;row=1419&amp;col=6&amp;number=4.5&amp;sourceID=14","4.5")</f>
        <v>4.5</v>
      </c>
      <c r="G1419" s="4" t="str">
        <f>HYPERLINK("http://141.218.60.56/~jnz1568/getInfo.php?workbook=18_15.xlsx&amp;sheet=U0&amp;row=1419&amp;col=7&amp;number=0.0949&amp;sourceID=14","0.0949")</f>
        <v>0.0949</v>
      </c>
    </row>
    <row r="1420" spans="1:7">
      <c r="A1420" s="3"/>
      <c r="B1420" s="3"/>
      <c r="C1420" s="3"/>
      <c r="D1420" s="3"/>
      <c r="E1420" s="3">
        <v>17</v>
      </c>
      <c r="F1420" s="4" t="str">
        <f>HYPERLINK("http://141.218.60.56/~jnz1568/getInfo.php?workbook=18_15.xlsx&amp;sheet=U0&amp;row=1420&amp;col=6&amp;number=4.6&amp;sourceID=14","4.6")</f>
        <v>4.6</v>
      </c>
      <c r="G1420" s="4" t="str">
        <f>HYPERLINK("http://141.218.60.56/~jnz1568/getInfo.php?workbook=18_15.xlsx&amp;sheet=U0&amp;row=1420&amp;col=7&amp;number=0.0956&amp;sourceID=14","0.0956")</f>
        <v>0.0956</v>
      </c>
    </row>
    <row r="1421" spans="1:7">
      <c r="A1421" s="3"/>
      <c r="B1421" s="3"/>
      <c r="C1421" s="3"/>
      <c r="D1421" s="3"/>
      <c r="E1421" s="3">
        <v>18</v>
      </c>
      <c r="F1421" s="4" t="str">
        <f>HYPERLINK("http://141.218.60.56/~jnz1568/getInfo.php?workbook=18_15.xlsx&amp;sheet=U0&amp;row=1421&amp;col=6&amp;number=4.7&amp;sourceID=14","4.7")</f>
        <v>4.7</v>
      </c>
      <c r="G1421" s="4" t="str">
        <f>HYPERLINK("http://141.218.60.56/~jnz1568/getInfo.php?workbook=18_15.xlsx&amp;sheet=U0&amp;row=1421&amp;col=7&amp;number=0.0958&amp;sourceID=14","0.0958")</f>
        <v>0.0958</v>
      </c>
    </row>
    <row r="1422" spans="1:7">
      <c r="A1422" s="3"/>
      <c r="B1422" s="3"/>
      <c r="C1422" s="3"/>
      <c r="D1422" s="3"/>
      <c r="E1422" s="3">
        <v>19</v>
      </c>
      <c r="F1422" s="4" t="str">
        <f>HYPERLINK("http://141.218.60.56/~jnz1568/getInfo.php?workbook=18_15.xlsx&amp;sheet=U0&amp;row=1422&amp;col=6&amp;number=4.8&amp;sourceID=14","4.8")</f>
        <v>4.8</v>
      </c>
      <c r="G1422" s="4" t="str">
        <f>HYPERLINK("http://141.218.60.56/~jnz1568/getInfo.php?workbook=18_15.xlsx&amp;sheet=U0&amp;row=1422&amp;col=7&amp;number=0.0954&amp;sourceID=14","0.0954")</f>
        <v>0.0954</v>
      </c>
    </row>
    <row r="1423" spans="1:7">
      <c r="A1423" s="3"/>
      <c r="B1423" s="3"/>
      <c r="C1423" s="3"/>
      <c r="D1423" s="3"/>
      <c r="E1423" s="3">
        <v>20</v>
      </c>
      <c r="F1423" s="4" t="str">
        <f>HYPERLINK("http://141.218.60.56/~jnz1568/getInfo.php?workbook=18_15.xlsx&amp;sheet=U0&amp;row=1423&amp;col=6&amp;number=4.9&amp;sourceID=14","4.9")</f>
        <v>4.9</v>
      </c>
      <c r="G1423" s="4" t="str">
        <f>HYPERLINK("http://141.218.60.56/~jnz1568/getInfo.php?workbook=18_15.xlsx&amp;sheet=U0&amp;row=1423&amp;col=7&amp;number=0.0938&amp;sourceID=14","0.0938")</f>
        <v>0.0938</v>
      </c>
    </row>
    <row r="1424" spans="1:7">
      <c r="A1424" s="3">
        <v>18</v>
      </c>
      <c r="B1424" s="3">
        <v>15</v>
      </c>
      <c r="C1424" s="3">
        <v>3</v>
      </c>
      <c r="D1424" s="3">
        <v>19</v>
      </c>
      <c r="E1424" s="3">
        <v>1</v>
      </c>
      <c r="F1424" s="4" t="str">
        <f>HYPERLINK("http://141.218.60.56/~jnz1568/getInfo.php?workbook=18_15.xlsx&amp;sheet=U0&amp;row=1424&amp;col=6&amp;number=3&amp;sourceID=14","3")</f>
        <v>3</v>
      </c>
      <c r="G1424" s="4" t="str">
        <f>HYPERLINK("http://141.218.60.56/~jnz1568/getInfo.php?workbook=18_15.xlsx&amp;sheet=U0&amp;row=1424&amp;col=7&amp;number=0.183&amp;sourceID=14","0.183")</f>
        <v>0.183</v>
      </c>
    </row>
    <row r="1425" spans="1:7">
      <c r="A1425" s="3"/>
      <c r="B1425" s="3"/>
      <c r="C1425" s="3"/>
      <c r="D1425" s="3"/>
      <c r="E1425" s="3">
        <v>2</v>
      </c>
      <c r="F1425" s="4" t="str">
        <f>HYPERLINK("http://141.218.60.56/~jnz1568/getInfo.php?workbook=18_15.xlsx&amp;sheet=U0&amp;row=1425&amp;col=6&amp;number=3.1&amp;sourceID=14","3.1")</f>
        <v>3.1</v>
      </c>
      <c r="G1425" s="4" t="str">
        <f>HYPERLINK("http://141.218.60.56/~jnz1568/getInfo.php?workbook=18_15.xlsx&amp;sheet=U0&amp;row=1425&amp;col=7&amp;number=0.183&amp;sourceID=14","0.183")</f>
        <v>0.183</v>
      </c>
    </row>
    <row r="1426" spans="1:7">
      <c r="A1426" s="3"/>
      <c r="B1426" s="3"/>
      <c r="C1426" s="3"/>
      <c r="D1426" s="3"/>
      <c r="E1426" s="3">
        <v>3</v>
      </c>
      <c r="F1426" s="4" t="str">
        <f>HYPERLINK("http://141.218.60.56/~jnz1568/getInfo.php?workbook=18_15.xlsx&amp;sheet=U0&amp;row=1426&amp;col=6&amp;number=3.2&amp;sourceID=14","3.2")</f>
        <v>3.2</v>
      </c>
      <c r="G1426" s="4" t="str">
        <f>HYPERLINK("http://141.218.60.56/~jnz1568/getInfo.php?workbook=18_15.xlsx&amp;sheet=U0&amp;row=1426&amp;col=7&amp;number=0.183&amp;sourceID=14","0.183")</f>
        <v>0.183</v>
      </c>
    </row>
    <row r="1427" spans="1:7">
      <c r="A1427" s="3"/>
      <c r="B1427" s="3"/>
      <c r="C1427" s="3"/>
      <c r="D1427" s="3"/>
      <c r="E1427" s="3">
        <v>4</v>
      </c>
      <c r="F1427" s="4" t="str">
        <f>HYPERLINK("http://141.218.60.56/~jnz1568/getInfo.php?workbook=18_15.xlsx&amp;sheet=U0&amp;row=1427&amp;col=6&amp;number=3.3&amp;sourceID=14","3.3")</f>
        <v>3.3</v>
      </c>
      <c r="G1427" s="4" t="str">
        <f>HYPERLINK("http://141.218.60.56/~jnz1568/getInfo.php?workbook=18_15.xlsx&amp;sheet=U0&amp;row=1427&amp;col=7&amp;number=0.184&amp;sourceID=14","0.184")</f>
        <v>0.184</v>
      </c>
    </row>
    <row r="1428" spans="1:7">
      <c r="A1428" s="3"/>
      <c r="B1428" s="3"/>
      <c r="C1428" s="3"/>
      <c r="D1428" s="3"/>
      <c r="E1428" s="3">
        <v>5</v>
      </c>
      <c r="F1428" s="4" t="str">
        <f>HYPERLINK("http://141.218.60.56/~jnz1568/getInfo.php?workbook=18_15.xlsx&amp;sheet=U0&amp;row=1428&amp;col=6&amp;number=3.4&amp;sourceID=14","3.4")</f>
        <v>3.4</v>
      </c>
      <c r="G1428" s="4" t="str">
        <f>HYPERLINK("http://141.218.60.56/~jnz1568/getInfo.php?workbook=18_15.xlsx&amp;sheet=U0&amp;row=1428&amp;col=7&amp;number=0.185&amp;sourceID=14","0.185")</f>
        <v>0.185</v>
      </c>
    </row>
    <row r="1429" spans="1:7">
      <c r="A1429" s="3"/>
      <c r="B1429" s="3"/>
      <c r="C1429" s="3"/>
      <c r="D1429" s="3"/>
      <c r="E1429" s="3">
        <v>6</v>
      </c>
      <c r="F1429" s="4" t="str">
        <f>HYPERLINK("http://141.218.60.56/~jnz1568/getInfo.php?workbook=18_15.xlsx&amp;sheet=U0&amp;row=1429&amp;col=6&amp;number=3.5&amp;sourceID=14","3.5")</f>
        <v>3.5</v>
      </c>
      <c r="G1429" s="4" t="str">
        <f>HYPERLINK("http://141.218.60.56/~jnz1568/getInfo.php?workbook=18_15.xlsx&amp;sheet=U0&amp;row=1429&amp;col=7&amp;number=0.185&amp;sourceID=14","0.185")</f>
        <v>0.185</v>
      </c>
    </row>
    <row r="1430" spans="1:7">
      <c r="A1430" s="3"/>
      <c r="B1430" s="3"/>
      <c r="C1430" s="3"/>
      <c r="D1430" s="3"/>
      <c r="E1430" s="3">
        <v>7</v>
      </c>
      <c r="F1430" s="4" t="str">
        <f>HYPERLINK("http://141.218.60.56/~jnz1568/getInfo.php?workbook=18_15.xlsx&amp;sheet=U0&amp;row=1430&amp;col=6&amp;number=3.6&amp;sourceID=14","3.6")</f>
        <v>3.6</v>
      </c>
      <c r="G1430" s="4" t="str">
        <f>HYPERLINK("http://141.218.60.56/~jnz1568/getInfo.php?workbook=18_15.xlsx&amp;sheet=U0&amp;row=1430&amp;col=7&amp;number=0.186&amp;sourceID=14","0.186")</f>
        <v>0.186</v>
      </c>
    </row>
    <row r="1431" spans="1:7">
      <c r="A1431" s="3"/>
      <c r="B1431" s="3"/>
      <c r="C1431" s="3"/>
      <c r="D1431" s="3"/>
      <c r="E1431" s="3">
        <v>8</v>
      </c>
      <c r="F1431" s="4" t="str">
        <f>HYPERLINK("http://141.218.60.56/~jnz1568/getInfo.php?workbook=18_15.xlsx&amp;sheet=U0&amp;row=1431&amp;col=6&amp;number=3.7&amp;sourceID=14","3.7")</f>
        <v>3.7</v>
      </c>
      <c r="G1431" s="4" t="str">
        <f>HYPERLINK("http://141.218.60.56/~jnz1568/getInfo.php?workbook=18_15.xlsx&amp;sheet=U0&amp;row=1431&amp;col=7&amp;number=0.188&amp;sourceID=14","0.188")</f>
        <v>0.188</v>
      </c>
    </row>
    <row r="1432" spans="1:7">
      <c r="A1432" s="3"/>
      <c r="B1432" s="3"/>
      <c r="C1432" s="3"/>
      <c r="D1432" s="3"/>
      <c r="E1432" s="3">
        <v>9</v>
      </c>
      <c r="F1432" s="4" t="str">
        <f>HYPERLINK("http://141.218.60.56/~jnz1568/getInfo.php?workbook=18_15.xlsx&amp;sheet=U0&amp;row=1432&amp;col=6&amp;number=3.8&amp;sourceID=14","3.8")</f>
        <v>3.8</v>
      </c>
      <c r="G1432" s="4" t="str">
        <f>HYPERLINK("http://141.218.60.56/~jnz1568/getInfo.php?workbook=18_15.xlsx&amp;sheet=U0&amp;row=1432&amp;col=7&amp;number=0.189&amp;sourceID=14","0.189")</f>
        <v>0.189</v>
      </c>
    </row>
    <row r="1433" spans="1:7">
      <c r="A1433" s="3"/>
      <c r="B1433" s="3"/>
      <c r="C1433" s="3"/>
      <c r="D1433" s="3"/>
      <c r="E1433" s="3">
        <v>10</v>
      </c>
      <c r="F1433" s="4" t="str">
        <f>HYPERLINK("http://141.218.60.56/~jnz1568/getInfo.php?workbook=18_15.xlsx&amp;sheet=U0&amp;row=1433&amp;col=6&amp;number=3.9&amp;sourceID=14","3.9")</f>
        <v>3.9</v>
      </c>
      <c r="G1433" s="4" t="str">
        <f>HYPERLINK("http://141.218.60.56/~jnz1568/getInfo.php?workbook=18_15.xlsx&amp;sheet=U0&amp;row=1433&amp;col=7&amp;number=0.192&amp;sourceID=14","0.192")</f>
        <v>0.192</v>
      </c>
    </row>
    <row r="1434" spans="1:7">
      <c r="A1434" s="3"/>
      <c r="B1434" s="3"/>
      <c r="C1434" s="3"/>
      <c r="D1434" s="3"/>
      <c r="E1434" s="3">
        <v>11</v>
      </c>
      <c r="F1434" s="4" t="str">
        <f>HYPERLINK("http://141.218.60.56/~jnz1568/getInfo.php?workbook=18_15.xlsx&amp;sheet=U0&amp;row=1434&amp;col=6&amp;number=4&amp;sourceID=14","4")</f>
        <v>4</v>
      </c>
      <c r="G1434" s="4" t="str">
        <f>HYPERLINK("http://141.218.60.56/~jnz1568/getInfo.php?workbook=18_15.xlsx&amp;sheet=U0&amp;row=1434&amp;col=7&amp;number=0.194&amp;sourceID=14","0.194")</f>
        <v>0.194</v>
      </c>
    </row>
    <row r="1435" spans="1:7">
      <c r="A1435" s="3"/>
      <c r="B1435" s="3"/>
      <c r="C1435" s="3"/>
      <c r="D1435" s="3"/>
      <c r="E1435" s="3">
        <v>12</v>
      </c>
      <c r="F1435" s="4" t="str">
        <f>HYPERLINK("http://141.218.60.56/~jnz1568/getInfo.php?workbook=18_15.xlsx&amp;sheet=U0&amp;row=1435&amp;col=6&amp;number=4.1&amp;sourceID=14","4.1")</f>
        <v>4.1</v>
      </c>
      <c r="G1435" s="4" t="str">
        <f>HYPERLINK("http://141.218.60.56/~jnz1568/getInfo.php?workbook=18_15.xlsx&amp;sheet=U0&amp;row=1435&amp;col=7&amp;number=0.198&amp;sourceID=14","0.198")</f>
        <v>0.198</v>
      </c>
    </row>
    <row r="1436" spans="1:7">
      <c r="A1436" s="3"/>
      <c r="B1436" s="3"/>
      <c r="C1436" s="3"/>
      <c r="D1436" s="3"/>
      <c r="E1436" s="3">
        <v>13</v>
      </c>
      <c r="F1436" s="4" t="str">
        <f>HYPERLINK("http://141.218.60.56/~jnz1568/getInfo.php?workbook=18_15.xlsx&amp;sheet=U0&amp;row=1436&amp;col=6&amp;number=4.2&amp;sourceID=14","4.2")</f>
        <v>4.2</v>
      </c>
      <c r="G1436" s="4" t="str">
        <f>HYPERLINK("http://141.218.60.56/~jnz1568/getInfo.php?workbook=18_15.xlsx&amp;sheet=U0&amp;row=1436&amp;col=7&amp;number=0.203&amp;sourceID=14","0.203")</f>
        <v>0.203</v>
      </c>
    </row>
    <row r="1437" spans="1:7">
      <c r="A1437" s="3"/>
      <c r="B1437" s="3"/>
      <c r="C1437" s="3"/>
      <c r="D1437" s="3"/>
      <c r="E1437" s="3">
        <v>14</v>
      </c>
      <c r="F1437" s="4" t="str">
        <f>HYPERLINK("http://141.218.60.56/~jnz1568/getInfo.php?workbook=18_15.xlsx&amp;sheet=U0&amp;row=1437&amp;col=6&amp;number=4.3&amp;sourceID=14","4.3")</f>
        <v>4.3</v>
      </c>
      <c r="G1437" s="4" t="str">
        <f>HYPERLINK("http://141.218.60.56/~jnz1568/getInfo.php?workbook=18_15.xlsx&amp;sheet=U0&amp;row=1437&amp;col=7&amp;number=0.208&amp;sourceID=14","0.208")</f>
        <v>0.208</v>
      </c>
    </row>
    <row r="1438" spans="1:7">
      <c r="A1438" s="3"/>
      <c r="B1438" s="3"/>
      <c r="C1438" s="3"/>
      <c r="D1438" s="3"/>
      <c r="E1438" s="3">
        <v>15</v>
      </c>
      <c r="F1438" s="4" t="str">
        <f>HYPERLINK("http://141.218.60.56/~jnz1568/getInfo.php?workbook=18_15.xlsx&amp;sheet=U0&amp;row=1438&amp;col=6&amp;number=4.4&amp;sourceID=14","4.4")</f>
        <v>4.4</v>
      </c>
      <c r="G1438" s="4" t="str">
        <f>HYPERLINK("http://141.218.60.56/~jnz1568/getInfo.php?workbook=18_15.xlsx&amp;sheet=U0&amp;row=1438&amp;col=7&amp;number=0.212&amp;sourceID=14","0.212")</f>
        <v>0.212</v>
      </c>
    </row>
    <row r="1439" spans="1:7">
      <c r="A1439" s="3"/>
      <c r="B1439" s="3"/>
      <c r="C1439" s="3"/>
      <c r="D1439" s="3"/>
      <c r="E1439" s="3">
        <v>16</v>
      </c>
      <c r="F1439" s="4" t="str">
        <f>HYPERLINK("http://141.218.60.56/~jnz1568/getInfo.php?workbook=18_15.xlsx&amp;sheet=U0&amp;row=1439&amp;col=6&amp;number=4.5&amp;sourceID=14","4.5")</f>
        <v>4.5</v>
      </c>
      <c r="G1439" s="4" t="str">
        <f>HYPERLINK("http://141.218.60.56/~jnz1568/getInfo.php?workbook=18_15.xlsx&amp;sheet=U0&amp;row=1439&amp;col=7&amp;number=0.213&amp;sourceID=14","0.213")</f>
        <v>0.213</v>
      </c>
    </row>
    <row r="1440" spans="1:7">
      <c r="A1440" s="3"/>
      <c r="B1440" s="3"/>
      <c r="C1440" s="3"/>
      <c r="D1440" s="3"/>
      <c r="E1440" s="3">
        <v>17</v>
      </c>
      <c r="F1440" s="4" t="str">
        <f>HYPERLINK("http://141.218.60.56/~jnz1568/getInfo.php?workbook=18_15.xlsx&amp;sheet=U0&amp;row=1440&amp;col=6&amp;number=4.6&amp;sourceID=14","4.6")</f>
        <v>4.6</v>
      </c>
      <c r="G1440" s="4" t="str">
        <f>HYPERLINK("http://141.218.60.56/~jnz1568/getInfo.php?workbook=18_15.xlsx&amp;sheet=U0&amp;row=1440&amp;col=7&amp;number=0.213&amp;sourceID=14","0.213")</f>
        <v>0.213</v>
      </c>
    </row>
    <row r="1441" spans="1:7">
      <c r="A1441" s="3"/>
      <c r="B1441" s="3"/>
      <c r="C1441" s="3"/>
      <c r="D1441" s="3"/>
      <c r="E1441" s="3">
        <v>18</v>
      </c>
      <c r="F1441" s="4" t="str">
        <f>HYPERLINK("http://141.218.60.56/~jnz1568/getInfo.php?workbook=18_15.xlsx&amp;sheet=U0&amp;row=1441&amp;col=6&amp;number=4.7&amp;sourceID=14","4.7")</f>
        <v>4.7</v>
      </c>
      <c r="G1441" s="4" t="str">
        <f>HYPERLINK("http://141.218.60.56/~jnz1568/getInfo.php?workbook=18_15.xlsx&amp;sheet=U0&amp;row=1441&amp;col=7&amp;number=0.212&amp;sourceID=14","0.212")</f>
        <v>0.212</v>
      </c>
    </row>
    <row r="1442" spans="1:7">
      <c r="A1442" s="3"/>
      <c r="B1442" s="3"/>
      <c r="C1442" s="3"/>
      <c r="D1442" s="3"/>
      <c r="E1442" s="3">
        <v>19</v>
      </c>
      <c r="F1442" s="4" t="str">
        <f>HYPERLINK("http://141.218.60.56/~jnz1568/getInfo.php?workbook=18_15.xlsx&amp;sheet=U0&amp;row=1442&amp;col=6&amp;number=4.8&amp;sourceID=14","4.8")</f>
        <v>4.8</v>
      </c>
      <c r="G1442" s="4" t="str">
        <f>HYPERLINK("http://141.218.60.56/~jnz1568/getInfo.php?workbook=18_15.xlsx&amp;sheet=U0&amp;row=1442&amp;col=7&amp;number=0.211&amp;sourceID=14","0.211")</f>
        <v>0.211</v>
      </c>
    </row>
    <row r="1443" spans="1:7">
      <c r="A1443" s="3"/>
      <c r="B1443" s="3"/>
      <c r="C1443" s="3"/>
      <c r="D1443" s="3"/>
      <c r="E1443" s="3">
        <v>20</v>
      </c>
      <c r="F1443" s="4" t="str">
        <f>HYPERLINK("http://141.218.60.56/~jnz1568/getInfo.php?workbook=18_15.xlsx&amp;sheet=U0&amp;row=1443&amp;col=6&amp;number=4.9&amp;sourceID=14","4.9")</f>
        <v>4.9</v>
      </c>
      <c r="G1443" s="4" t="str">
        <f>HYPERLINK("http://141.218.60.56/~jnz1568/getInfo.php?workbook=18_15.xlsx&amp;sheet=U0&amp;row=1443&amp;col=7&amp;number=0.208&amp;sourceID=14","0.208")</f>
        <v>0.208</v>
      </c>
    </row>
    <row r="1444" spans="1:7">
      <c r="A1444" s="3">
        <v>18</v>
      </c>
      <c r="B1444" s="3">
        <v>15</v>
      </c>
      <c r="C1444" s="3">
        <v>3</v>
      </c>
      <c r="D1444" s="3">
        <v>20</v>
      </c>
      <c r="E1444" s="3">
        <v>1</v>
      </c>
      <c r="F1444" s="4" t="str">
        <f>HYPERLINK("http://141.218.60.56/~jnz1568/getInfo.php?workbook=18_15.xlsx&amp;sheet=U0&amp;row=1444&amp;col=6&amp;number=3&amp;sourceID=14","3")</f>
        <v>3</v>
      </c>
      <c r="G1444" s="4" t="str">
        <f>HYPERLINK("http://141.218.60.56/~jnz1568/getInfo.php?workbook=18_15.xlsx&amp;sheet=U0&amp;row=1444&amp;col=7&amp;number=0.315&amp;sourceID=14","0.315")</f>
        <v>0.315</v>
      </c>
    </row>
    <row r="1445" spans="1:7">
      <c r="A1445" s="3"/>
      <c r="B1445" s="3"/>
      <c r="C1445" s="3"/>
      <c r="D1445" s="3"/>
      <c r="E1445" s="3">
        <v>2</v>
      </c>
      <c r="F1445" s="4" t="str">
        <f>HYPERLINK("http://141.218.60.56/~jnz1568/getInfo.php?workbook=18_15.xlsx&amp;sheet=U0&amp;row=1445&amp;col=6&amp;number=3.1&amp;sourceID=14","3.1")</f>
        <v>3.1</v>
      </c>
      <c r="G1445" s="4" t="str">
        <f>HYPERLINK("http://141.218.60.56/~jnz1568/getInfo.php?workbook=18_15.xlsx&amp;sheet=U0&amp;row=1445&amp;col=7&amp;number=0.316&amp;sourceID=14","0.316")</f>
        <v>0.316</v>
      </c>
    </row>
    <row r="1446" spans="1:7">
      <c r="A1446" s="3"/>
      <c r="B1446" s="3"/>
      <c r="C1446" s="3"/>
      <c r="D1446" s="3"/>
      <c r="E1446" s="3">
        <v>3</v>
      </c>
      <c r="F1446" s="4" t="str">
        <f>HYPERLINK("http://141.218.60.56/~jnz1568/getInfo.php?workbook=18_15.xlsx&amp;sheet=U0&amp;row=1446&amp;col=6&amp;number=3.2&amp;sourceID=14","3.2")</f>
        <v>3.2</v>
      </c>
      <c r="G1446" s="4" t="str">
        <f>HYPERLINK("http://141.218.60.56/~jnz1568/getInfo.php?workbook=18_15.xlsx&amp;sheet=U0&amp;row=1446&amp;col=7&amp;number=0.317&amp;sourceID=14","0.317")</f>
        <v>0.317</v>
      </c>
    </row>
    <row r="1447" spans="1:7">
      <c r="A1447" s="3"/>
      <c r="B1447" s="3"/>
      <c r="C1447" s="3"/>
      <c r="D1447" s="3"/>
      <c r="E1447" s="3">
        <v>4</v>
      </c>
      <c r="F1447" s="4" t="str">
        <f>HYPERLINK("http://141.218.60.56/~jnz1568/getInfo.php?workbook=18_15.xlsx&amp;sheet=U0&amp;row=1447&amp;col=6&amp;number=3.3&amp;sourceID=14","3.3")</f>
        <v>3.3</v>
      </c>
      <c r="G1447" s="4" t="str">
        <f>HYPERLINK("http://141.218.60.56/~jnz1568/getInfo.php?workbook=18_15.xlsx&amp;sheet=U0&amp;row=1447&amp;col=7&amp;number=0.319&amp;sourceID=14","0.319")</f>
        <v>0.319</v>
      </c>
    </row>
    <row r="1448" spans="1:7">
      <c r="A1448" s="3"/>
      <c r="B1448" s="3"/>
      <c r="C1448" s="3"/>
      <c r="D1448" s="3"/>
      <c r="E1448" s="3">
        <v>5</v>
      </c>
      <c r="F1448" s="4" t="str">
        <f>HYPERLINK("http://141.218.60.56/~jnz1568/getInfo.php?workbook=18_15.xlsx&amp;sheet=U0&amp;row=1448&amp;col=6&amp;number=3.4&amp;sourceID=14","3.4")</f>
        <v>3.4</v>
      </c>
      <c r="G1448" s="4" t="str">
        <f>HYPERLINK("http://141.218.60.56/~jnz1568/getInfo.php?workbook=18_15.xlsx&amp;sheet=U0&amp;row=1448&amp;col=7&amp;number=0.321&amp;sourceID=14","0.321")</f>
        <v>0.321</v>
      </c>
    </row>
    <row r="1449" spans="1:7">
      <c r="A1449" s="3"/>
      <c r="B1449" s="3"/>
      <c r="C1449" s="3"/>
      <c r="D1449" s="3"/>
      <c r="E1449" s="3">
        <v>6</v>
      </c>
      <c r="F1449" s="4" t="str">
        <f>HYPERLINK("http://141.218.60.56/~jnz1568/getInfo.php?workbook=18_15.xlsx&amp;sheet=U0&amp;row=1449&amp;col=6&amp;number=3.5&amp;sourceID=14","3.5")</f>
        <v>3.5</v>
      </c>
      <c r="G1449" s="4" t="str">
        <f>HYPERLINK("http://141.218.60.56/~jnz1568/getInfo.php?workbook=18_15.xlsx&amp;sheet=U0&amp;row=1449&amp;col=7&amp;number=0.323&amp;sourceID=14","0.323")</f>
        <v>0.323</v>
      </c>
    </row>
    <row r="1450" spans="1:7">
      <c r="A1450" s="3"/>
      <c r="B1450" s="3"/>
      <c r="C1450" s="3"/>
      <c r="D1450" s="3"/>
      <c r="E1450" s="3">
        <v>7</v>
      </c>
      <c r="F1450" s="4" t="str">
        <f>HYPERLINK("http://141.218.60.56/~jnz1568/getInfo.php?workbook=18_15.xlsx&amp;sheet=U0&amp;row=1450&amp;col=6&amp;number=3.6&amp;sourceID=14","3.6")</f>
        <v>3.6</v>
      </c>
      <c r="G1450" s="4" t="str">
        <f>HYPERLINK("http://141.218.60.56/~jnz1568/getInfo.php?workbook=18_15.xlsx&amp;sheet=U0&amp;row=1450&amp;col=7&amp;number=0.326&amp;sourceID=14","0.326")</f>
        <v>0.326</v>
      </c>
    </row>
    <row r="1451" spans="1:7">
      <c r="A1451" s="3"/>
      <c r="B1451" s="3"/>
      <c r="C1451" s="3"/>
      <c r="D1451" s="3"/>
      <c r="E1451" s="3">
        <v>8</v>
      </c>
      <c r="F1451" s="4" t="str">
        <f>HYPERLINK("http://141.218.60.56/~jnz1568/getInfo.php?workbook=18_15.xlsx&amp;sheet=U0&amp;row=1451&amp;col=6&amp;number=3.7&amp;sourceID=14","3.7")</f>
        <v>3.7</v>
      </c>
      <c r="G1451" s="4" t="str">
        <f>HYPERLINK("http://141.218.60.56/~jnz1568/getInfo.php?workbook=18_15.xlsx&amp;sheet=U0&amp;row=1451&amp;col=7&amp;number=0.33&amp;sourceID=14","0.33")</f>
        <v>0.33</v>
      </c>
    </row>
    <row r="1452" spans="1:7">
      <c r="A1452" s="3"/>
      <c r="B1452" s="3"/>
      <c r="C1452" s="3"/>
      <c r="D1452" s="3"/>
      <c r="E1452" s="3">
        <v>9</v>
      </c>
      <c r="F1452" s="4" t="str">
        <f>HYPERLINK("http://141.218.60.56/~jnz1568/getInfo.php?workbook=18_15.xlsx&amp;sheet=U0&amp;row=1452&amp;col=6&amp;number=3.8&amp;sourceID=14","3.8")</f>
        <v>3.8</v>
      </c>
      <c r="G1452" s="4" t="str">
        <f>HYPERLINK("http://141.218.60.56/~jnz1568/getInfo.php?workbook=18_15.xlsx&amp;sheet=U0&amp;row=1452&amp;col=7&amp;number=0.335&amp;sourceID=14","0.335")</f>
        <v>0.335</v>
      </c>
    </row>
    <row r="1453" spans="1:7">
      <c r="A1453" s="3"/>
      <c r="B1453" s="3"/>
      <c r="C1453" s="3"/>
      <c r="D1453" s="3"/>
      <c r="E1453" s="3">
        <v>10</v>
      </c>
      <c r="F1453" s="4" t="str">
        <f>HYPERLINK("http://141.218.60.56/~jnz1568/getInfo.php?workbook=18_15.xlsx&amp;sheet=U0&amp;row=1453&amp;col=6&amp;number=3.9&amp;sourceID=14","3.9")</f>
        <v>3.9</v>
      </c>
      <c r="G1453" s="4" t="str">
        <f>HYPERLINK("http://141.218.60.56/~jnz1568/getInfo.php?workbook=18_15.xlsx&amp;sheet=U0&amp;row=1453&amp;col=7&amp;number=0.341&amp;sourceID=14","0.341")</f>
        <v>0.341</v>
      </c>
    </row>
    <row r="1454" spans="1:7">
      <c r="A1454" s="3"/>
      <c r="B1454" s="3"/>
      <c r="C1454" s="3"/>
      <c r="D1454" s="3"/>
      <c r="E1454" s="3">
        <v>11</v>
      </c>
      <c r="F1454" s="4" t="str">
        <f>HYPERLINK("http://141.218.60.56/~jnz1568/getInfo.php?workbook=18_15.xlsx&amp;sheet=U0&amp;row=1454&amp;col=6&amp;number=4&amp;sourceID=14","4")</f>
        <v>4</v>
      </c>
      <c r="G1454" s="4" t="str">
        <f>HYPERLINK("http://141.218.60.56/~jnz1568/getInfo.php?workbook=18_15.xlsx&amp;sheet=U0&amp;row=1454&amp;col=7&amp;number=0.348&amp;sourceID=14","0.348")</f>
        <v>0.348</v>
      </c>
    </row>
    <row r="1455" spans="1:7">
      <c r="A1455" s="3"/>
      <c r="B1455" s="3"/>
      <c r="C1455" s="3"/>
      <c r="D1455" s="3"/>
      <c r="E1455" s="3">
        <v>12</v>
      </c>
      <c r="F1455" s="4" t="str">
        <f>HYPERLINK("http://141.218.60.56/~jnz1568/getInfo.php?workbook=18_15.xlsx&amp;sheet=U0&amp;row=1455&amp;col=6&amp;number=4.1&amp;sourceID=14","4.1")</f>
        <v>4.1</v>
      </c>
      <c r="G1455" s="4" t="str">
        <f>HYPERLINK("http://141.218.60.56/~jnz1568/getInfo.php?workbook=18_15.xlsx&amp;sheet=U0&amp;row=1455&amp;col=7&amp;number=0.357&amp;sourceID=14","0.357")</f>
        <v>0.357</v>
      </c>
    </row>
    <row r="1456" spans="1:7">
      <c r="A1456" s="3"/>
      <c r="B1456" s="3"/>
      <c r="C1456" s="3"/>
      <c r="D1456" s="3"/>
      <c r="E1456" s="3">
        <v>13</v>
      </c>
      <c r="F1456" s="4" t="str">
        <f>HYPERLINK("http://141.218.60.56/~jnz1568/getInfo.php?workbook=18_15.xlsx&amp;sheet=U0&amp;row=1456&amp;col=6&amp;number=4.2&amp;sourceID=14","4.2")</f>
        <v>4.2</v>
      </c>
      <c r="G1456" s="4" t="str">
        <f>HYPERLINK("http://141.218.60.56/~jnz1568/getInfo.php?workbook=18_15.xlsx&amp;sheet=U0&amp;row=1456&amp;col=7&amp;number=0.367&amp;sourceID=14","0.367")</f>
        <v>0.367</v>
      </c>
    </row>
    <row r="1457" spans="1:7">
      <c r="A1457" s="3"/>
      <c r="B1457" s="3"/>
      <c r="C1457" s="3"/>
      <c r="D1457" s="3"/>
      <c r="E1457" s="3">
        <v>14</v>
      </c>
      <c r="F1457" s="4" t="str">
        <f>HYPERLINK("http://141.218.60.56/~jnz1568/getInfo.php?workbook=18_15.xlsx&amp;sheet=U0&amp;row=1457&amp;col=6&amp;number=4.3&amp;sourceID=14","4.3")</f>
        <v>4.3</v>
      </c>
      <c r="G1457" s="4" t="str">
        <f>HYPERLINK("http://141.218.60.56/~jnz1568/getInfo.php?workbook=18_15.xlsx&amp;sheet=U0&amp;row=1457&amp;col=7&amp;number=0.377&amp;sourceID=14","0.377")</f>
        <v>0.377</v>
      </c>
    </row>
    <row r="1458" spans="1:7">
      <c r="A1458" s="3"/>
      <c r="B1458" s="3"/>
      <c r="C1458" s="3"/>
      <c r="D1458" s="3"/>
      <c r="E1458" s="3">
        <v>15</v>
      </c>
      <c r="F1458" s="4" t="str">
        <f>HYPERLINK("http://141.218.60.56/~jnz1568/getInfo.php?workbook=18_15.xlsx&amp;sheet=U0&amp;row=1458&amp;col=6&amp;number=4.4&amp;sourceID=14","4.4")</f>
        <v>4.4</v>
      </c>
      <c r="G1458" s="4" t="str">
        <f>HYPERLINK("http://141.218.60.56/~jnz1568/getInfo.php?workbook=18_15.xlsx&amp;sheet=U0&amp;row=1458&amp;col=7&amp;number=0.384&amp;sourceID=14","0.384")</f>
        <v>0.384</v>
      </c>
    </row>
    <row r="1459" spans="1:7">
      <c r="A1459" s="3"/>
      <c r="B1459" s="3"/>
      <c r="C1459" s="3"/>
      <c r="D1459" s="3"/>
      <c r="E1459" s="3">
        <v>16</v>
      </c>
      <c r="F1459" s="4" t="str">
        <f>HYPERLINK("http://141.218.60.56/~jnz1568/getInfo.php?workbook=18_15.xlsx&amp;sheet=U0&amp;row=1459&amp;col=6&amp;number=4.5&amp;sourceID=14","4.5")</f>
        <v>4.5</v>
      </c>
      <c r="G1459" s="4" t="str">
        <f>HYPERLINK("http://141.218.60.56/~jnz1568/getInfo.php?workbook=18_15.xlsx&amp;sheet=U0&amp;row=1459&amp;col=7&amp;number=0.386&amp;sourceID=14","0.386")</f>
        <v>0.386</v>
      </c>
    </row>
    <row r="1460" spans="1:7">
      <c r="A1460" s="3"/>
      <c r="B1460" s="3"/>
      <c r="C1460" s="3"/>
      <c r="D1460" s="3"/>
      <c r="E1460" s="3">
        <v>17</v>
      </c>
      <c r="F1460" s="4" t="str">
        <f>HYPERLINK("http://141.218.60.56/~jnz1568/getInfo.php?workbook=18_15.xlsx&amp;sheet=U0&amp;row=1460&amp;col=6&amp;number=4.6&amp;sourceID=14","4.6")</f>
        <v>4.6</v>
      </c>
      <c r="G1460" s="4" t="str">
        <f>HYPERLINK("http://141.218.60.56/~jnz1568/getInfo.php?workbook=18_15.xlsx&amp;sheet=U0&amp;row=1460&amp;col=7&amp;number=0.385&amp;sourceID=14","0.385")</f>
        <v>0.385</v>
      </c>
    </row>
    <row r="1461" spans="1:7">
      <c r="A1461" s="3"/>
      <c r="B1461" s="3"/>
      <c r="C1461" s="3"/>
      <c r="D1461" s="3"/>
      <c r="E1461" s="3">
        <v>18</v>
      </c>
      <c r="F1461" s="4" t="str">
        <f>HYPERLINK("http://141.218.60.56/~jnz1568/getInfo.php?workbook=18_15.xlsx&amp;sheet=U0&amp;row=1461&amp;col=6&amp;number=4.7&amp;sourceID=14","4.7")</f>
        <v>4.7</v>
      </c>
      <c r="G1461" s="4" t="str">
        <f>HYPERLINK("http://141.218.60.56/~jnz1568/getInfo.php?workbook=18_15.xlsx&amp;sheet=U0&amp;row=1461&amp;col=7&amp;number=0.382&amp;sourceID=14","0.382")</f>
        <v>0.382</v>
      </c>
    </row>
    <row r="1462" spans="1:7">
      <c r="A1462" s="3"/>
      <c r="B1462" s="3"/>
      <c r="C1462" s="3"/>
      <c r="D1462" s="3"/>
      <c r="E1462" s="3">
        <v>19</v>
      </c>
      <c r="F1462" s="4" t="str">
        <f>HYPERLINK("http://141.218.60.56/~jnz1568/getInfo.php?workbook=18_15.xlsx&amp;sheet=U0&amp;row=1462&amp;col=6&amp;number=4.8&amp;sourceID=14","4.8")</f>
        <v>4.8</v>
      </c>
      <c r="G1462" s="4" t="str">
        <f>HYPERLINK("http://141.218.60.56/~jnz1568/getInfo.php?workbook=18_15.xlsx&amp;sheet=U0&amp;row=1462&amp;col=7&amp;number=0.378&amp;sourceID=14","0.378")</f>
        <v>0.378</v>
      </c>
    </row>
    <row r="1463" spans="1:7">
      <c r="A1463" s="3"/>
      <c r="B1463" s="3"/>
      <c r="C1463" s="3"/>
      <c r="D1463" s="3"/>
      <c r="E1463" s="3">
        <v>20</v>
      </c>
      <c r="F1463" s="4" t="str">
        <f>HYPERLINK("http://141.218.60.56/~jnz1568/getInfo.php?workbook=18_15.xlsx&amp;sheet=U0&amp;row=1463&amp;col=6&amp;number=4.9&amp;sourceID=14","4.9")</f>
        <v>4.9</v>
      </c>
      <c r="G1463" s="4" t="str">
        <f>HYPERLINK("http://141.218.60.56/~jnz1568/getInfo.php?workbook=18_15.xlsx&amp;sheet=U0&amp;row=1463&amp;col=7&amp;number=0.371&amp;sourceID=14","0.371")</f>
        <v>0.371</v>
      </c>
    </row>
    <row r="1464" spans="1:7">
      <c r="A1464" s="3">
        <v>18</v>
      </c>
      <c r="B1464" s="3">
        <v>15</v>
      </c>
      <c r="C1464" s="3">
        <v>3</v>
      </c>
      <c r="D1464" s="3">
        <v>21</v>
      </c>
      <c r="E1464" s="3">
        <v>1</v>
      </c>
      <c r="F1464" s="4" t="str">
        <f>HYPERLINK("http://141.218.60.56/~jnz1568/getInfo.php?workbook=18_15.xlsx&amp;sheet=U0&amp;row=1464&amp;col=6&amp;number=3&amp;sourceID=14","3")</f>
        <v>3</v>
      </c>
      <c r="G1464" s="4" t="str">
        <f>HYPERLINK("http://141.218.60.56/~jnz1568/getInfo.php?workbook=18_15.xlsx&amp;sheet=U0&amp;row=1464&amp;col=7&amp;number=0.496&amp;sourceID=14","0.496")</f>
        <v>0.496</v>
      </c>
    </row>
    <row r="1465" spans="1:7">
      <c r="A1465" s="3"/>
      <c r="B1465" s="3"/>
      <c r="C1465" s="3"/>
      <c r="D1465" s="3"/>
      <c r="E1465" s="3">
        <v>2</v>
      </c>
      <c r="F1465" s="4" t="str">
        <f>HYPERLINK("http://141.218.60.56/~jnz1568/getInfo.php?workbook=18_15.xlsx&amp;sheet=U0&amp;row=1465&amp;col=6&amp;number=3.1&amp;sourceID=14","3.1")</f>
        <v>3.1</v>
      </c>
      <c r="G1465" s="4" t="str">
        <f>HYPERLINK("http://141.218.60.56/~jnz1568/getInfo.php?workbook=18_15.xlsx&amp;sheet=U0&amp;row=1465&amp;col=7&amp;number=0.498&amp;sourceID=14","0.498")</f>
        <v>0.498</v>
      </c>
    </row>
    <row r="1466" spans="1:7">
      <c r="A1466" s="3"/>
      <c r="B1466" s="3"/>
      <c r="C1466" s="3"/>
      <c r="D1466" s="3"/>
      <c r="E1466" s="3">
        <v>3</v>
      </c>
      <c r="F1466" s="4" t="str">
        <f>HYPERLINK("http://141.218.60.56/~jnz1568/getInfo.php?workbook=18_15.xlsx&amp;sheet=U0&amp;row=1466&amp;col=6&amp;number=3.2&amp;sourceID=14","3.2")</f>
        <v>3.2</v>
      </c>
      <c r="G1466" s="4" t="str">
        <f>HYPERLINK("http://141.218.60.56/~jnz1568/getInfo.php?workbook=18_15.xlsx&amp;sheet=U0&amp;row=1466&amp;col=7&amp;number=0.501&amp;sourceID=14","0.501")</f>
        <v>0.501</v>
      </c>
    </row>
    <row r="1467" spans="1:7">
      <c r="A1467" s="3"/>
      <c r="B1467" s="3"/>
      <c r="C1467" s="3"/>
      <c r="D1467" s="3"/>
      <c r="E1467" s="3">
        <v>4</v>
      </c>
      <c r="F1467" s="4" t="str">
        <f>HYPERLINK("http://141.218.60.56/~jnz1568/getInfo.php?workbook=18_15.xlsx&amp;sheet=U0&amp;row=1467&amp;col=6&amp;number=3.3&amp;sourceID=14","3.3")</f>
        <v>3.3</v>
      </c>
      <c r="G1467" s="4" t="str">
        <f>HYPERLINK("http://141.218.60.56/~jnz1568/getInfo.php?workbook=18_15.xlsx&amp;sheet=U0&amp;row=1467&amp;col=7&amp;number=0.505&amp;sourceID=14","0.505")</f>
        <v>0.505</v>
      </c>
    </row>
    <row r="1468" spans="1:7">
      <c r="A1468" s="3"/>
      <c r="B1468" s="3"/>
      <c r="C1468" s="3"/>
      <c r="D1468" s="3"/>
      <c r="E1468" s="3">
        <v>5</v>
      </c>
      <c r="F1468" s="4" t="str">
        <f>HYPERLINK("http://141.218.60.56/~jnz1568/getInfo.php?workbook=18_15.xlsx&amp;sheet=U0&amp;row=1468&amp;col=6&amp;number=3.4&amp;sourceID=14","3.4")</f>
        <v>3.4</v>
      </c>
      <c r="G1468" s="4" t="str">
        <f>HYPERLINK("http://141.218.60.56/~jnz1568/getInfo.php?workbook=18_15.xlsx&amp;sheet=U0&amp;row=1468&amp;col=7&amp;number=0.51&amp;sourceID=14","0.51")</f>
        <v>0.51</v>
      </c>
    </row>
    <row r="1469" spans="1:7">
      <c r="A1469" s="3"/>
      <c r="B1469" s="3"/>
      <c r="C1469" s="3"/>
      <c r="D1469" s="3"/>
      <c r="E1469" s="3">
        <v>6</v>
      </c>
      <c r="F1469" s="4" t="str">
        <f>HYPERLINK("http://141.218.60.56/~jnz1568/getInfo.php?workbook=18_15.xlsx&amp;sheet=U0&amp;row=1469&amp;col=6&amp;number=3.5&amp;sourceID=14","3.5")</f>
        <v>3.5</v>
      </c>
      <c r="G1469" s="4" t="str">
        <f>HYPERLINK("http://141.218.60.56/~jnz1568/getInfo.php?workbook=18_15.xlsx&amp;sheet=U0&amp;row=1469&amp;col=7&amp;number=0.515&amp;sourceID=14","0.515")</f>
        <v>0.515</v>
      </c>
    </row>
    <row r="1470" spans="1:7">
      <c r="A1470" s="3"/>
      <c r="B1470" s="3"/>
      <c r="C1470" s="3"/>
      <c r="D1470" s="3"/>
      <c r="E1470" s="3">
        <v>7</v>
      </c>
      <c r="F1470" s="4" t="str">
        <f>HYPERLINK("http://141.218.60.56/~jnz1568/getInfo.php?workbook=18_15.xlsx&amp;sheet=U0&amp;row=1470&amp;col=6&amp;number=3.6&amp;sourceID=14","3.6")</f>
        <v>3.6</v>
      </c>
      <c r="G1470" s="4" t="str">
        <f>HYPERLINK("http://141.218.60.56/~jnz1568/getInfo.php?workbook=18_15.xlsx&amp;sheet=U0&amp;row=1470&amp;col=7&amp;number=0.523&amp;sourceID=14","0.523")</f>
        <v>0.523</v>
      </c>
    </row>
    <row r="1471" spans="1:7">
      <c r="A1471" s="3"/>
      <c r="B1471" s="3"/>
      <c r="C1471" s="3"/>
      <c r="D1471" s="3"/>
      <c r="E1471" s="3">
        <v>8</v>
      </c>
      <c r="F1471" s="4" t="str">
        <f>HYPERLINK("http://141.218.60.56/~jnz1568/getInfo.php?workbook=18_15.xlsx&amp;sheet=U0&amp;row=1471&amp;col=6&amp;number=3.7&amp;sourceID=14","3.7")</f>
        <v>3.7</v>
      </c>
      <c r="G1471" s="4" t="str">
        <f>HYPERLINK("http://141.218.60.56/~jnz1568/getInfo.php?workbook=18_15.xlsx&amp;sheet=U0&amp;row=1471&amp;col=7&amp;number=0.531&amp;sourceID=14","0.531")</f>
        <v>0.531</v>
      </c>
    </row>
    <row r="1472" spans="1:7">
      <c r="A1472" s="3"/>
      <c r="B1472" s="3"/>
      <c r="C1472" s="3"/>
      <c r="D1472" s="3"/>
      <c r="E1472" s="3">
        <v>9</v>
      </c>
      <c r="F1472" s="4" t="str">
        <f>HYPERLINK("http://141.218.60.56/~jnz1568/getInfo.php?workbook=18_15.xlsx&amp;sheet=U0&amp;row=1472&amp;col=6&amp;number=3.8&amp;sourceID=14","3.8")</f>
        <v>3.8</v>
      </c>
      <c r="G1472" s="4" t="str">
        <f>HYPERLINK("http://141.218.60.56/~jnz1568/getInfo.php?workbook=18_15.xlsx&amp;sheet=U0&amp;row=1472&amp;col=7&amp;number=0.542&amp;sourceID=14","0.542")</f>
        <v>0.542</v>
      </c>
    </row>
    <row r="1473" spans="1:7">
      <c r="A1473" s="3"/>
      <c r="B1473" s="3"/>
      <c r="C1473" s="3"/>
      <c r="D1473" s="3"/>
      <c r="E1473" s="3">
        <v>10</v>
      </c>
      <c r="F1473" s="4" t="str">
        <f>HYPERLINK("http://141.218.60.56/~jnz1568/getInfo.php?workbook=18_15.xlsx&amp;sheet=U0&amp;row=1473&amp;col=6&amp;number=3.9&amp;sourceID=14","3.9")</f>
        <v>3.9</v>
      </c>
      <c r="G1473" s="4" t="str">
        <f>HYPERLINK("http://141.218.60.56/~jnz1568/getInfo.php?workbook=18_15.xlsx&amp;sheet=U0&amp;row=1473&amp;col=7&amp;number=0.554&amp;sourceID=14","0.554")</f>
        <v>0.554</v>
      </c>
    </row>
    <row r="1474" spans="1:7">
      <c r="A1474" s="3"/>
      <c r="B1474" s="3"/>
      <c r="C1474" s="3"/>
      <c r="D1474" s="3"/>
      <c r="E1474" s="3">
        <v>11</v>
      </c>
      <c r="F1474" s="4" t="str">
        <f>HYPERLINK("http://141.218.60.56/~jnz1568/getInfo.php?workbook=18_15.xlsx&amp;sheet=U0&amp;row=1474&amp;col=6&amp;number=4&amp;sourceID=14","4")</f>
        <v>4</v>
      </c>
      <c r="G1474" s="4" t="str">
        <f>HYPERLINK("http://141.218.60.56/~jnz1568/getInfo.php?workbook=18_15.xlsx&amp;sheet=U0&amp;row=1474&amp;col=7&amp;number=0.569&amp;sourceID=14","0.569")</f>
        <v>0.569</v>
      </c>
    </row>
    <row r="1475" spans="1:7">
      <c r="A1475" s="3"/>
      <c r="B1475" s="3"/>
      <c r="C1475" s="3"/>
      <c r="D1475" s="3"/>
      <c r="E1475" s="3">
        <v>12</v>
      </c>
      <c r="F1475" s="4" t="str">
        <f>HYPERLINK("http://141.218.60.56/~jnz1568/getInfo.php?workbook=18_15.xlsx&amp;sheet=U0&amp;row=1475&amp;col=6&amp;number=4.1&amp;sourceID=14","4.1")</f>
        <v>4.1</v>
      </c>
      <c r="G1475" s="4" t="str">
        <f>HYPERLINK("http://141.218.60.56/~jnz1568/getInfo.php?workbook=18_15.xlsx&amp;sheet=U0&amp;row=1475&amp;col=7&amp;number=0.587&amp;sourceID=14","0.587")</f>
        <v>0.587</v>
      </c>
    </row>
    <row r="1476" spans="1:7">
      <c r="A1476" s="3"/>
      <c r="B1476" s="3"/>
      <c r="C1476" s="3"/>
      <c r="D1476" s="3"/>
      <c r="E1476" s="3">
        <v>13</v>
      </c>
      <c r="F1476" s="4" t="str">
        <f>HYPERLINK("http://141.218.60.56/~jnz1568/getInfo.php?workbook=18_15.xlsx&amp;sheet=U0&amp;row=1476&amp;col=6&amp;number=4.2&amp;sourceID=14","4.2")</f>
        <v>4.2</v>
      </c>
      <c r="G1476" s="4" t="str">
        <f>HYPERLINK("http://141.218.60.56/~jnz1568/getInfo.php?workbook=18_15.xlsx&amp;sheet=U0&amp;row=1476&amp;col=7&amp;number=0.606&amp;sourceID=14","0.606")</f>
        <v>0.606</v>
      </c>
    </row>
    <row r="1477" spans="1:7">
      <c r="A1477" s="3"/>
      <c r="B1477" s="3"/>
      <c r="C1477" s="3"/>
      <c r="D1477" s="3"/>
      <c r="E1477" s="3">
        <v>14</v>
      </c>
      <c r="F1477" s="4" t="str">
        <f>HYPERLINK("http://141.218.60.56/~jnz1568/getInfo.php?workbook=18_15.xlsx&amp;sheet=U0&amp;row=1477&amp;col=6&amp;number=4.3&amp;sourceID=14","4.3")</f>
        <v>4.3</v>
      </c>
      <c r="G1477" s="4" t="str">
        <f>HYPERLINK("http://141.218.60.56/~jnz1568/getInfo.php?workbook=18_15.xlsx&amp;sheet=U0&amp;row=1477&amp;col=7&amp;number=0.624&amp;sourceID=14","0.624")</f>
        <v>0.624</v>
      </c>
    </row>
    <row r="1478" spans="1:7">
      <c r="A1478" s="3"/>
      <c r="B1478" s="3"/>
      <c r="C1478" s="3"/>
      <c r="D1478" s="3"/>
      <c r="E1478" s="3">
        <v>15</v>
      </c>
      <c r="F1478" s="4" t="str">
        <f>HYPERLINK("http://141.218.60.56/~jnz1568/getInfo.php?workbook=18_15.xlsx&amp;sheet=U0&amp;row=1478&amp;col=6&amp;number=4.4&amp;sourceID=14","4.4")</f>
        <v>4.4</v>
      </c>
      <c r="G1478" s="4" t="str">
        <f>HYPERLINK("http://141.218.60.56/~jnz1568/getInfo.php?workbook=18_15.xlsx&amp;sheet=U0&amp;row=1478&amp;col=7&amp;number=0.636&amp;sourceID=14","0.636")</f>
        <v>0.636</v>
      </c>
    </row>
    <row r="1479" spans="1:7">
      <c r="A1479" s="3"/>
      <c r="B1479" s="3"/>
      <c r="C1479" s="3"/>
      <c r="D1479" s="3"/>
      <c r="E1479" s="3">
        <v>16</v>
      </c>
      <c r="F1479" s="4" t="str">
        <f>HYPERLINK("http://141.218.60.56/~jnz1568/getInfo.php?workbook=18_15.xlsx&amp;sheet=U0&amp;row=1479&amp;col=6&amp;number=4.5&amp;sourceID=14","4.5")</f>
        <v>4.5</v>
      </c>
      <c r="G1479" s="4" t="str">
        <f>HYPERLINK("http://141.218.60.56/~jnz1568/getInfo.php?workbook=18_15.xlsx&amp;sheet=U0&amp;row=1479&amp;col=7&amp;number=0.64&amp;sourceID=14","0.64")</f>
        <v>0.64</v>
      </c>
    </row>
    <row r="1480" spans="1:7">
      <c r="A1480" s="3"/>
      <c r="B1480" s="3"/>
      <c r="C1480" s="3"/>
      <c r="D1480" s="3"/>
      <c r="E1480" s="3">
        <v>17</v>
      </c>
      <c r="F1480" s="4" t="str">
        <f>HYPERLINK("http://141.218.60.56/~jnz1568/getInfo.php?workbook=18_15.xlsx&amp;sheet=U0&amp;row=1480&amp;col=6&amp;number=4.6&amp;sourceID=14","4.6")</f>
        <v>4.6</v>
      </c>
      <c r="G1480" s="4" t="str">
        <f>HYPERLINK("http://141.218.60.56/~jnz1568/getInfo.php?workbook=18_15.xlsx&amp;sheet=U0&amp;row=1480&amp;col=7&amp;number=0.636&amp;sourceID=14","0.636")</f>
        <v>0.636</v>
      </c>
    </row>
    <row r="1481" spans="1:7">
      <c r="A1481" s="3"/>
      <c r="B1481" s="3"/>
      <c r="C1481" s="3"/>
      <c r="D1481" s="3"/>
      <c r="E1481" s="3">
        <v>18</v>
      </c>
      <c r="F1481" s="4" t="str">
        <f>HYPERLINK("http://141.218.60.56/~jnz1568/getInfo.php?workbook=18_15.xlsx&amp;sheet=U0&amp;row=1481&amp;col=6&amp;number=4.7&amp;sourceID=14","4.7")</f>
        <v>4.7</v>
      </c>
      <c r="G1481" s="4" t="str">
        <f>HYPERLINK("http://141.218.60.56/~jnz1568/getInfo.php?workbook=18_15.xlsx&amp;sheet=U0&amp;row=1481&amp;col=7&amp;number=0.63&amp;sourceID=14","0.63")</f>
        <v>0.63</v>
      </c>
    </row>
    <row r="1482" spans="1:7">
      <c r="A1482" s="3"/>
      <c r="B1482" s="3"/>
      <c r="C1482" s="3"/>
      <c r="D1482" s="3"/>
      <c r="E1482" s="3">
        <v>19</v>
      </c>
      <c r="F1482" s="4" t="str">
        <f>HYPERLINK("http://141.218.60.56/~jnz1568/getInfo.php?workbook=18_15.xlsx&amp;sheet=U0&amp;row=1482&amp;col=6&amp;number=4.8&amp;sourceID=14","4.8")</f>
        <v>4.8</v>
      </c>
      <c r="G1482" s="4" t="str">
        <f>HYPERLINK("http://141.218.60.56/~jnz1568/getInfo.php?workbook=18_15.xlsx&amp;sheet=U0&amp;row=1482&amp;col=7&amp;number=0.623&amp;sourceID=14","0.623")</f>
        <v>0.623</v>
      </c>
    </row>
    <row r="1483" spans="1:7">
      <c r="A1483" s="3"/>
      <c r="B1483" s="3"/>
      <c r="C1483" s="3"/>
      <c r="D1483" s="3"/>
      <c r="E1483" s="3">
        <v>20</v>
      </c>
      <c r="F1483" s="4" t="str">
        <f>HYPERLINK("http://141.218.60.56/~jnz1568/getInfo.php?workbook=18_15.xlsx&amp;sheet=U0&amp;row=1483&amp;col=6&amp;number=4.9&amp;sourceID=14","4.9")</f>
        <v>4.9</v>
      </c>
      <c r="G1483" s="4" t="str">
        <f>HYPERLINK("http://141.218.60.56/~jnz1568/getInfo.php?workbook=18_15.xlsx&amp;sheet=U0&amp;row=1483&amp;col=7&amp;number=0.611&amp;sourceID=14","0.611")</f>
        <v>0.611</v>
      </c>
    </row>
    <row r="1484" spans="1:7">
      <c r="A1484" s="3">
        <v>18</v>
      </c>
      <c r="B1484" s="3">
        <v>15</v>
      </c>
      <c r="C1484" s="3">
        <v>3</v>
      </c>
      <c r="D1484" s="3">
        <v>22</v>
      </c>
      <c r="E1484" s="3">
        <v>1</v>
      </c>
      <c r="F1484" s="4" t="str">
        <f>HYPERLINK("http://141.218.60.56/~jnz1568/getInfo.php?workbook=18_15.xlsx&amp;sheet=U0&amp;row=1484&amp;col=6&amp;number=3&amp;sourceID=14","3")</f>
        <v>3</v>
      </c>
      <c r="G1484" s="4" t="str">
        <f>HYPERLINK("http://141.218.60.56/~jnz1568/getInfo.php?workbook=18_15.xlsx&amp;sheet=U0&amp;row=1484&amp;col=7&amp;number=1.09&amp;sourceID=14","1.09")</f>
        <v>1.09</v>
      </c>
    </row>
    <row r="1485" spans="1:7">
      <c r="A1485" s="3"/>
      <c r="B1485" s="3"/>
      <c r="C1485" s="3"/>
      <c r="D1485" s="3"/>
      <c r="E1485" s="3">
        <v>2</v>
      </c>
      <c r="F1485" s="4" t="str">
        <f>HYPERLINK("http://141.218.60.56/~jnz1568/getInfo.php?workbook=18_15.xlsx&amp;sheet=U0&amp;row=1485&amp;col=6&amp;number=3.1&amp;sourceID=14","3.1")</f>
        <v>3.1</v>
      </c>
      <c r="G1485" s="4" t="str">
        <f>HYPERLINK("http://141.218.60.56/~jnz1568/getInfo.php?workbook=18_15.xlsx&amp;sheet=U0&amp;row=1485&amp;col=7&amp;number=1.13&amp;sourceID=14","1.13")</f>
        <v>1.13</v>
      </c>
    </row>
    <row r="1486" spans="1:7">
      <c r="A1486" s="3"/>
      <c r="B1486" s="3"/>
      <c r="C1486" s="3"/>
      <c r="D1486" s="3"/>
      <c r="E1486" s="3">
        <v>3</v>
      </c>
      <c r="F1486" s="4" t="str">
        <f>HYPERLINK("http://141.218.60.56/~jnz1568/getInfo.php?workbook=18_15.xlsx&amp;sheet=U0&amp;row=1486&amp;col=6&amp;number=3.2&amp;sourceID=14","3.2")</f>
        <v>3.2</v>
      </c>
      <c r="G1486" s="4" t="str">
        <f>HYPERLINK("http://141.218.60.56/~jnz1568/getInfo.php?workbook=18_15.xlsx&amp;sheet=U0&amp;row=1486&amp;col=7&amp;number=1.16&amp;sourceID=14","1.16")</f>
        <v>1.16</v>
      </c>
    </row>
    <row r="1487" spans="1:7">
      <c r="A1487" s="3"/>
      <c r="B1487" s="3"/>
      <c r="C1487" s="3"/>
      <c r="D1487" s="3"/>
      <c r="E1487" s="3">
        <v>4</v>
      </c>
      <c r="F1487" s="4" t="str">
        <f>HYPERLINK("http://141.218.60.56/~jnz1568/getInfo.php?workbook=18_15.xlsx&amp;sheet=U0&amp;row=1487&amp;col=6&amp;number=3.3&amp;sourceID=14","3.3")</f>
        <v>3.3</v>
      </c>
      <c r="G1487" s="4" t="str">
        <f>HYPERLINK("http://141.218.60.56/~jnz1568/getInfo.php?workbook=18_15.xlsx&amp;sheet=U0&amp;row=1487&amp;col=7&amp;number=1.21&amp;sourceID=14","1.21")</f>
        <v>1.21</v>
      </c>
    </row>
    <row r="1488" spans="1:7">
      <c r="A1488" s="3"/>
      <c r="B1488" s="3"/>
      <c r="C1488" s="3"/>
      <c r="D1488" s="3"/>
      <c r="E1488" s="3">
        <v>5</v>
      </c>
      <c r="F1488" s="4" t="str">
        <f>HYPERLINK("http://141.218.60.56/~jnz1568/getInfo.php?workbook=18_15.xlsx&amp;sheet=U0&amp;row=1488&amp;col=6&amp;number=3.4&amp;sourceID=14","3.4")</f>
        <v>3.4</v>
      </c>
      <c r="G1488" s="4" t="str">
        <f>HYPERLINK("http://141.218.60.56/~jnz1568/getInfo.php?workbook=18_15.xlsx&amp;sheet=U0&amp;row=1488&amp;col=7&amp;number=1.27&amp;sourceID=14","1.27")</f>
        <v>1.27</v>
      </c>
    </row>
    <row r="1489" spans="1:7">
      <c r="A1489" s="3"/>
      <c r="B1489" s="3"/>
      <c r="C1489" s="3"/>
      <c r="D1489" s="3"/>
      <c r="E1489" s="3">
        <v>6</v>
      </c>
      <c r="F1489" s="4" t="str">
        <f>HYPERLINK("http://141.218.60.56/~jnz1568/getInfo.php?workbook=18_15.xlsx&amp;sheet=U0&amp;row=1489&amp;col=6&amp;number=3.5&amp;sourceID=14","3.5")</f>
        <v>3.5</v>
      </c>
      <c r="G1489" s="4" t="str">
        <f>HYPERLINK("http://141.218.60.56/~jnz1568/getInfo.php?workbook=18_15.xlsx&amp;sheet=U0&amp;row=1489&amp;col=7&amp;number=1.34&amp;sourceID=14","1.34")</f>
        <v>1.34</v>
      </c>
    </row>
    <row r="1490" spans="1:7">
      <c r="A1490" s="3"/>
      <c r="B1490" s="3"/>
      <c r="C1490" s="3"/>
      <c r="D1490" s="3"/>
      <c r="E1490" s="3">
        <v>7</v>
      </c>
      <c r="F1490" s="4" t="str">
        <f>HYPERLINK("http://141.218.60.56/~jnz1568/getInfo.php?workbook=18_15.xlsx&amp;sheet=U0&amp;row=1490&amp;col=6&amp;number=3.6&amp;sourceID=14","3.6")</f>
        <v>3.6</v>
      </c>
      <c r="G1490" s="4" t="str">
        <f>HYPERLINK("http://141.218.60.56/~jnz1568/getInfo.php?workbook=18_15.xlsx&amp;sheet=U0&amp;row=1490&amp;col=7&amp;number=1.43&amp;sourceID=14","1.43")</f>
        <v>1.43</v>
      </c>
    </row>
    <row r="1491" spans="1:7">
      <c r="A1491" s="3"/>
      <c r="B1491" s="3"/>
      <c r="C1491" s="3"/>
      <c r="D1491" s="3"/>
      <c r="E1491" s="3">
        <v>8</v>
      </c>
      <c r="F1491" s="4" t="str">
        <f>HYPERLINK("http://141.218.60.56/~jnz1568/getInfo.php?workbook=18_15.xlsx&amp;sheet=U0&amp;row=1491&amp;col=6&amp;number=3.7&amp;sourceID=14","3.7")</f>
        <v>3.7</v>
      </c>
      <c r="G1491" s="4" t="str">
        <f>HYPERLINK("http://141.218.60.56/~jnz1568/getInfo.php?workbook=18_15.xlsx&amp;sheet=U0&amp;row=1491&amp;col=7&amp;number=1.53&amp;sourceID=14","1.53")</f>
        <v>1.53</v>
      </c>
    </row>
    <row r="1492" spans="1:7">
      <c r="A1492" s="3"/>
      <c r="B1492" s="3"/>
      <c r="C1492" s="3"/>
      <c r="D1492" s="3"/>
      <c r="E1492" s="3">
        <v>9</v>
      </c>
      <c r="F1492" s="4" t="str">
        <f>HYPERLINK("http://141.218.60.56/~jnz1568/getInfo.php?workbook=18_15.xlsx&amp;sheet=U0&amp;row=1492&amp;col=6&amp;number=3.8&amp;sourceID=14","3.8")</f>
        <v>3.8</v>
      </c>
      <c r="G1492" s="4" t="str">
        <f>HYPERLINK("http://141.218.60.56/~jnz1568/getInfo.php?workbook=18_15.xlsx&amp;sheet=U0&amp;row=1492&amp;col=7&amp;number=1.66&amp;sourceID=14","1.66")</f>
        <v>1.66</v>
      </c>
    </row>
    <row r="1493" spans="1:7">
      <c r="A1493" s="3"/>
      <c r="B1493" s="3"/>
      <c r="C1493" s="3"/>
      <c r="D1493" s="3"/>
      <c r="E1493" s="3">
        <v>10</v>
      </c>
      <c r="F1493" s="4" t="str">
        <f>HYPERLINK("http://141.218.60.56/~jnz1568/getInfo.php?workbook=18_15.xlsx&amp;sheet=U0&amp;row=1493&amp;col=6&amp;number=3.9&amp;sourceID=14","3.9")</f>
        <v>3.9</v>
      </c>
      <c r="G1493" s="4" t="str">
        <f>HYPERLINK("http://141.218.60.56/~jnz1568/getInfo.php?workbook=18_15.xlsx&amp;sheet=U0&amp;row=1493&amp;col=7&amp;number=1.8&amp;sourceID=14","1.8")</f>
        <v>1.8</v>
      </c>
    </row>
    <row r="1494" spans="1:7">
      <c r="A1494" s="3"/>
      <c r="B1494" s="3"/>
      <c r="C1494" s="3"/>
      <c r="D1494" s="3"/>
      <c r="E1494" s="3">
        <v>11</v>
      </c>
      <c r="F1494" s="4" t="str">
        <f>HYPERLINK("http://141.218.60.56/~jnz1568/getInfo.php?workbook=18_15.xlsx&amp;sheet=U0&amp;row=1494&amp;col=6&amp;number=4&amp;sourceID=14","4")</f>
        <v>4</v>
      </c>
      <c r="G1494" s="4" t="str">
        <f>HYPERLINK("http://141.218.60.56/~jnz1568/getInfo.php?workbook=18_15.xlsx&amp;sheet=U0&amp;row=1494&amp;col=7&amp;number=1.94&amp;sourceID=14","1.94")</f>
        <v>1.94</v>
      </c>
    </row>
    <row r="1495" spans="1:7">
      <c r="A1495" s="3"/>
      <c r="B1495" s="3"/>
      <c r="C1495" s="3"/>
      <c r="D1495" s="3"/>
      <c r="E1495" s="3">
        <v>12</v>
      </c>
      <c r="F1495" s="4" t="str">
        <f>HYPERLINK("http://141.218.60.56/~jnz1568/getInfo.php?workbook=18_15.xlsx&amp;sheet=U0&amp;row=1495&amp;col=6&amp;number=4.1&amp;sourceID=14","4.1")</f>
        <v>4.1</v>
      </c>
      <c r="G1495" s="4" t="str">
        <f>HYPERLINK("http://141.218.60.56/~jnz1568/getInfo.php?workbook=18_15.xlsx&amp;sheet=U0&amp;row=1495&amp;col=7&amp;number=2.09&amp;sourceID=14","2.09")</f>
        <v>2.09</v>
      </c>
    </row>
    <row r="1496" spans="1:7">
      <c r="A1496" s="3"/>
      <c r="B1496" s="3"/>
      <c r="C1496" s="3"/>
      <c r="D1496" s="3"/>
      <c r="E1496" s="3">
        <v>13</v>
      </c>
      <c r="F1496" s="4" t="str">
        <f>HYPERLINK("http://141.218.60.56/~jnz1568/getInfo.php?workbook=18_15.xlsx&amp;sheet=U0&amp;row=1496&amp;col=6&amp;number=4.2&amp;sourceID=14","4.2")</f>
        <v>4.2</v>
      </c>
      <c r="G1496" s="4" t="str">
        <f>HYPERLINK("http://141.218.60.56/~jnz1568/getInfo.php?workbook=18_15.xlsx&amp;sheet=U0&amp;row=1496&amp;col=7&amp;number=2.21&amp;sourceID=14","2.21")</f>
        <v>2.21</v>
      </c>
    </row>
    <row r="1497" spans="1:7">
      <c r="A1497" s="3"/>
      <c r="B1497" s="3"/>
      <c r="C1497" s="3"/>
      <c r="D1497" s="3"/>
      <c r="E1497" s="3">
        <v>14</v>
      </c>
      <c r="F1497" s="4" t="str">
        <f>HYPERLINK("http://141.218.60.56/~jnz1568/getInfo.php?workbook=18_15.xlsx&amp;sheet=U0&amp;row=1497&amp;col=6&amp;number=4.3&amp;sourceID=14","4.3")</f>
        <v>4.3</v>
      </c>
      <c r="G1497" s="4" t="str">
        <f>HYPERLINK("http://141.218.60.56/~jnz1568/getInfo.php?workbook=18_15.xlsx&amp;sheet=U0&amp;row=1497&amp;col=7&amp;number=2.28&amp;sourceID=14","2.28")</f>
        <v>2.28</v>
      </c>
    </row>
    <row r="1498" spans="1:7">
      <c r="A1498" s="3"/>
      <c r="B1498" s="3"/>
      <c r="C1498" s="3"/>
      <c r="D1498" s="3"/>
      <c r="E1498" s="3">
        <v>15</v>
      </c>
      <c r="F1498" s="4" t="str">
        <f>HYPERLINK("http://141.218.60.56/~jnz1568/getInfo.php?workbook=18_15.xlsx&amp;sheet=U0&amp;row=1498&amp;col=6&amp;number=4.4&amp;sourceID=14","4.4")</f>
        <v>4.4</v>
      </c>
      <c r="G1498" s="4" t="str">
        <f>HYPERLINK("http://141.218.60.56/~jnz1568/getInfo.php?workbook=18_15.xlsx&amp;sheet=U0&amp;row=1498&amp;col=7&amp;number=2.31&amp;sourceID=14","2.31")</f>
        <v>2.31</v>
      </c>
    </row>
    <row r="1499" spans="1:7">
      <c r="A1499" s="3"/>
      <c r="B1499" s="3"/>
      <c r="C1499" s="3"/>
      <c r="D1499" s="3"/>
      <c r="E1499" s="3">
        <v>16</v>
      </c>
      <c r="F1499" s="4" t="str">
        <f>HYPERLINK("http://141.218.60.56/~jnz1568/getInfo.php?workbook=18_15.xlsx&amp;sheet=U0&amp;row=1499&amp;col=6&amp;number=4.5&amp;sourceID=14","4.5")</f>
        <v>4.5</v>
      </c>
      <c r="G1499" s="4" t="str">
        <f>HYPERLINK("http://141.218.60.56/~jnz1568/getInfo.php?workbook=18_15.xlsx&amp;sheet=U0&amp;row=1499&amp;col=7&amp;number=2.28&amp;sourceID=14","2.28")</f>
        <v>2.28</v>
      </c>
    </row>
    <row r="1500" spans="1:7">
      <c r="A1500" s="3"/>
      <c r="B1500" s="3"/>
      <c r="C1500" s="3"/>
      <c r="D1500" s="3"/>
      <c r="E1500" s="3">
        <v>17</v>
      </c>
      <c r="F1500" s="4" t="str">
        <f>HYPERLINK("http://141.218.60.56/~jnz1568/getInfo.php?workbook=18_15.xlsx&amp;sheet=U0&amp;row=1500&amp;col=6&amp;number=4.6&amp;sourceID=14","4.6")</f>
        <v>4.6</v>
      </c>
      <c r="G1500" s="4" t="str">
        <f>HYPERLINK("http://141.218.60.56/~jnz1568/getInfo.php?workbook=18_15.xlsx&amp;sheet=U0&amp;row=1500&amp;col=7&amp;number=2.2&amp;sourceID=14","2.2")</f>
        <v>2.2</v>
      </c>
    </row>
    <row r="1501" spans="1:7">
      <c r="A1501" s="3"/>
      <c r="B1501" s="3"/>
      <c r="C1501" s="3"/>
      <c r="D1501" s="3"/>
      <c r="E1501" s="3">
        <v>18</v>
      </c>
      <c r="F1501" s="4" t="str">
        <f>HYPERLINK("http://141.218.60.56/~jnz1568/getInfo.php?workbook=18_15.xlsx&amp;sheet=U0&amp;row=1501&amp;col=6&amp;number=4.7&amp;sourceID=14","4.7")</f>
        <v>4.7</v>
      </c>
      <c r="G1501" s="4" t="str">
        <f>HYPERLINK("http://141.218.60.56/~jnz1568/getInfo.php?workbook=18_15.xlsx&amp;sheet=U0&amp;row=1501&amp;col=7&amp;number=2.09&amp;sourceID=14","2.09")</f>
        <v>2.09</v>
      </c>
    </row>
    <row r="1502" spans="1:7">
      <c r="A1502" s="3"/>
      <c r="B1502" s="3"/>
      <c r="C1502" s="3"/>
      <c r="D1502" s="3"/>
      <c r="E1502" s="3">
        <v>19</v>
      </c>
      <c r="F1502" s="4" t="str">
        <f>HYPERLINK("http://141.218.60.56/~jnz1568/getInfo.php?workbook=18_15.xlsx&amp;sheet=U0&amp;row=1502&amp;col=6&amp;number=4.8&amp;sourceID=14","4.8")</f>
        <v>4.8</v>
      </c>
      <c r="G1502" s="4" t="str">
        <f>HYPERLINK("http://141.218.60.56/~jnz1568/getInfo.php?workbook=18_15.xlsx&amp;sheet=U0&amp;row=1502&amp;col=7&amp;number=1.97&amp;sourceID=14","1.97")</f>
        <v>1.97</v>
      </c>
    </row>
    <row r="1503" spans="1:7">
      <c r="A1503" s="3"/>
      <c r="B1503" s="3"/>
      <c r="C1503" s="3"/>
      <c r="D1503" s="3"/>
      <c r="E1503" s="3">
        <v>20</v>
      </c>
      <c r="F1503" s="4" t="str">
        <f>HYPERLINK("http://141.218.60.56/~jnz1568/getInfo.php?workbook=18_15.xlsx&amp;sheet=U0&amp;row=1503&amp;col=6&amp;number=4.9&amp;sourceID=14","4.9")</f>
        <v>4.9</v>
      </c>
      <c r="G1503" s="4" t="str">
        <f>HYPERLINK("http://141.218.60.56/~jnz1568/getInfo.php?workbook=18_15.xlsx&amp;sheet=U0&amp;row=1503&amp;col=7&amp;number=1.85&amp;sourceID=14","1.85")</f>
        <v>1.85</v>
      </c>
    </row>
    <row r="1504" spans="1:7">
      <c r="A1504" s="3">
        <v>18</v>
      </c>
      <c r="B1504" s="3">
        <v>15</v>
      </c>
      <c r="C1504" s="3">
        <v>3</v>
      </c>
      <c r="D1504" s="3">
        <v>23</v>
      </c>
      <c r="E1504" s="3">
        <v>1</v>
      </c>
      <c r="F1504" s="4" t="str">
        <f>HYPERLINK("http://141.218.60.56/~jnz1568/getInfo.php?workbook=18_15.xlsx&amp;sheet=U0&amp;row=1504&amp;col=6&amp;number=3&amp;sourceID=14","3")</f>
        <v>3</v>
      </c>
      <c r="G1504" s="4" t="str">
        <f>HYPERLINK("http://141.218.60.56/~jnz1568/getInfo.php?workbook=18_15.xlsx&amp;sheet=U0&amp;row=1504&amp;col=7&amp;number=1.21&amp;sourceID=14","1.21")</f>
        <v>1.21</v>
      </c>
    </row>
    <row r="1505" spans="1:7">
      <c r="A1505" s="3"/>
      <c r="B1505" s="3"/>
      <c r="C1505" s="3"/>
      <c r="D1505" s="3"/>
      <c r="E1505" s="3">
        <v>2</v>
      </c>
      <c r="F1505" s="4" t="str">
        <f>HYPERLINK("http://141.218.60.56/~jnz1568/getInfo.php?workbook=18_15.xlsx&amp;sheet=U0&amp;row=1505&amp;col=6&amp;number=3.1&amp;sourceID=14","3.1")</f>
        <v>3.1</v>
      </c>
      <c r="G1505" s="4" t="str">
        <f>HYPERLINK("http://141.218.60.56/~jnz1568/getInfo.php?workbook=18_15.xlsx&amp;sheet=U0&amp;row=1505&amp;col=7&amp;number=1.27&amp;sourceID=14","1.27")</f>
        <v>1.27</v>
      </c>
    </row>
    <row r="1506" spans="1:7">
      <c r="A1506" s="3"/>
      <c r="B1506" s="3"/>
      <c r="C1506" s="3"/>
      <c r="D1506" s="3"/>
      <c r="E1506" s="3">
        <v>3</v>
      </c>
      <c r="F1506" s="4" t="str">
        <f>HYPERLINK("http://141.218.60.56/~jnz1568/getInfo.php?workbook=18_15.xlsx&amp;sheet=U0&amp;row=1506&amp;col=6&amp;number=3.2&amp;sourceID=14","3.2")</f>
        <v>3.2</v>
      </c>
      <c r="G1506" s="4" t="str">
        <f>HYPERLINK("http://141.218.60.56/~jnz1568/getInfo.php?workbook=18_15.xlsx&amp;sheet=U0&amp;row=1506&amp;col=7&amp;number=1.35&amp;sourceID=14","1.35")</f>
        <v>1.35</v>
      </c>
    </row>
    <row r="1507" spans="1:7">
      <c r="A1507" s="3"/>
      <c r="B1507" s="3"/>
      <c r="C1507" s="3"/>
      <c r="D1507" s="3"/>
      <c r="E1507" s="3">
        <v>4</v>
      </c>
      <c r="F1507" s="4" t="str">
        <f>HYPERLINK("http://141.218.60.56/~jnz1568/getInfo.php?workbook=18_15.xlsx&amp;sheet=U0&amp;row=1507&amp;col=6&amp;number=3.3&amp;sourceID=14","3.3")</f>
        <v>3.3</v>
      </c>
      <c r="G1507" s="4" t="str">
        <f>HYPERLINK("http://141.218.60.56/~jnz1568/getInfo.php?workbook=18_15.xlsx&amp;sheet=U0&amp;row=1507&amp;col=7&amp;number=1.45&amp;sourceID=14","1.45")</f>
        <v>1.45</v>
      </c>
    </row>
    <row r="1508" spans="1:7">
      <c r="A1508" s="3"/>
      <c r="B1508" s="3"/>
      <c r="C1508" s="3"/>
      <c r="D1508" s="3"/>
      <c r="E1508" s="3">
        <v>5</v>
      </c>
      <c r="F1508" s="4" t="str">
        <f>HYPERLINK("http://141.218.60.56/~jnz1568/getInfo.php?workbook=18_15.xlsx&amp;sheet=U0&amp;row=1508&amp;col=6&amp;number=3.4&amp;sourceID=14","3.4")</f>
        <v>3.4</v>
      </c>
      <c r="G1508" s="4" t="str">
        <f>HYPERLINK("http://141.218.60.56/~jnz1568/getInfo.php?workbook=18_15.xlsx&amp;sheet=U0&amp;row=1508&amp;col=7&amp;number=1.57&amp;sourceID=14","1.57")</f>
        <v>1.57</v>
      </c>
    </row>
    <row r="1509" spans="1:7">
      <c r="A1509" s="3"/>
      <c r="B1509" s="3"/>
      <c r="C1509" s="3"/>
      <c r="D1509" s="3"/>
      <c r="E1509" s="3">
        <v>6</v>
      </c>
      <c r="F1509" s="4" t="str">
        <f>HYPERLINK("http://141.218.60.56/~jnz1568/getInfo.php?workbook=18_15.xlsx&amp;sheet=U0&amp;row=1509&amp;col=6&amp;number=3.5&amp;sourceID=14","3.5")</f>
        <v>3.5</v>
      </c>
      <c r="G1509" s="4" t="str">
        <f>HYPERLINK("http://141.218.60.56/~jnz1568/getInfo.php?workbook=18_15.xlsx&amp;sheet=U0&amp;row=1509&amp;col=7&amp;number=1.71&amp;sourceID=14","1.71")</f>
        <v>1.71</v>
      </c>
    </row>
    <row r="1510" spans="1:7">
      <c r="A1510" s="3"/>
      <c r="B1510" s="3"/>
      <c r="C1510" s="3"/>
      <c r="D1510" s="3"/>
      <c r="E1510" s="3">
        <v>7</v>
      </c>
      <c r="F1510" s="4" t="str">
        <f>HYPERLINK("http://141.218.60.56/~jnz1568/getInfo.php?workbook=18_15.xlsx&amp;sheet=U0&amp;row=1510&amp;col=6&amp;number=3.6&amp;sourceID=14","3.6")</f>
        <v>3.6</v>
      </c>
      <c r="G1510" s="4" t="str">
        <f>HYPERLINK("http://141.218.60.56/~jnz1568/getInfo.php?workbook=18_15.xlsx&amp;sheet=U0&amp;row=1510&amp;col=7&amp;number=1.89&amp;sourceID=14","1.89")</f>
        <v>1.89</v>
      </c>
    </row>
    <row r="1511" spans="1:7">
      <c r="A1511" s="3"/>
      <c r="B1511" s="3"/>
      <c r="C1511" s="3"/>
      <c r="D1511" s="3"/>
      <c r="E1511" s="3">
        <v>8</v>
      </c>
      <c r="F1511" s="4" t="str">
        <f>HYPERLINK("http://141.218.60.56/~jnz1568/getInfo.php?workbook=18_15.xlsx&amp;sheet=U0&amp;row=1511&amp;col=6&amp;number=3.7&amp;sourceID=14","3.7")</f>
        <v>3.7</v>
      </c>
      <c r="G1511" s="4" t="str">
        <f>HYPERLINK("http://141.218.60.56/~jnz1568/getInfo.php?workbook=18_15.xlsx&amp;sheet=U0&amp;row=1511&amp;col=7&amp;number=2.1&amp;sourceID=14","2.1")</f>
        <v>2.1</v>
      </c>
    </row>
    <row r="1512" spans="1:7">
      <c r="A1512" s="3"/>
      <c r="B1512" s="3"/>
      <c r="C1512" s="3"/>
      <c r="D1512" s="3"/>
      <c r="E1512" s="3">
        <v>9</v>
      </c>
      <c r="F1512" s="4" t="str">
        <f>HYPERLINK("http://141.218.60.56/~jnz1568/getInfo.php?workbook=18_15.xlsx&amp;sheet=U0&amp;row=1512&amp;col=6&amp;number=3.8&amp;sourceID=14","3.8")</f>
        <v>3.8</v>
      </c>
      <c r="G1512" s="4" t="str">
        <f>HYPERLINK("http://141.218.60.56/~jnz1568/getInfo.php?workbook=18_15.xlsx&amp;sheet=U0&amp;row=1512&amp;col=7&amp;number=2.35&amp;sourceID=14","2.35")</f>
        <v>2.35</v>
      </c>
    </row>
    <row r="1513" spans="1:7">
      <c r="A1513" s="3"/>
      <c r="B1513" s="3"/>
      <c r="C1513" s="3"/>
      <c r="D1513" s="3"/>
      <c r="E1513" s="3">
        <v>10</v>
      </c>
      <c r="F1513" s="4" t="str">
        <f>HYPERLINK("http://141.218.60.56/~jnz1568/getInfo.php?workbook=18_15.xlsx&amp;sheet=U0&amp;row=1513&amp;col=6&amp;number=3.9&amp;sourceID=14","3.9")</f>
        <v>3.9</v>
      </c>
      <c r="G1513" s="4" t="str">
        <f>HYPERLINK("http://141.218.60.56/~jnz1568/getInfo.php?workbook=18_15.xlsx&amp;sheet=U0&amp;row=1513&amp;col=7&amp;number=2.63&amp;sourceID=14","2.63")</f>
        <v>2.63</v>
      </c>
    </row>
    <row r="1514" spans="1:7">
      <c r="A1514" s="3"/>
      <c r="B1514" s="3"/>
      <c r="C1514" s="3"/>
      <c r="D1514" s="3"/>
      <c r="E1514" s="3">
        <v>11</v>
      </c>
      <c r="F1514" s="4" t="str">
        <f>HYPERLINK("http://141.218.60.56/~jnz1568/getInfo.php?workbook=18_15.xlsx&amp;sheet=U0&amp;row=1514&amp;col=6&amp;number=4&amp;sourceID=14","4")</f>
        <v>4</v>
      </c>
      <c r="G1514" s="4" t="str">
        <f>HYPERLINK("http://141.218.60.56/~jnz1568/getInfo.php?workbook=18_15.xlsx&amp;sheet=U0&amp;row=1514&amp;col=7&amp;number=2.93&amp;sourceID=14","2.93")</f>
        <v>2.93</v>
      </c>
    </row>
    <row r="1515" spans="1:7">
      <c r="A1515" s="3"/>
      <c r="B1515" s="3"/>
      <c r="C1515" s="3"/>
      <c r="D1515" s="3"/>
      <c r="E1515" s="3">
        <v>12</v>
      </c>
      <c r="F1515" s="4" t="str">
        <f>HYPERLINK("http://141.218.60.56/~jnz1568/getInfo.php?workbook=18_15.xlsx&amp;sheet=U0&amp;row=1515&amp;col=6&amp;number=4.1&amp;sourceID=14","4.1")</f>
        <v>4.1</v>
      </c>
      <c r="G1515" s="4" t="str">
        <f>HYPERLINK("http://141.218.60.56/~jnz1568/getInfo.php?workbook=18_15.xlsx&amp;sheet=U0&amp;row=1515&amp;col=7&amp;number=3.22&amp;sourceID=14","3.22")</f>
        <v>3.22</v>
      </c>
    </row>
    <row r="1516" spans="1:7">
      <c r="A1516" s="3"/>
      <c r="B1516" s="3"/>
      <c r="C1516" s="3"/>
      <c r="D1516" s="3"/>
      <c r="E1516" s="3">
        <v>13</v>
      </c>
      <c r="F1516" s="4" t="str">
        <f>HYPERLINK("http://141.218.60.56/~jnz1568/getInfo.php?workbook=18_15.xlsx&amp;sheet=U0&amp;row=1516&amp;col=6&amp;number=4.2&amp;sourceID=14","4.2")</f>
        <v>4.2</v>
      </c>
      <c r="G1516" s="4" t="str">
        <f>HYPERLINK("http://141.218.60.56/~jnz1568/getInfo.php?workbook=18_15.xlsx&amp;sheet=U0&amp;row=1516&amp;col=7&amp;number=3.45&amp;sourceID=14","3.45")</f>
        <v>3.45</v>
      </c>
    </row>
    <row r="1517" spans="1:7">
      <c r="A1517" s="3"/>
      <c r="B1517" s="3"/>
      <c r="C1517" s="3"/>
      <c r="D1517" s="3"/>
      <c r="E1517" s="3">
        <v>14</v>
      </c>
      <c r="F1517" s="4" t="str">
        <f>HYPERLINK("http://141.218.60.56/~jnz1568/getInfo.php?workbook=18_15.xlsx&amp;sheet=U0&amp;row=1517&amp;col=6&amp;number=4.3&amp;sourceID=14","4.3")</f>
        <v>4.3</v>
      </c>
      <c r="G1517" s="4" t="str">
        <f>HYPERLINK("http://141.218.60.56/~jnz1568/getInfo.php?workbook=18_15.xlsx&amp;sheet=U0&amp;row=1517&amp;col=7&amp;number=3.61&amp;sourceID=14","3.61")</f>
        <v>3.61</v>
      </c>
    </row>
    <row r="1518" spans="1:7">
      <c r="A1518" s="3"/>
      <c r="B1518" s="3"/>
      <c r="C1518" s="3"/>
      <c r="D1518" s="3"/>
      <c r="E1518" s="3">
        <v>15</v>
      </c>
      <c r="F1518" s="4" t="str">
        <f>HYPERLINK("http://141.218.60.56/~jnz1568/getInfo.php?workbook=18_15.xlsx&amp;sheet=U0&amp;row=1518&amp;col=6&amp;number=4.4&amp;sourceID=14","4.4")</f>
        <v>4.4</v>
      </c>
      <c r="G1518" s="4" t="str">
        <f>HYPERLINK("http://141.218.60.56/~jnz1568/getInfo.php?workbook=18_15.xlsx&amp;sheet=U0&amp;row=1518&amp;col=7&amp;number=3.67&amp;sourceID=14","3.67")</f>
        <v>3.67</v>
      </c>
    </row>
    <row r="1519" spans="1:7">
      <c r="A1519" s="3"/>
      <c r="B1519" s="3"/>
      <c r="C1519" s="3"/>
      <c r="D1519" s="3"/>
      <c r="E1519" s="3">
        <v>16</v>
      </c>
      <c r="F1519" s="4" t="str">
        <f>HYPERLINK("http://141.218.60.56/~jnz1568/getInfo.php?workbook=18_15.xlsx&amp;sheet=U0&amp;row=1519&amp;col=6&amp;number=4.5&amp;sourceID=14","4.5")</f>
        <v>4.5</v>
      </c>
      <c r="G1519" s="4" t="str">
        <f>HYPERLINK("http://141.218.60.56/~jnz1568/getInfo.php?workbook=18_15.xlsx&amp;sheet=U0&amp;row=1519&amp;col=7&amp;number=3.63&amp;sourceID=14","3.63")</f>
        <v>3.63</v>
      </c>
    </row>
    <row r="1520" spans="1:7">
      <c r="A1520" s="3"/>
      <c r="B1520" s="3"/>
      <c r="C1520" s="3"/>
      <c r="D1520" s="3"/>
      <c r="E1520" s="3">
        <v>17</v>
      </c>
      <c r="F1520" s="4" t="str">
        <f>HYPERLINK("http://141.218.60.56/~jnz1568/getInfo.php?workbook=18_15.xlsx&amp;sheet=U0&amp;row=1520&amp;col=6&amp;number=4.6&amp;sourceID=14","4.6")</f>
        <v>4.6</v>
      </c>
      <c r="G1520" s="4" t="str">
        <f>HYPERLINK("http://141.218.60.56/~jnz1568/getInfo.php?workbook=18_15.xlsx&amp;sheet=U0&amp;row=1520&amp;col=7&amp;number=3.51&amp;sourceID=14","3.51")</f>
        <v>3.51</v>
      </c>
    </row>
    <row r="1521" spans="1:7">
      <c r="A1521" s="3"/>
      <c r="B1521" s="3"/>
      <c r="C1521" s="3"/>
      <c r="D1521" s="3"/>
      <c r="E1521" s="3">
        <v>18</v>
      </c>
      <c r="F1521" s="4" t="str">
        <f>HYPERLINK("http://141.218.60.56/~jnz1568/getInfo.php?workbook=18_15.xlsx&amp;sheet=U0&amp;row=1521&amp;col=6&amp;number=4.7&amp;sourceID=14","4.7")</f>
        <v>4.7</v>
      </c>
      <c r="G1521" s="4" t="str">
        <f>HYPERLINK("http://141.218.60.56/~jnz1568/getInfo.php?workbook=18_15.xlsx&amp;sheet=U0&amp;row=1521&amp;col=7&amp;number=3.34&amp;sourceID=14","3.34")</f>
        <v>3.34</v>
      </c>
    </row>
    <row r="1522" spans="1:7">
      <c r="A1522" s="3"/>
      <c r="B1522" s="3"/>
      <c r="C1522" s="3"/>
      <c r="D1522" s="3"/>
      <c r="E1522" s="3">
        <v>19</v>
      </c>
      <c r="F1522" s="4" t="str">
        <f>HYPERLINK("http://141.218.60.56/~jnz1568/getInfo.php?workbook=18_15.xlsx&amp;sheet=U0&amp;row=1522&amp;col=6&amp;number=4.8&amp;sourceID=14","4.8")</f>
        <v>4.8</v>
      </c>
      <c r="G1522" s="4" t="str">
        <f>HYPERLINK("http://141.218.60.56/~jnz1568/getInfo.php?workbook=18_15.xlsx&amp;sheet=U0&amp;row=1522&amp;col=7&amp;number=3.13&amp;sourceID=14","3.13")</f>
        <v>3.13</v>
      </c>
    </row>
    <row r="1523" spans="1:7">
      <c r="A1523" s="3"/>
      <c r="B1523" s="3"/>
      <c r="C1523" s="3"/>
      <c r="D1523" s="3"/>
      <c r="E1523" s="3">
        <v>20</v>
      </c>
      <c r="F1523" s="4" t="str">
        <f>HYPERLINK("http://141.218.60.56/~jnz1568/getInfo.php?workbook=18_15.xlsx&amp;sheet=U0&amp;row=1523&amp;col=6&amp;number=4.9&amp;sourceID=14","4.9")</f>
        <v>4.9</v>
      </c>
      <c r="G1523" s="4" t="str">
        <f>HYPERLINK("http://141.218.60.56/~jnz1568/getInfo.php?workbook=18_15.xlsx&amp;sheet=U0&amp;row=1523&amp;col=7&amp;number=2.93&amp;sourceID=14","2.93")</f>
        <v>2.93</v>
      </c>
    </row>
    <row r="1524" spans="1:7">
      <c r="A1524" s="3">
        <v>18</v>
      </c>
      <c r="B1524" s="3">
        <v>15</v>
      </c>
      <c r="C1524" s="3">
        <v>3</v>
      </c>
      <c r="D1524" s="3">
        <v>24</v>
      </c>
      <c r="E1524" s="3">
        <v>1</v>
      </c>
      <c r="F1524" s="4" t="str">
        <f>HYPERLINK("http://141.218.60.56/~jnz1568/getInfo.php?workbook=18_15.xlsx&amp;sheet=U0&amp;row=1524&amp;col=6&amp;number=3&amp;sourceID=14","3")</f>
        <v>3</v>
      </c>
      <c r="G1524" s="4" t="str">
        <f>HYPERLINK("http://141.218.60.56/~jnz1568/getInfo.php?workbook=18_15.xlsx&amp;sheet=U0&amp;row=1524&amp;col=7&amp;number=0.486&amp;sourceID=14","0.486")</f>
        <v>0.486</v>
      </c>
    </row>
    <row r="1525" spans="1:7">
      <c r="A1525" s="3"/>
      <c r="B1525" s="3"/>
      <c r="C1525" s="3"/>
      <c r="D1525" s="3"/>
      <c r="E1525" s="3">
        <v>2</v>
      </c>
      <c r="F1525" s="4" t="str">
        <f>HYPERLINK("http://141.218.60.56/~jnz1568/getInfo.php?workbook=18_15.xlsx&amp;sheet=U0&amp;row=1525&amp;col=6&amp;number=3.1&amp;sourceID=14","3.1")</f>
        <v>3.1</v>
      </c>
      <c r="G1525" s="4" t="str">
        <f>HYPERLINK("http://141.218.60.56/~jnz1568/getInfo.php?workbook=18_15.xlsx&amp;sheet=U0&amp;row=1525&amp;col=7&amp;number=0.505&amp;sourceID=14","0.505")</f>
        <v>0.505</v>
      </c>
    </row>
    <row r="1526" spans="1:7">
      <c r="A1526" s="3"/>
      <c r="B1526" s="3"/>
      <c r="C1526" s="3"/>
      <c r="D1526" s="3"/>
      <c r="E1526" s="3">
        <v>3</v>
      </c>
      <c r="F1526" s="4" t="str">
        <f>HYPERLINK("http://141.218.60.56/~jnz1568/getInfo.php?workbook=18_15.xlsx&amp;sheet=U0&amp;row=1526&amp;col=6&amp;number=3.2&amp;sourceID=14","3.2")</f>
        <v>3.2</v>
      </c>
      <c r="G1526" s="4" t="str">
        <f>HYPERLINK("http://141.218.60.56/~jnz1568/getInfo.php?workbook=18_15.xlsx&amp;sheet=U0&amp;row=1526&amp;col=7&amp;number=0.528&amp;sourceID=14","0.528")</f>
        <v>0.528</v>
      </c>
    </row>
    <row r="1527" spans="1:7">
      <c r="A1527" s="3"/>
      <c r="B1527" s="3"/>
      <c r="C1527" s="3"/>
      <c r="D1527" s="3"/>
      <c r="E1527" s="3">
        <v>4</v>
      </c>
      <c r="F1527" s="4" t="str">
        <f>HYPERLINK("http://141.218.60.56/~jnz1568/getInfo.php?workbook=18_15.xlsx&amp;sheet=U0&amp;row=1527&amp;col=6&amp;number=3.3&amp;sourceID=14","3.3")</f>
        <v>3.3</v>
      </c>
      <c r="G1527" s="4" t="str">
        <f>HYPERLINK("http://141.218.60.56/~jnz1568/getInfo.php?workbook=18_15.xlsx&amp;sheet=U0&amp;row=1527&amp;col=7&amp;number=0.558&amp;sourceID=14","0.558")</f>
        <v>0.558</v>
      </c>
    </row>
    <row r="1528" spans="1:7">
      <c r="A1528" s="3"/>
      <c r="B1528" s="3"/>
      <c r="C1528" s="3"/>
      <c r="D1528" s="3"/>
      <c r="E1528" s="3">
        <v>5</v>
      </c>
      <c r="F1528" s="4" t="str">
        <f>HYPERLINK("http://141.218.60.56/~jnz1568/getInfo.php?workbook=18_15.xlsx&amp;sheet=U0&amp;row=1528&amp;col=6&amp;number=3.4&amp;sourceID=14","3.4")</f>
        <v>3.4</v>
      </c>
      <c r="G1528" s="4" t="str">
        <f>HYPERLINK("http://141.218.60.56/~jnz1568/getInfo.php?workbook=18_15.xlsx&amp;sheet=U0&amp;row=1528&amp;col=7&amp;number=0.594&amp;sourceID=14","0.594")</f>
        <v>0.594</v>
      </c>
    </row>
    <row r="1529" spans="1:7">
      <c r="A1529" s="3"/>
      <c r="B1529" s="3"/>
      <c r="C1529" s="3"/>
      <c r="D1529" s="3"/>
      <c r="E1529" s="3">
        <v>6</v>
      </c>
      <c r="F1529" s="4" t="str">
        <f>HYPERLINK("http://141.218.60.56/~jnz1568/getInfo.php?workbook=18_15.xlsx&amp;sheet=U0&amp;row=1529&amp;col=6&amp;number=3.5&amp;sourceID=14","3.5")</f>
        <v>3.5</v>
      </c>
      <c r="G1529" s="4" t="str">
        <f>HYPERLINK("http://141.218.60.56/~jnz1568/getInfo.php?workbook=18_15.xlsx&amp;sheet=U0&amp;row=1529&amp;col=7&amp;number=0.639&amp;sourceID=14","0.639")</f>
        <v>0.639</v>
      </c>
    </row>
    <row r="1530" spans="1:7">
      <c r="A1530" s="3"/>
      <c r="B1530" s="3"/>
      <c r="C1530" s="3"/>
      <c r="D1530" s="3"/>
      <c r="E1530" s="3">
        <v>7</v>
      </c>
      <c r="F1530" s="4" t="str">
        <f>HYPERLINK("http://141.218.60.56/~jnz1568/getInfo.php?workbook=18_15.xlsx&amp;sheet=U0&amp;row=1530&amp;col=6&amp;number=3.6&amp;sourceID=14","3.6")</f>
        <v>3.6</v>
      </c>
      <c r="G1530" s="4" t="str">
        <f>HYPERLINK("http://141.218.60.56/~jnz1568/getInfo.php?workbook=18_15.xlsx&amp;sheet=U0&amp;row=1530&amp;col=7&amp;number=0.694&amp;sourceID=14","0.694")</f>
        <v>0.694</v>
      </c>
    </row>
    <row r="1531" spans="1:7">
      <c r="A1531" s="3"/>
      <c r="B1531" s="3"/>
      <c r="C1531" s="3"/>
      <c r="D1531" s="3"/>
      <c r="E1531" s="3">
        <v>8</v>
      </c>
      <c r="F1531" s="4" t="str">
        <f>HYPERLINK("http://141.218.60.56/~jnz1568/getInfo.php?workbook=18_15.xlsx&amp;sheet=U0&amp;row=1531&amp;col=6&amp;number=3.7&amp;sourceID=14","3.7")</f>
        <v>3.7</v>
      </c>
      <c r="G1531" s="4" t="str">
        <f>HYPERLINK("http://141.218.60.56/~jnz1568/getInfo.php?workbook=18_15.xlsx&amp;sheet=U0&amp;row=1531&amp;col=7&amp;number=0.76&amp;sourceID=14","0.76")</f>
        <v>0.76</v>
      </c>
    </row>
    <row r="1532" spans="1:7">
      <c r="A1532" s="3"/>
      <c r="B1532" s="3"/>
      <c r="C1532" s="3"/>
      <c r="D1532" s="3"/>
      <c r="E1532" s="3">
        <v>9</v>
      </c>
      <c r="F1532" s="4" t="str">
        <f>HYPERLINK("http://141.218.60.56/~jnz1568/getInfo.php?workbook=18_15.xlsx&amp;sheet=U0&amp;row=1532&amp;col=6&amp;number=3.8&amp;sourceID=14","3.8")</f>
        <v>3.8</v>
      </c>
      <c r="G1532" s="4" t="str">
        <f>HYPERLINK("http://141.218.60.56/~jnz1568/getInfo.php?workbook=18_15.xlsx&amp;sheet=U0&amp;row=1532&amp;col=7&amp;number=0.838&amp;sourceID=14","0.838")</f>
        <v>0.838</v>
      </c>
    </row>
    <row r="1533" spans="1:7">
      <c r="A1533" s="3"/>
      <c r="B1533" s="3"/>
      <c r="C1533" s="3"/>
      <c r="D1533" s="3"/>
      <c r="E1533" s="3">
        <v>10</v>
      </c>
      <c r="F1533" s="4" t="str">
        <f>HYPERLINK("http://141.218.60.56/~jnz1568/getInfo.php?workbook=18_15.xlsx&amp;sheet=U0&amp;row=1533&amp;col=6&amp;number=3.9&amp;sourceID=14","3.9")</f>
        <v>3.9</v>
      </c>
      <c r="G1533" s="4" t="str">
        <f>HYPERLINK("http://141.218.60.56/~jnz1568/getInfo.php?workbook=18_15.xlsx&amp;sheet=U0&amp;row=1533&amp;col=7&amp;number=0.928&amp;sourceID=14","0.928")</f>
        <v>0.928</v>
      </c>
    </row>
    <row r="1534" spans="1:7">
      <c r="A1534" s="3"/>
      <c r="B1534" s="3"/>
      <c r="C1534" s="3"/>
      <c r="D1534" s="3"/>
      <c r="E1534" s="3">
        <v>11</v>
      </c>
      <c r="F1534" s="4" t="str">
        <f>HYPERLINK("http://141.218.60.56/~jnz1568/getInfo.php?workbook=18_15.xlsx&amp;sheet=U0&amp;row=1534&amp;col=6&amp;number=4&amp;sourceID=14","4")</f>
        <v>4</v>
      </c>
      <c r="G1534" s="4" t="str">
        <f>HYPERLINK("http://141.218.60.56/~jnz1568/getInfo.php?workbook=18_15.xlsx&amp;sheet=U0&amp;row=1534&amp;col=7&amp;number=1.03&amp;sourceID=14","1.03")</f>
        <v>1.03</v>
      </c>
    </row>
    <row r="1535" spans="1:7">
      <c r="A1535" s="3"/>
      <c r="B1535" s="3"/>
      <c r="C1535" s="3"/>
      <c r="D1535" s="3"/>
      <c r="E1535" s="3">
        <v>12</v>
      </c>
      <c r="F1535" s="4" t="str">
        <f>HYPERLINK("http://141.218.60.56/~jnz1568/getInfo.php?workbook=18_15.xlsx&amp;sheet=U0&amp;row=1535&amp;col=6&amp;number=4.1&amp;sourceID=14","4.1")</f>
        <v>4.1</v>
      </c>
      <c r="G1535" s="4" t="str">
        <f>HYPERLINK("http://141.218.60.56/~jnz1568/getInfo.php?workbook=18_15.xlsx&amp;sheet=U0&amp;row=1535&amp;col=7&amp;number=1.13&amp;sourceID=14","1.13")</f>
        <v>1.13</v>
      </c>
    </row>
    <row r="1536" spans="1:7">
      <c r="A1536" s="3"/>
      <c r="B1536" s="3"/>
      <c r="C1536" s="3"/>
      <c r="D1536" s="3"/>
      <c r="E1536" s="3">
        <v>13</v>
      </c>
      <c r="F1536" s="4" t="str">
        <f>HYPERLINK("http://141.218.60.56/~jnz1568/getInfo.php?workbook=18_15.xlsx&amp;sheet=U0&amp;row=1536&amp;col=6&amp;number=4.2&amp;sourceID=14","4.2")</f>
        <v>4.2</v>
      </c>
      <c r="G1536" s="4" t="str">
        <f>HYPERLINK("http://141.218.60.56/~jnz1568/getInfo.php?workbook=18_15.xlsx&amp;sheet=U0&amp;row=1536&amp;col=7&amp;number=1.21&amp;sourceID=14","1.21")</f>
        <v>1.21</v>
      </c>
    </row>
    <row r="1537" spans="1:7">
      <c r="A1537" s="3"/>
      <c r="B1537" s="3"/>
      <c r="C1537" s="3"/>
      <c r="D1537" s="3"/>
      <c r="E1537" s="3">
        <v>14</v>
      </c>
      <c r="F1537" s="4" t="str">
        <f>HYPERLINK("http://141.218.60.56/~jnz1568/getInfo.php?workbook=18_15.xlsx&amp;sheet=U0&amp;row=1537&amp;col=6&amp;number=4.3&amp;sourceID=14","4.3")</f>
        <v>4.3</v>
      </c>
      <c r="G1537" s="4" t="str">
        <f>HYPERLINK("http://141.218.60.56/~jnz1568/getInfo.php?workbook=18_15.xlsx&amp;sheet=U0&amp;row=1537&amp;col=7&amp;number=1.28&amp;sourceID=14","1.28")</f>
        <v>1.28</v>
      </c>
    </row>
    <row r="1538" spans="1:7">
      <c r="A1538" s="3"/>
      <c r="B1538" s="3"/>
      <c r="C1538" s="3"/>
      <c r="D1538" s="3"/>
      <c r="E1538" s="3">
        <v>15</v>
      </c>
      <c r="F1538" s="4" t="str">
        <f>HYPERLINK("http://141.218.60.56/~jnz1568/getInfo.php?workbook=18_15.xlsx&amp;sheet=U0&amp;row=1538&amp;col=6&amp;number=4.4&amp;sourceID=14","4.4")</f>
        <v>4.4</v>
      </c>
      <c r="G1538" s="4" t="str">
        <f>HYPERLINK("http://141.218.60.56/~jnz1568/getInfo.php?workbook=18_15.xlsx&amp;sheet=U0&amp;row=1538&amp;col=7&amp;number=1.31&amp;sourceID=14","1.31")</f>
        <v>1.31</v>
      </c>
    </row>
    <row r="1539" spans="1:7">
      <c r="A1539" s="3"/>
      <c r="B1539" s="3"/>
      <c r="C1539" s="3"/>
      <c r="D1539" s="3"/>
      <c r="E1539" s="3">
        <v>16</v>
      </c>
      <c r="F1539" s="4" t="str">
        <f>HYPERLINK("http://141.218.60.56/~jnz1568/getInfo.php?workbook=18_15.xlsx&amp;sheet=U0&amp;row=1539&amp;col=6&amp;number=4.5&amp;sourceID=14","4.5")</f>
        <v>4.5</v>
      </c>
      <c r="G1539" s="4" t="str">
        <f>HYPERLINK("http://141.218.60.56/~jnz1568/getInfo.php?workbook=18_15.xlsx&amp;sheet=U0&amp;row=1539&amp;col=7&amp;number=1.32&amp;sourceID=14","1.32")</f>
        <v>1.32</v>
      </c>
    </row>
    <row r="1540" spans="1:7">
      <c r="A1540" s="3"/>
      <c r="B1540" s="3"/>
      <c r="C1540" s="3"/>
      <c r="D1540" s="3"/>
      <c r="E1540" s="3">
        <v>17</v>
      </c>
      <c r="F1540" s="4" t="str">
        <f>HYPERLINK("http://141.218.60.56/~jnz1568/getInfo.php?workbook=18_15.xlsx&amp;sheet=U0&amp;row=1540&amp;col=6&amp;number=4.6&amp;sourceID=14","4.6")</f>
        <v>4.6</v>
      </c>
      <c r="G1540" s="4" t="str">
        <f>HYPERLINK("http://141.218.60.56/~jnz1568/getInfo.php?workbook=18_15.xlsx&amp;sheet=U0&amp;row=1540&amp;col=7&amp;number=1.33&amp;sourceID=14","1.33")</f>
        <v>1.33</v>
      </c>
    </row>
    <row r="1541" spans="1:7">
      <c r="A1541" s="3"/>
      <c r="B1541" s="3"/>
      <c r="C1541" s="3"/>
      <c r="D1541" s="3"/>
      <c r="E1541" s="3">
        <v>18</v>
      </c>
      <c r="F1541" s="4" t="str">
        <f>HYPERLINK("http://141.218.60.56/~jnz1568/getInfo.php?workbook=18_15.xlsx&amp;sheet=U0&amp;row=1541&amp;col=6&amp;number=4.7&amp;sourceID=14","4.7")</f>
        <v>4.7</v>
      </c>
      <c r="G1541" s="4" t="str">
        <f>HYPERLINK("http://141.218.60.56/~jnz1568/getInfo.php?workbook=18_15.xlsx&amp;sheet=U0&amp;row=1541&amp;col=7&amp;number=1.34&amp;sourceID=14","1.34")</f>
        <v>1.34</v>
      </c>
    </row>
    <row r="1542" spans="1:7">
      <c r="A1542" s="3"/>
      <c r="B1542" s="3"/>
      <c r="C1542" s="3"/>
      <c r="D1542" s="3"/>
      <c r="E1542" s="3">
        <v>19</v>
      </c>
      <c r="F1542" s="4" t="str">
        <f>HYPERLINK("http://141.218.60.56/~jnz1568/getInfo.php?workbook=18_15.xlsx&amp;sheet=U0&amp;row=1542&amp;col=6&amp;number=4.8&amp;sourceID=14","4.8")</f>
        <v>4.8</v>
      </c>
      <c r="G1542" s="4" t="str">
        <f>HYPERLINK("http://141.218.60.56/~jnz1568/getInfo.php?workbook=18_15.xlsx&amp;sheet=U0&amp;row=1542&amp;col=7&amp;number=1.34&amp;sourceID=14","1.34")</f>
        <v>1.34</v>
      </c>
    </row>
    <row r="1543" spans="1:7">
      <c r="A1543" s="3"/>
      <c r="B1543" s="3"/>
      <c r="C1543" s="3"/>
      <c r="D1543" s="3"/>
      <c r="E1543" s="3">
        <v>20</v>
      </c>
      <c r="F1543" s="4" t="str">
        <f>HYPERLINK("http://141.218.60.56/~jnz1568/getInfo.php?workbook=18_15.xlsx&amp;sheet=U0&amp;row=1543&amp;col=6&amp;number=4.9&amp;sourceID=14","4.9")</f>
        <v>4.9</v>
      </c>
      <c r="G1543" s="4" t="str">
        <f>HYPERLINK("http://141.218.60.56/~jnz1568/getInfo.php?workbook=18_15.xlsx&amp;sheet=U0&amp;row=1543&amp;col=7&amp;number=1.31&amp;sourceID=14","1.31")</f>
        <v>1.31</v>
      </c>
    </row>
    <row r="1544" spans="1:7">
      <c r="A1544" s="3">
        <v>18</v>
      </c>
      <c r="B1544" s="3">
        <v>15</v>
      </c>
      <c r="C1544" s="3">
        <v>3</v>
      </c>
      <c r="D1544" s="3">
        <v>25</v>
      </c>
      <c r="E1544" s="3">
        <v>1</v>
      </c>
      <c r="F1544" s="4" t="str">
        <f>HYPERLINK("http://141.218.60.56/~jnz1568/getInfo.php?workbook=18_15.xlsx&amp;sheet=U0&amp;row=1544&amp;col=6&amp;number=3&amp;sourceID=14","3")</f>
        <v>3</v>
      </c>
      <c r="G1544" s="4" t="str">
        <f>HYPERLINK("http://141.218.60.56/~jnz1568/getInfo.php?workbook=18_15.xlsx&amp;sheet=U0&amp;row=1544&amp;col=7&amp;number=0.56&amp;sourceID=14","0.56")</f>
        <v>0.56</v>
      </c>
    </row>
    <row r="1545" spans="1:7">
      <c r="A1545" s="3"/>
      <c r="B1545" s="3"/>
      <c r="C1545" s="3"/>
      <c r="D1545" s="3"/>
      <c r="E1545" s="3">
        <v>2</v>
      </c>
      <c r="F1545" s="4" t="str">
        <f>HYPERLINK("http://141.218.60.56/~jnz1568/getInfo.php?workbook=18_15.xlsx&amp;sheet=U0&amp;row=1545&amp;col=6&amp;number=3.1&amp;sourceID=14","3.1")</f>
        <v>3.1</v>
      </c>
      <c r="G1545" s="4" t="str">
        <f>HYPERLINK("http://141.218.60.56/~jnz1568/getInfo.php?workbook=18_15.xlsx&amp;sheet=U0&amp;row=1545&amp;col=7&amp;number=0.596&amp;sourceID=14","0.596")</f>
        <v>0.596</v>
      </c>
    </row>
    <row r="1546" spans="1:7">
      <c r="A1546" s="3"/>
      <c r="B1546" s="3"/>
      <c r="C1546" s="3"/>
      <c r="D1546" s="3"/>
      <c r="E1546" s="3">
        <v>3</v>
      </c>
      <c r="F1546" s="4" t="str">
        <f>HYPERLINK("http://141.218.60.56/~jnz1568/getInfo.php?workbook=18_15.xlsx&amp;sheet=U0&amp;row=1546&amp;col=6&amp;number=3.2&amp;sourceID=14","3.2")</f>
        <v>3.2</v>
      </c>
      <c r="G1546" s="4" t="str">
        <f>HYPERLINK("http://141.218.60.56/~jnz1568/getInfo.php?workbook=18_15.xlsx&amp;sheet=U0&amp;row=1546&amp;col=7&amp;number=0.64&amp;sourceID=14","0.64")</f>
        <v>0.64</v>
      </c>
    </row>
    <row r="1547" spans="1:7">
      <c r="A1547" s="3"/>
      <c r="B1547" s="3"/>
      <c r="C1547" s="3"/>
      <c r="D1547" s="3"/>
      <c r="E1547" s="3">
        <v>4</v>
      </c>
      <c r="F1547" s="4" t="str">
        <f>HYPERLINK("http://141.218.60.56/~jnz1568/getInfo.php?workbook=18_15.xlsx&amp;sheet=U0&amp;row=1547&amp;col=6&amp;number=3.3&amp;sourceID=14","3.3")</f>
        <v>3.3</v>
      </c>
      <c r="G1547" s="4" t="str">
        <f>HYPERLINK("http://141.218.60.56/~jnz1568/getInfo.php?workbook=18_15.xlsx&amp;sheet=U0&amp;row=1547&amp;col=7&amp;number=0.695&amp;sourceID=14","0.695")</f>
        <v>0.695</v>
      </c>
    </row>
    <row r="1548" spans="1:7">
      <c r="A1548" s="3"/>
      <c r="B1548" s="3"/>
      <c r="C1548" s="3"/>
      <c r="D1548" s="3"/>
      <c r="E1548" s="3">
        <v>5</v>
      </c>
      <c r="F1548" s="4" t="str">
        <f>HYPERLINK("http://141.218.60.56/~jnz1568/getInfo.php?workbook=18_15.xlsx&amp;sheet=U0&amp;row=1548&amp;col=6&amp;number=3.4&amp;sourceID=14","3.4")</f>
        <v>3.4</v>
      </c>
      <c r="G1548" s="4" t="str">
        <f>HYPERLINK("http://141.218.60.56/~jnz1568/getInfo.php?workbook=18_15.xlsx&amp;sheet=U0&amp;row=1548&amp;col=7&amp;number=0.763&amp;sourceID=14","0.763")</f>
        <v>0.763</v>
      </c>
    </row>
    <row r="1549" spans="1:7">
      <c r="A1549" s="3"/>
      <c r="B1549" s="3"/>
      <c r="C1549" s="3"/>
      <c r="D1549" s="3"/>
      <c r="E1549" s="3">
        <v>6</v>
      </c>
      <c r="F1549" s="4" t="str">
        <f>HYPERLINK("http://141.218.60.56/~jnz1568/getInfo.php?workbook=18_15.xlsx&amp;sheet=U0&amp;row=1549&amp;col=6&amp;number=3.5&amp;sourceID=14","3.5")</f>
        <v>3.5</v>
      </c>
      <c r="G1549" s="4" t="str">
        <f>HYPERLINK("http://141.218.60.56/~jnz1568/getInfo.php?workbook=18_15.xlsx&amp;sheet=U0&amp;row=1549&amp;col=7&amp;number=0.844&amp;sourceID=14","0.844")</f>
        <v>0.844</v>
      </c>
    </row>
    <row r="1550" spans="1:7">
      <c r="A1550" s="3"/>
      <c r="B1550" s="3"/>
      <c r="C1550" s="3"/>
      <c r="D1550" s="3"/>
      <c r="E1550" s="3">
        <v>7</v>
      </c>
      <c r="F1550" s="4" t="str">
        <f>HYPERLINK("http://141.218.60.56/~jnz1568/getInfo.php?workbook=18_15.xlsx&amp;sheet=U0&amp;row=1550&amp;col=6&amp;number=3.6&amp;sourceID=14","3.6")</f>
        <v>3.6</v>
      </c>
      <c r="G1550" s="4" t="str">
        <f>HYPERLINK("http://141.218.60.56/~jnz1568/getInfo.php?workbook=18_15.xlsx&amp;sheet=U0&amp;row=1550&amp;col=7&amp;number=0.941&amp;sourceID=14","0.941")</f>
        <v>0.941</v>
      </c>
    </row>
    <row r="1551" spans="1:7">
      <c r="A1551" s="3"/>
      <c r="B1551" s="3"/>
      <c r="C1551" s="3"/>
      <c r="D1551" s="3"/>
      <c r="E1551" s="3">
        <v>8</v>
      </c>
      <c r="F1551" s="4" t="str">
        <f>HYPERLINK("http://141.218.60.56/~jnz1568/getInfo.php?workbook=18_15.xlsx&amp;sheet=U0&amp;row=1551&amp;col=6&amp;number=3.7&amp;sourceID=14","3.7")</f>
        <v>3.7</v>
      </c>
      <c r="G1551" s="4" t="str">
        <f>HYPERLINK("http://141.218.60.56/~jnz1568/getInfo.php?workbook=18_15.xlsx&amp;sheet=U0&amp;row=1551&amp;col=7&amp;number=1.05&amp;sourceID=14","1.05")</f>
        <v>1.05</v>
      </c>
    </row>
    <row r="1552" spans="1:7">
      <c r="A1552" s="3"/>
      <c r="B1552" s="3"/>
      <c r="C1552" s="3"/>
      <c r="D1552" s="3"/>
      <c r="E1552" s="3">
        <v>9</v>
      </c>
      <c r="F1552" s="4" t="str">
        <f>HYPERLINK("http://141.218.60.56/~jnz1568/getInfo.php?workbook=18_15.xlsx&amp;sheet=U0&amp;row=1552&amp;col=6&amp;number=3.8&amp;sourceID=14","3.8")</f>
        <v>3.8</v>
      </c>
      <c r="G1552" s="4" t="str">
        <f>HYPERLINK("http://141.218.60.56/~jnz1568/getInfo.php?workbook=18_15.xlsx&amp;sheet=U0&amp;row=1552&amp;col=7&amp;number=1.18&amp;sourceID=14","1.18")</f>
        <v>1.18</v>
      </c>
    </row>
    <row r="1553" spans="1:7">
      <c r="A1553" s="3"/>
      <c r="B1553" s="3"/>
      <c r="C1553" s="3"/>
      <c r="D1553" s="3"/>
      <c r="E1553" s="3">
        <v>10</v>
      </c>
      <c r="F1553" s="4" t="str">
        <f>HYPERLINK("http://141.218.60.56/~jnz1568/getInfo.php?workbook=18_15.xlsx&amp;sheet=U0&amp;row=1553&amp;col=6&amp;number=3.9&amp;sourceID=14","3.9")</f>
        <v>3.9</v>
      </c>
      <c r="G1553" s="4" t="str">
        <f>HYPERLINK("http://141.218.60.56/~jnz1568/getInfo.php?workbook=18_15.xlsx&amp;sheet=U0&amp;row=1553&amp;col=7&amp;number=1.31&amp;sourceID=14","1.31")</f>
        <v>1.31</v>
      </c>
    </row>
    <row r="1554" spans="1:7">
      <c r="A1554" s="3"/>
      <c r="B1554" s="3"/>
      <c r="C1554" s="3"/>
      <c r="D1554" s="3"/>
      <c r="E1554" s="3">
        <v>11</v>
      </c>
      <c r="F1554" s="4" t="str">
        <f>HYPERLINK("http://141.218.60.56/~jnz1568/getInfo.php?workbook=18_15.xlsx&amp;sheet=U0&amp;row=1554&amp;col=6&amp;number=4&amp;sourceID=14","4")</f>
        <v>4</v>
      </c>
      <c r="G1554" s="4" t="str">
        <f>HYPERLINK("http://141.218.60.56/~jnz1568/getInfo.php?workbook=18_15.xlsx&amp;sheet=U0&amp;row=1554&amp;col=7&amp;number=1.44&amp;sourceID=14","1.44")</f>
        <v>1.44</v>
      </c>
    </row>
    <row r="1555" spans="1:7">
      <c r="A1555" s="3"/>
      <c r="B1555" s="3"/>
      <c r="C1555" s="3"/>
      <c r="D1555" s="3"/>
      <c r="E1555" s="3">
        <v>12</v>
      </c>
      <c r="F1555" s="4" t="str">
        <f>HYPERLINK("http://141.218.60.56/~jnz1568/getInfo.php?workbook=18_15.xlsx&amp;sheet=U0&amp;row=1555&amp;col=6&amp;number=4.1&amp;sourceID=14","4.1")</f>
        <v>4.1</v>
      </c>
      <c r="G1555" s="4" t="str">
        <f>HYPERLINK("http://141.218.60.56/~jnz1568/getInfo.php?workbook=18_15.xlsx&amp;sheet=U0&amp;row=1555&amp;col=7&amp;number=1.56&amp;sourceID=14","1.56")</f>
        <v>1.56</v>
      </c>
    </row>
    <row r="1556" spans="1:7">
      <c r="A1556" s="3"/>
      <c r="B1556" s="3"/>
      <c r="C1556" s="3"/>
      <c r="D1556" s="3"/>
      <c r="E1556" s="3">
        <v>13</v>
      </c>
      <c r="F1556" s="4" t="str">
        <f>HYPERLINK("http://141.218.60.56/~jnz1568/getInfo.php?workbook=18_15.xlsx&amp;sheet=U0&amp;row=1556&amp;col=6&amp;number=4.2&amp;sourceID=14","4.2")</f>
        <v>4.2</v>
      </c>
      <c r="G1556" s="4" t="str">
        <f>HYPERLINK("http://141.218.60.56/~jnz1568/getInfo.php?workbook=18_15.xlsx&amp;sheet=U0&amp;row=1556&amp;col=7&amp;number=1.64&amp;sourceID=14","1.64")</f>
        <v>1.64</v>
      </c>
    </row>
    <row r="1557" spans="1:7">
      <c r="A1557" s="3"/>
      <c r="B1557" s="3"/>
      <c r="C1557" s="3"/>
      <c r="D1557" s="3"/>
      <c r="E1557" s="3">
        <v>14</v>
      </c>
      <c r="F1557" s="4" t="str">
        <f>HYPERLINK("http://141.218.60.56/~jnz1568/getInfo.php?workbook=18_15.xlsx&amp;sheet=U0&amp;row=1557&amp;col=6&amp;number=4.3&amp;sourceID=14","4.3")</f>
        <v>4.3</v>
      </c>
      <c r="G1557" s="4" t="str">
        <f>HYPERLINK("http://141.218.60.56/~jnz1568/getInfo.php?workbook=18_15.xlsx&amp;sheet=U0&amp;row=1557&amp;col=7&amp;number=1.69&amp;sourceID=14","1.69")</f>
        <v>1.69</v>
      </c>
    </row>
    <row r="1558" spans="1:7">
      <c r="A1558" s="3"/>
      <c r="B1558" s="3"/>
      <c r="C1558" s="3"/>
      <c r="D1558" s="3"/>
      <c r="E1558" s="3">
        <v>15</v>
      </c>
      <c r="F1558" s="4" t="str">
        <f>HYPERLINK("http://141.218.60.56/~jnz1568/getInfo.php?workbook=18_15.xlsx&amp;sheet=U0&amp;row=1558&amp;col=6&amp;number=4.4&amp;sourceID=14","4.4")</f>
        <v>4.4</v>
      </c>
      <c r="G1558" s="4" t="str">
        <f>HYPERLINK("http://141.218.60.56/~jnz1568/getInfo.php?workbook=18_15.xlsx&amp;sheet=U0&amp;row=1558&amp;col=7&amp;number=1.7&amp;sourceID=14","1.7")</f>
        <v>1.7</v>
      </c>
    </row>
    <row r="1559" spans="1:7">
      <c r="A1559" s="3"/>
      <c r="B1559" s="3"/>
      <c r="C1559" s="3"/>
      <c r="D1559" s="3"/>
      <c r="E1559" s="3">
        <v>16</v>
      </c>
      <c r="F1559" s="4" t="str">
        <f>HYPERLINK("http://141.218.60.56/~jnz1568/getInfo.php?workbook=18_15.xlsx&amp;sheet=U0&amp;row=1559&amp;col=6&amp;number=4.5&amp;sourceID=14","4.5")</f>
        <v>4.5</v>
      </c>
      <c r="G1559" s="4" t="str">
        <f>HYPERLINK("http://141.218.60.56/~jnz1568/getInfo.php?workbook=18_15.xlsx&amp;sheet=U0&amp;row=1559&amp;col=7&amp;number=1.69&amp;sourceID=14","1.69")</f>
        <v>1.69</v>
      </c>
    </row>
    <row r="1560" spans="1:7">
      <c r="A1560" s="3"/>
      <c r="B1560" s="3"/>
      <c r="C1560" s="3"/>
      <c r="D1560" s="3"/>
      <c r="E1560" s="3">
        <v>17</v>
      </c>
      <c r="F1560" s="4" t="str">
        <f>HYPERLINK("http://141.218.60.56/~jnz1568/getInfo.php?workbook=18_15.xlsx&amp;sheet=U0&amp;row=1560&amp;col=6&amp;number=4.6&amp;sourceID=14","4.6")</f>
        <v>4.6</v>
      </c>
      <c r="G1560" s="4" t="str">
        <f>HYPERLINK("http://141.218.60.56/~jnz1568/getInfo.php?workbook=18_15.xlsx&amp;sheet=U0&amp;row=1560&amp;col=7&amp;number=1.68&amp;sourceID=14","1.68")</f>
        <v>1.68</v>
      </c>
    </row>
    <row r="1561" spans="1:7">
      <c r="A1561" s="3"/>
      <c r="B1561" s="3"/>
      <c r="C1561" s="3"/>
      <c r="D1561" s="3"/>
      <c r="E1561" s="3">
        <v>18</v>
      </c>
      <c r="F1561" s="4" t="str">
        <f>HYPERLINK("http://141.218.60.56/~jnz1568/getInfo.php?workbook=18_15.xlsx&amp;sheet=U0&amp;row=1561&amp;col=6&amp;number=4.7&amp;sourceID=14","4.7")</f>
        <v>4.7</v>
      </c>
      <c r="G1561" s="4" t="str">
        <f>HYPERLINK("http://141.218.60.56/~jnz1568/getInfo.php?workbook=18_15.xlsx&amp;sheet=U0&amp;row=1561&amp;col=7&amp;number=1.69&amp;sourceID=14","1.69")</f>
        <v>1.69</v>
      </c>
    </row>
    <row r="1562" spans="1:7">
      <c r="A1562" s="3"/>
      <c r="B1562" s="3"/>
      <c r="C1562" s="3"/>
      <c r="D1562" s="3"/>
      <c r="E1562" s="3">
        <v>19</v>
      </c>
      <c r="F1562" s="4" t="str">
        <f>HYPERLINK("http://141.218.60.56/~jnz1568/getInfo.php?workbook=18_15.xlsx&amp;sheet=U0&amp;row=1562&amp;col=6&amp;number=4.8&amp;sourceID=14","4.8")</f>
        <v>4.8</v>
      </c>
      <c r="G1562" s="4" t="str">
        <f>HYPERLINK("http://141.218.60.56/~jnz1568/getInfo.php?workbook=18_15.xlsx&amp;sheet=U0&amp;row=1562&amp;col=7&amp;number=1.69&amp;sourceID=14","1.69")</f>
        <v>1.69</v>
      </c>
    </row>
    <row r="1563" spans="1:7">
      <c r="A1563" s="3"/>
      <c r="B1563" s="3"/>
      <c r="C1563" s="3"/>
      <c r="D1563" s="3"/>
      <c r="E1563" s="3">
        <v>20</v>
      </c>
      <c r="F1563" s="4" t="str">
        <f>HYPERLINK("http://141.218.60.56/~jnz1568/getInfo.php?workbook=18_15.xlsx&amp;sheet=U0&amp;row=1563&amp;col=6&amp;number=4.9&amp;sourceID=14","4.9")</f>
        <v>4.9</v>
      </c>
      <c r="G1563" s="4" t="str">
        <f>HYPERLINK("http://141.218.60.56/~jnz1568/getInfo.php?workbook=18_15.xlsx&amp;sheet=U0&amp;row=1563&amp;col=7&amp;number=1.68&amp;sourceID=14","1.68")</f>
        <v>1.68</v>
      </c>
    </row>
    <row r="1564" spans="1:7">
      <c r="A1564" s="3">
        <v>18</v>
      </c>
      <c r="B1564" s="3">
        <v>15</v>
      </c>
      <c r="C1564" s="3">
        <v>3</v>
      </c>
      <c r="D1564" s="3">
        <v>26</v>
      </c>
      <c r="E1564" s="3">
        <v>1</v>
      </c>
      <c r="F1564" s="4" t="str">
        <f>HYPERLINK("http://141.218.60.56/~jnz1568/getInfo.php?workbook=18_15.xlsx&amp;sheet=U0&amp;row=1564&amp;col=6&amp;number=3&amp;sourceID=14","3")</f>
        <v>3</v>
      </c>
      <c r="G1564" s="4" t="str">
        <f>HYPERLINK("http://141.218.60.56/~jnz1568/getInfo.php?workbook=18_15.xlsx&amp;sheet=U0&amp;row=1564&amp;col=7&amp;number=0.157&amp;sourceID=14","0.157")</f>
        <v>0.157</v>
      </c>
    </row>
    <row r="1565" spans="1:7">
      <c r="A1565" s="3"/>
      <c r="B1565" s="3"/>
      <c r="C1565" s="3"/>
      <c r="D1565" s="3"/>
      <c r="E1565" s="3">
        <v>2</v>
      </c>
      <c r="F1565" s="4" t="str">
        <f>HYPERLINK("http://141.218.60.56/~jnz1568/getInfo.php?workbook=18_15.xlsx&amp;sheet=U0&amp;row=1565&amp;col=6&amp;number=3.1&amp;sourceID=14","3.1")</f>
        <v>3.1</v>
      </c>
      <c r="G1565" s="4" t="str">
        <f>HYPERLINK("http://141.218.60.56/~jnz1568/getInfo.php?workbook=18_15.xlsx&amp;sheet=U0&amp;row=1565&amp;col=7&amp;number=0.158&amp;sourceID=14","0.158")</f>
        <v>0.158</v>
      </c>
    </row>
    <row r="1566" spans="1:7">
      <c r="A1566" s="3"/>
      <c r="B1566" s="3"/>
      <c r="C1566" s="3"/>
      <c r="D1566" s="3"/>
      <c r="E1566" s="3">
        <v>3</v>
      </c>
      <c r="F1566" s="4" t="str">
        <f>HYPERLINK("http://141.218.60.56/~jnz1568/getInfo.php?workbook=18_15.xlsx&amp;sheet=U0&amp;row=1566&amp;col=6&amp;number=3.2&amp;sourceID=14","3.2")</f>
        <v>3.2</v>
      </c>
      <c r="G1566" s="4" t="str">
        <f>HYPERLINK("http://141.218.60.56/~jnz1568/getInfo.php?workbook=18_15.xlsx&amp;sheet=U0&amp;row=1566&amp;col=7&amp;number=0.159&amp;sourceID=14","0.159")</f>
        <v>0.159</v>
      </c>
    </row>
    <row r="1567" spans="1:7">
      <c r="A1567" s="3"/>
      <c r="B1567" s="3"/>
      <c r="C1567" s="3"/>
      <c r="D1567" s="3"/>
      <c r="E1567" s="3">
        <v>4</v>
      </c>
      <c r="F1567" s="4" t="str">
        <f>HYPERLINK("http://141.218.60.56/~jnz1568/getInfo.php?workbook=18_15.xlsx&amp;sheet=U0&amp;row=1567&amp;col=6&amp;number=3.3&amp;sourceID=14","3.3")</f>
        <v>3.3</v>
      </c>
      <c r="G1567" s="4" t="str">
        <f>HYPERLINK("http://141.218.60.56/~jnz1568/getInfo.php?workbook=18_15.xlsx&amp;sheet=U0&amp;row=1567&amp;col=7&amp;number=0.16&amp;sourceID=14","0.16")</f>
        <v>0.16</v>
      </c>
    </row>
    <row r="1568" spans="1:7">
      <c r="A1568" s="3"/>
      <c r="B1568" s="3"/>
      <c r="C1568" s="3"/>
      <c r="D1568" s="3"/>
      <c r="E1568" s="3">
        <v>5</v>
      </c>
      <c r="F1568" s="4" t="str">
        <f>HYPERLINK("http://141.218.60.56/~jnz1568/getInfo.php?workbook=18_15.xlsx&amp;sheet=U0&amp;row=1568&amp;col=6&amp;number=3.4&amp;sourceID=14","3.4")</f>
        <v>3.4</v>
      </c>
      <c r="G1568" s="4" t="str">
        <f>HYPERLINK("http://141.218.60.56/~jnz1568/getInfo.php?workbook=18_15.xlsx&amp;sheet=U0&amp;row=1568&amp;col=7&amp;number=0.161&amp;sourceID=14","0.161")</f>
        <v>0.161</v>
      </c>
    </row>
    <row r="1569" spans="1:7">
      <c r="A1569" s="3"/>
      <c r="B1569" s="3"/>
      <c r="C1569" s="3"/>
      <c r="D1569" s="3"/>
      <c r="E1569" s="3">
        <v>6</v>
      </c>
      <c r="F1569" s="4" t="str">
        <f>HYPERLINK("http://141.218.60.56/~jnz1568/getInfo.php?workbook=18_15.xlsx&amp;sheet=U0&amp;row=1569&amp;col=6&amp;number=3.5&amp;sourceID=14","3.5")</f>
        <v>3.5</v>
      </c>
      <c r="G1569" s="4" t="str">
        <f>HYPERLINK("http://141.218.60.56/~jnz1568/getInfo.php?workbook=18_15.xlsx&amp;sheet=U0&amp;row=1569&amp;col=7&amp;number=0.163&amp;sourceID=14","0.163")</f>
        <v>0.163</v>
      </c>
    </row>
    <row r="1570" spans="1:7">
      <c r="A1570" s="3"/>
      <c r="B1570" s="3"/>
      <c r="C1570" s="3"/>
      <c r="D1570" s="3"/>
      <c r="E1570" s="3">
        <v>7</v>
      </c>
      <c r="F1570" s="4" t="str">
        <f>HYPERLINK("http://141.218.60.56/~jnz1568/getInfo.php?workbook=18_15.xlsx&amp;sheet=U0&amp;row=1570&amp;col=6&amp;number=3.6&amp;sourceID=14","3.6")</f>
        <v>3.6</v>
      </c>
      <c r="G1570" s="4" t="str">
        <f>HYPERLINK("http://141.218.60.56/~jnz1568/getInfo.php?workbook=18_15.xlsx&amp;sheet=U0&amp;row=1570&amp;col=7&amp;number=0.165&amp;sourceID=14","0.165")</f>
        <v>0.165</v>
      </c>
    </row>
    <row r="1571" spans="1:7">
      <c r="A1571" s="3"/>
      <c r="B1571" s="3"/>
      <c r="C1571" s="3"/>
      <c r="D1571" s="3"/>
      <c r="E1571" s="3">
        <v>8</v>
      </c>
      <c r="F1571" s="4" t="str">
        <f>HYPERLINK("http://141.218.60.56/~jnz1568/getInfo.php?workbook=18_15.xlsx&amp;sheet=U0&amp;row=1571&amp;col=6&amp;number=3.7&amp;sourceID=14","3.7")</f>
        <v>3.7</v>
      </c>
      <c r="G1571" s="4" t="str">
        <f>HYPERLINK("http://141.218.60.56/~jnz1568/getInfo.php?workbook=18_15.xlsx&amp;sheet=U0&amp;row=1571&amp;col=7&amp;number=0.167&amp;sourceID=14","0.167")</f>
        <v>0.167</v>
      </c>
    </row>
    <row r="1572" spans="1:7">
      <c r="A1572" s="3"/>
      <c r="B1572" s="3"/>
      <c r="C1572" s="3"/>
      <c r="D1572" s="3"/>
      <c r="E1572" s="3">
        <v>9</v>
      </c>
      <c r="F1572" s="4" t="str">
        <f>HYPERLINK("http://141.218.60.56/~jnz1568/getInfo.php?workbook=18_15.xlsx&amp;sheet=U0&amp;row=1572&amp;col=6&amp;number=3.8&amp;sourceID=14","3.8")</f>
        <v>3.8</v>
      </c>
      <c r="G1572" s="4" t="str">
        <f>HYPERLINK("http://141.218.60.56/~jnz1568/getInfo.php?workbook=18_15.xlsx&amp;sheet=U0&amp;row=1572&amp;col=7&amp;number=0.17&amp;sourceID=14","0.17")</f>
        <v>0.17</v>
      </c>
    </row>
    <row r="1573" spans="1:7">
      <c r="A1573" s="3"/>
      <c r="B1573" s="3"/>
      <c r="C1573" s="3"/>
      <c r="D1573" s="3"/>
      <c r="E1573" s="3">
        <v>10</v>
      </c>
      <c r="F1573" s="4" t="str">
        <f>HYPERLINK("http://141.218.60.56/~jnz1568/getInfo.php?workbook=18_15.xlsx&amp;sheet=U0&amp;row=1573&amp;col=6&amp;number=3.9&amp;sourceID=14","3.9")</f>
        <v>3.9</v>
      </c>
      <c r="G1573" s="4" t="str">
        <f>HYPERLINK("http://141.218.60.56/~jnz1568/getInfo.php?workbook=18_15.xlsx&amp;sheet=U0&amp;row=1573&amp;col=7&amp;number=0.174&amp;sourceID=14","0.174")</f>
        <v>0.174</v>
      </c>
    </row>
    <row r="1574" spans="1:7">
      <c r="A1574" s="3"/>
      <c r="B1574" s="3"/>
      <c r="C1574" s="3"/>
      <c r="D1574" s="3"/>
      <c r="E1574" s="3">
        <v>11</v>
      </c>
      <c r="F1574" s="4" t="str">
        <f>HYPERLINK("http://141.218.60.56/~jnz1568/getInfo.php?workbook=18_15.xlsx&amp;sheet=U0&amp;row=1574&amp;col=6&amp;number=4&amp;sourceID=14","4")</f>
        <v>4</v>
      </c>
      <c r="G1574" s="4" t="str">
        <f>HYPERLINK("http://141.218.60.56/~jnz1568/getInfo.php?workbook=18_15.xlsx&amp;sheet=U0&amp;row=1574&amp;col=7&amp;number=0.177&amp;sourceID=14","0.177")</f>
        <v>0.177</v>
      </c>
    </row>
    <row r="1575" spans="1:7">
      <c r="A1575" s="3"/>
      <c r="B1575" s="3"/>
      <c r="C1575" s="3"/>
      <c r="D1575" s="3"/>
      <c r="E1575" s="3">
        <v>12</v>
      </c>
      <c r="F1575" s="4" t="str">
        <f>HYPERLINK("http://141.218.60.56/~jnz1568/getInfo.php?workbook=18_15.xlsx&amp;sheet=U0&amp;row=1575&amp;col=6&amp;number=4.1&amp;sourceID=14","4.1")</f>
        <v>4.1</v>
      </c>
      <c r="G1575" s="4" t="str">
        <f>HYPERLINK("http://141.218.60.56/~jnz1568/getInfo.php?workbook=18_15.xlsx&amp;sheet=U0&amp;row=1575&amp;col=7&amp;number=0.182&amp;sourceID=14","0.182")</f>
        <v>0.182</v>
      </c>
    </row>
    <row r="1576" spans="1:7">
      <c r="A1576" s="3"/>
      <c r="B1576" s="3"/>
      <c r="C1576" s="3"/>
      <c r="D1576" s="3"/>
      <c r="E1576" s="3">
        <v>13</v>
      </c>
      <c r="F1576" s="4" t="str">
        <f>HYPERLINK("http://141.218.60.56/~jnz1568/getInfo.php?workbook=18_15.xlsx&amp;sheet=U0&amp;row=1576&amp;col=6&amp;number=4.2&amp;sourceID=14","4.2")</f>
        <v>4.2</v>
      </c>
      <c r="G1576" s="4" t="str">
        <f>HYPERLINK("http://141.218.60.56/~jnz1568/getInfo.php?workbook=18_15.xlsx&amp;sheet=U0&amp;row=1576&amp;col=7&amp;number=0.186&amp;sourceID=14","0.186")</f>
        <v>0.186</v>
      </c>
    </row>
    <row r="1577" spans="1:7">
      <c r="A1577" s="3"/>
      <c r="B1577" s="3"/>
      <c r="C1577" s="3"/>
      <c r="D1577" s="3"/>
      <c r="E1577" s="3">
        <v>14</v>
      </c>
      <c r="F1577" s="4" t="str">
        <f>HYPERLINK("http://141.218.60.56/~jnz1568/getInfo.php?workbook=18_15.xlsx&amp;sheet=U0&amp;row=1577&amp;col=6&amp;number=4.3&amp;sourceID=14","4.3")</f>
        <v>4.3</v>
      </c>
      <c r="G1577" s="4" t="str">
        <f>HYPERLINK("http://141.218.60.56/~jnz1568/getInfo.php?workbook=18_15.xlsx&amp;sheet=U0&amp;row=1577&amp;col=7&amp;number=0.19&amp;sourceID=14","0.19")</f>
        <v>0.19</v>
      </c>
    </row>
    <row r="1578" spans="1:7">
      <c r="A1578" s="3"/>
      <c r="B1578" s="3"/>
      <c r="C1578" s="3"/>
      <c r="D1578" s="3"/>
      <c r="E1578" s="3">
        <v>15</v>
      </c>
      <c r="F1578" s="4" t="str">
        <f>HYPERLINK("http://141.218.60.56/~jnz1568/getInfo.php?workbook=18_15.xlsx&amp;sheet=U0&amp;row=1578&amp;col=6&amp;number=4.4&amp;sourceID=14","4.4")</f>
        <v>4.4</v>
      </c>
      <c r="G1578" s="4" t="str">
        <f>HYPERLINK("http://141.218.60.56/~jnz1568/getInfo.php?workbook=18_15.xlsx&amp;sheet=U0&amp;row=1578&amp;col=7&amp;number=0.193&amp;sourceID=14","0.193")</f>
        <v>0.193</v>
      </c>
    </row>
    <row r="1579" spans="1:7">
      <c r="A1579" s="3"/>
      <c r="B1579" s="3"/>
      <c r="C1579" s="3"/>
      <c r="D1579" s="3"/>
      <c r="E1579" s="3">
        <v>16</v>
      </c>
      <c r="F1579" s="4" t="str">
        <f>HYPERLINK("http://141.218.60.56/~jnz1568/getInfo.php?workbook=18_15.xlsx&amp;sheet=U0&amp;row=1579&amp;col=6&amp;number=4.5&amp;sourceID=14","4.5")</f>
        <v>4.5</v>
      </c>
      <c r="G1579" s="4" t="str">
        <f>HYPERLINK("http://141.218.60.56/~jnz1568/getInfo.php?workbook=18_15.xlsx&amp;sheet=U0&amp;row=1579&amp;col=7&amp;number=0.194&amp;sourceID=14","0.194")</f>
        <v>0.194</v>
      </c>
    </row>
    <row r="1580" spans="1:7">
      <c r="A1580" s="3"/>
      <c r="B1580" s="3"/>
      <c r="C1580" s="3"/>
      <c r="D1580" s="3"/>
      <c r="E1580" s="3">
        <v>17</v>
      </c>
      <c r="F1580" s="4" t="str">
        <f>HYPERLINK("http://141.218.60.56/~jnz1568/getInfo.php?workbook=18_15.xlsx&amp;sheet=U0&amp;row=1580&amp;col=6&amp;number=4.6&amp;sourceID=14","4.6")</f>
        <v>4.6</v>
      </c>
      <c r="G1580" s="4" t="str">
        <f>HYPERLINK("http://141.218.60.56/~jnz1568/getInfo.php?workbook=18_15.xlsx&amp;sheet=U0&amp;row=1580&amp;col=7&amp;number=0.194&amp;sourceID=14","0.194")</f>
        <v>0.194</v>
      </c>
    </row>
    <row r="1581" spans="1:7">
      <c r="A1581" s="3"/>
      <c r="B1581" s="3"/>
      <c r="C1581" s="3"/>
      <c r="D1581" s="3"/>
      <c r="E1581" s="3">
        <v>18</v>
      </c>
      <c r="F1581" s="4" t="str">
        <f>HYPERLINK("http://141.218.60.56/~jnz1568/getInfo.php?workbook=18_15.xlsx&amp;sheet=U0&amp;row=1581&amp;col=6&amp;number=4.7&amp;sourceID=14","4.7")</f>
        <v>4.7</v>
      </c>
      <c r="G1581" s="4" t="str">
        <f>HYPERLINK("http://141.218.60.56/~jnz1568/getInfo.php?workbook=18_15.xlsx&amp;sheet=U0&amp;row=1581&amp;col=7&amp;number=0.192&amp;sourceID=14","0.192")</f>
        <v>0.192</v>
      </c>
    </row>
    <row r="1582" spans="1:7">
      <c r="A1582" s="3"/>
      <c r="B1582" s="3"/>
      <c r="C1582" s="3"/>
      <c r="D1582" s="3"/>
      <c r="E1582" s="3">
        <v>19</v>
      </c>
      <c r="F1582" s="4" t="str">
        <f>HYPERLINK("http://141.218.60.56/~jnz1568/getInfo.php?workbook=18_15.xlsx&amp;sheet=U0&amp;row=1582&amp;col=6&amp;number=4.8&amp;sourceID=14","4.8")</f>
        <v>4.8</v>
      </c>
      <c r="G1582" s="4" t="str">
        <f>HYPERLINK("http://141.218.60.56/~jnz1568/getInfo.php?workbook=18_15.xlsx&amp;sheet=U0&amp;row=1582&amp;col=7&amp;number=0.191&amp;sourceID=14","0.191")</f>
        <v>0.191</v>
      </c>
    </row>
    <row r="1583" spans="1:7">
      <c r="A1583" s="3"/>
      <c r="B1583" s="3"/>
      <c r="C1583" s="3"/>
      <c r="D1583" s="3"/>
      <c r="E1583" s="3">
        <v>20</v>
      </c>
      <c r="F1583" s="4" t="str">
        <f>HYPERLINK("http://141.218.60.56/~jnz1568/getInfo.php?workbook=18_15.xlsx&amp;sheet=U0&amp;row=1583&amp;col=6&amp;number=4.9&amp;sourceID=14","4.9")</f>
        <v>4.9</v>
      </c>
      <c r="G1583" s="4" t="str">
        <f>HYPERLINK("http://141.218.60.56/~jnz1568/getInfo.php?workbook=18_15.xlsx&amp;sheet=U0&amp;row=1583&amp;col=7&amp;number=0.19&amp;sourceID=14","0.19")</f>
        <v>0.19</v>
      </c>
    </row>
    <row r="1584" spans="1:7">
      <c r="A1584" s="3">
        <v>18</v>
      </c>
      <c r="B1584" s="3">
        <v>15</v>
      </c>
      <c r="C1584" s="3">
        <v>3</v>
      </c>
      <c r="D1584" s="3">
        <v>27</v>
      </c>
      <c r="E1584" s="3">
        <v>1</v>
      </c>
      <c r="F1584" s="4" t="str">
        <f>HYPERLINK("http://141.218.60.56/~jnz1568/getInfo.php?workbook=18_15.xlsx&amp;sheet=U0&amp;row=1584&amp;col=6&amp;number=3&amp;sourceID=14","3")</f>
        <v>3</v>
      </c>
      <c r="G1584" s="4" t="str">
        <f>HYPERLINK("http://141.218.60.56/~jnz1568/getInfo.php?workbook=18_15.xlsx&amp;sheet=U0&amp;row=1584&amp;col=7&amp;number=0.346&amp;sourceID=14","0.346")</f>
        <v>0.346</v>
      </c>
    </row>
    <row r="1585" spans="1:7">
      <c r="A1585" s="3"/>
      <c r="B1585" s="3"/>
      <c r="C1585" s="3"/>
      <c r="D1585" s="3"/>
      <c r="E1585" s="3">
        <v>2</v>
      </c>
      <c r="F1585" s="4" t="str">
        <f>HYPERLINK("http://141.218.60.56/~jnz1568/getInfo.php?workbook=18_15.xlsx&amp;sheet=U0&amp;row=1585&amp;col=6&amp;number=3.1&amp;sourceID=14","3.1")</f>
        <v>3.1</v>
      </c>
      <c r="G1585" s="4" t="str">
        <f>HYPERLINK("http://141.218.60.56/~jnz1568/getInfo.php?workbook=18_15.xlsx&amp;sheet=U0&amp;row=1585&amp;col=7&amp;number=0.348&amp;sourceID=14","0.348")</f>
        <v>0.348</v>
      </c>
    </row>
    <row r="1586" spans="1:7">
      <c r="A1586" s="3"/>
      <c r="B1586" s="3"/>
      <c r="C1586" s="3"/>
      <c r="D1586" s="3"/>
      <c r="E1586" s="3">
        <v>3</v>
      </c>
      <c r="F1586" s="4" t="str">
        <f>HYPERLINK("http://141.218.60.56/~jnz1568/getInfo.php?workbook=18_15.xlsx&amp;sheet=U0&amp;row=1586&amp;col=6&amp;number=3.2&amp;sourceID=14","3.2")</f>
        <v>3.2</v>
      </c>
      <c r="G1586" s="4" t="str">
        <f>HYPERLINK("http://141.218.60.56/~jnz1568/getInfo.php?workbook=18_15.xlsx&amp;sheet=U0&amp;row=1586&amp;col=7&amp;number=0.349&amp;sourceID=14","0.349")</f>
        <v>0.349</v>
      </c>
    </row>
    <row r="1587" spans="1:7">
      <c r="A1587" s="3"/>
      <c r="B1587" s="3"/>
      <c r="C1587" s="3"/>
      <c r="D1587" s="3"/>
      <c r="E1587" s="3">
        <v>4</v>
      </c>
      <c r="F1587" s="4" t="str">
        <f>HYPERLINK("http://141.218.60.56/~jnz1568/getInfo.php?workbook=18_15.xlsx&amp;sheet=U0&amp;row=1587&amp;col=6&amp;number=3.3&amp;sourceID=14","3.3")</f>
        <v>3.3</v>
      </c>
      <c r="G1587" s="4" t="str">
        <f>HYPERLINK("http://141.218.60.56/~jnz1568/getInfo.php?workbook=18_15.xlsx&amp;sheet=U0&amp;row=1587&amp;col=7&amp;number=0.351&amp;sourceID=14","0.351")</f>
        <v>0.351</v>
      </c>
    </row>
    <row r="1588" spans="1:7">
      <c r="A1588" s="3"/>
      <c r="B1588" s="3"/>
      <c r="C1588" s="3"/>
      <c r="D1588" s="3"/>
      <c r="E1588" s="3">
        <v>5</v>
      </c>
      <c r="F1588" s="4" t="str">
        <f>HYPERLINK("http://141.218.60.56/~jnz1568/getInfo.php?workbook=18_15.xlsx&amp;sheet=U0&amp;row=1588&amp;col=6&amp;number=3.4&amp;sourceID=14","3.4")</f>
        <v>3.4</v>
      </c>
      <c r="G1588" s="4" t="str">
        <f>HYPERLINK("http://141.218.60.56/~jnz1568/getInfo.php?workbook=18_15.xlsx&amp;sheet=U0&amp;row=1588&amp;col=7&amp;number=0.353&amp;sourceID=14","0.353")</f>
        <v>0.353</v>
      </c>
    </row>
    <row r="1589" spans="1:7">
      <c r="A1589" s="3"/>
      <c r="B1589" s="3"/>
      <c r="C1589" s="3"/>
      <c r="D1589" s="3"/>
      <c r="E1589" s="3">
        <v>6</v>
      </c>
      <c r="F1589" s="4" t="str">
        <f>HYPERLINK("http://141.218.60.56/~jnz1568/getInfo.php?workbook=18_15.xlsx&amp;sheet=U0&amp;row=1589&amp;col=6&amp;number=3.5&amp;sourceID=14","3.5")</f>
        <v>3.5</v>
      </c>
      <c r="G1589" s="4" t="str">
        <f>HYPERLINK("http://141.218.60.56/~jnz1568/getInfo.php?workbook=18_15.xlsx&amp;sheet=U0&amp;row=1589&amp;col=7&amp;number=0.356&amp;sourceID=14","0.356")</f>
        <v>0.356</v>
      </c>
    </row>
    <row r="1590" spans="1:7">
      <c r="A1590" s="3"/>
      <c r="B1590" s="3"/>
      <c r="C1590" s="3"/>
      <c r="D1590" s="3"/>
      <c r="E1590" s="3">
        <v>7</v>
      </c>
      <c r="F1590" s="4" t="str">
        <f>HYPERLINK("http://141.218.60.56/~jnz1568/getInfo.php?workbook=18_15.xlsx&amp;sheet=U0&amp;row=1590&amp;col=6&amp;number=3.6&amp;sourceID=14","3.6")</f>
        <v>3.6</v>
      </c>
      <c r="G1590" s="4" t="str">
        <f>HYPERLINK("http://141.218.60.56/~jnz1568/getInfo.php?workbook=18_15.xlsx&amp;sheet=U0&amp;row=1590&amp;col=7&amp;number=0.359&amp;sourceID=14","0.359")</f>
        <v>0.359</v>
      </c>
    </row>
    <row r="1591" spans="1:7">
      <c r="A1591" s="3"/>
      <c r="B1591" s="3"/>
      <c r="C1591" s="3"/>
      <c r="D1591" s="3"/>
      <c r="E1591" s="3">
        <v>8</v>
      </c>
      <c r="F1591" s="4" t="str">
        <f>HYPERLINK("http://141.218.60.56/~jnz1568/getInfo.php?workbook=18_15.xlsx&amp;sheet=U0&amp;row=1591&amp;col=6&amp;number=3.7&amp;sourceID=14","3.7")</f>
        <v>3.7</v>
      </c>
      <c r="G1591" s="4" t="str">
        <f>HYPERLINK("http://141.218.60.56/~jnz1568/getInfo.php?workbook=18_15.xlsx&amp;sheet=U0&amp;row=1591&amp;col=7&amp;number=0.362&amp;sourceID=14","0.362")</f>
        <v>0.362</v>
      </c>
    </row>
    <row r="1592" spans="1:7">
      <c r="A1592" s="3"/>
      <c r="B1592" s="3"/>
      <c r="C1592" s="3"/>
      <c r="D1592" s="3"/>
      <c r="E1592" s="3">
        <v>9</v>
      </c>
      <c r="F1592" s="4" t="str">
        <f>HYPERLINK("http://141.218.60.56/~jnz1568/getInfo.php?workbook=18_15.xlsx&amp;sheet=U0&amp;row=1592&amp;col=6&amp;number=3.8&amp;sourceID=14","3.8")</f>
        <v>3.8</v>
      </c>
      <c r="G1592" s="4" t="str">
        <f>HYPERLINK("http://141.218.60.56/~jnz1568/getInfo.php?workbook=18_15.xlsx&amp;sheet=U0&amp;row=1592&amp;col=7&amp;number=0.365&amp;sourceID=14","0.365")</f>
        <v>0.365</v>
      </c>
    </row>
    <row r="1593" spans="1:7">
      <c r="A1593" s="3"/>
      <c r="B1593" s="3"/>
      <c r="C1593" s="3"/>
      <c r="D1593" s="3"/>
      <c r="E1593" s="3">
        <v>10</v>
      </c>
      <c r="F1593" s="4" t="str">
        <f>HYPERLINK("http://141.218.60.56/~jnz1568/getInfo.php?workbook=18_15.xlsx&amp;sheet=U0&amp;row=1593&amp;col=6&amp;number=3.9&amp;sourceID=14","3.9")</f>
        <v>3.9</v>
      </c>
      <c r="G1593" s="4" t="str">
        <f>HYPERLINK("http://141.218.60.56/~jnz1568/getInfo.php?workbook=18_15.xlsx&amp;sheet=U0&amp;row=1593&amp;col=7&amp;number=0.366&amp;sourceID=14","0.366")</f>
        <v>0.366</v>
      </c>
    </row>
    <row r="1594" spans="1:7">
      <c r="A1594" s="3"/>
      <c r="B1594" s="3"/>
      <c r="C1594" s="3"/>
      <c r="D1594" s="3"/>
      <c r="E1594" s="3">
        <v>11</v>
      </c>
      <c r="F1594" s="4" t="str">
        <f>HYPERLINK("http://141.218.60.56/~jnz1568/getInfo.php?workbook=18_15.xlsx&amp;sheet=U0&amp;row=1594&amp;col=6&amp;number=4&amp;sourceID=14","4")</f>
        <v>4</v>
      </c>
      <c r="G1594" s="4" t="str">
        <f>HYPERLINK("http://141.218.60.56/~jnz1568/getInfo.php?workbook=18_15.xlsx&amp;sheet=U0&amp;row=1594&amp;col=7&amp;number=0.365&amp;sourceID=14","0.365")</f>
        <v>0.365</v>
      </c>
    </row>
    <row r="1595" spans="1:7">
      <c r="A1595" s="3"/>
      <c r="B1595" s="3"/>
      <c r="C1595" s="3"/>
      <c r="D1595" s="3"/>
      <c r="E1595" s="3">
        <v>12</v>
      </c>
      <c r="F1595" s="4" t="str">
        <f>HYPERLINK("http://141.218.60.56/~jnz1568/getInfo.php?workbook=18_15.xlsx&amp;sheet=U0&amp;row=1595&amp;col=6&amp;number=4.1&amp;sourceID=14","4.1")</f>
        <v>4.1</v>
      </c>
      <c r="G1595" s="4" t="str">
        <f>HYPERLINK("http://141.218.60.56/~jnz1568/getInfo.php?workbook=18_15.xlsx&amp;sheet=U0&amp;row=1595&amp;col=7&amp;number=0.36&amp;sourceID=14","0.36")</f>
        <v>0.36</v>
      </c>
    </row>
    <row r="1596" spans="1:7">
      <c r="A1596" s="3"/>
      <c r="B1596" s="3"/>
      <c r="C1596" s="3"/>
      <c r="D1596" s="3"/>
      <c r="E1596" s="3">
        <v>13</v>
      </c>
      <c r="F1596" s="4" t="str">
        <f>HYPERLINK("http://141.218.60.56/~jnz1568/getInfo.php?workbook=18_15.xlsx&amp;sheet=U0&amp;row=1596&amp;col=6&amp;number=4.2&amp;sourceID=14","4.2")</f>
        <v>4.2</v>
      </c>
      <c r="G1596" s="4" t="str">
        <f>HYPERLINK("http://141.218.60.56/~jnz1568/getInfo.php?workbook=18_15.xlsx&amp;sheet=U0&amp;row=1596&amp;col=7&amp;number=0.352&amp;sourceID=14","0.352")</f>
        <v>0.352</v>
      </c>
    </row>
    <row r="1597" spans="1:7">
      <c r="A1597" s="3"/>
      <c r="B1597" s="3"/>
      <c r="C1597" s="3"/>
      <c r="D1597" s="3"/>
      <c r="E1597" s="3">
        <v>14</v>
      </c>
      <c r="F1597" s="4" t="str">
        <f>HYPERLINK("http://141.218.60.56/~jnz1568/getInfo.php?workbook=18_15.xlsx&amp;sheet=U0&amp;row=1597&amp;col=6&amp;number=4.3&amp;sourceID=14","4.3")</f>
        <v>4.3</v>
      </c>
      <c r="G1597" s="4" t="str">
        <f>HYPERLINK("http://141.218.60.56/~jnz1568/getInfo.php?workbook=18_15.xlsx&amp;sheet=U0&amp;row=1597&amp;col=7&amp;number=0.345&amp;sourceID=14","0.345")</f>
        <v>0.345</v>
      </c>
    </row>
    <row r="1598" spans="1:7">
      <c r="A1598" s="3"/>
      <c r="B1598" s="3"/>
      <c r="C1598" s="3"/>
      <c r="D1598" s="3"/>
      <c r="E1598" s="3">
        <v>15</v>
      </c>
      <c r="F1598" s="4" t="str">
        <f>HYPERLINK("http://141.218.60.56/~jnz1568/getInfo.php?workbook=18_15.xlsx&amp;sheet=U0&amp;row=1598&amp;col=6&amp;number=4.4&amp;sourceID=14","4.4")</f>
        <v>4.4</v>
      </c>
      <c r="G1598" s="4" t="str">
        <f>HYPERLINK("http://141.218.60.56/~jnz1568/getInfo.php?workbook=18_15.xlsx&amp;sheet=U0&amp;row=1598&amp;col=7&amp;number=0.342&amp;sourceID=14","0.342")</f>
        <v>0.342</v>
      </c>
    </row>
    <row r="1599" spans="1:7">
      <c r="A1599" s="3"/>
      <c r="B1599" s="3"/>
      <c r="C1599" s="3"/>
      <c r="D1599" s="3"/>
      <c r="E1599" s="3">
        <v>16</v>
      </c>
      <c r="F1599" s="4" t="str">
        <f>HYPERLINK("http://141.218.60.56/~jnz1568/getInfo.php?workbook=18_15.xlsx&amp;sheet=U0&amp;row=1599&amp;col=6&amp;number=4.5&amp;sourceID=14","4.5")</f>
        <v>4.5</v>
      </c>
      <c r="G1599" s="4" t="str">
        <f>HYPERLINK("http://141.218.60.56/~jnz1568/getInfo.php?workbook=18_15.xlsx&amp;sheet=U0&amp;row=1599&amp;col=7&amp;number=0.343&amp;sourceID=14","0.343")</f>
        <v>0.343</v>
      </c>
    </row>
    <row r="1600" spans="1:7">
      <c r="A1600" s="3"/>
      <c r="B1600" s="3"/>
      <c r="C1600" s="3"/>
      <c r="D1600" s="3"/>
      <c r="E1600" s="3">
        <v>17</v>
      </c>
      <c r="F1600" s="4" t="str">
        <f>HYPERLINK("http://141.218.60.56/~jnz1568/getInfo.php?workbook=18_15.xlsx&amp;sheet=U0&amp;row=1600&amp;col=6&amp;number=4.6&amp;sourceID=14","4.6")</f>
        <v>4.6</v>
      </c>
      <c r="G1600" s="4" t="str">
        <f>HYPERLINK("http://141.218.60.56/~jnz1568/getInfo.php?workbook=18_15.xlsx&amp;sheet=U0&amp;row=1600&amp;col=7&amp;number=0.343&amp;sourceID=14","0.343")</f>
        <v>0.343</v>
      </c>
    </row>
    <row r="1601" spans="1:7">
      <c r="A1601" s="3"/>
      <c r="B1601" s="3"/>
      <c r="C1601" s="3"/>
      <c r="D1601" s="3"/>
      <c r="E1601" s="3">
        <v>18</v>
      </c>
      <c r="F1601" s="4" t="str">
        <f>HYPERLINK("http://141.218.60.56/~jnz1568/getInfo.php?workbook=18_15.xlsx&amp;sheet=U0&amp;row=1601&amp;col=6&amp;number=4.7&amp;sourceID=14","4.7")</f>
        <v>4.7</v>
      </c>
      <c r="G1601" s="4" t="str">
        <f>HYPERLINK("http://141.218.60.56/~jnz1568/getInfo.php?workbook=18_15.xlsx&amp;sheet=U0&amp;row=1601&amp;col=7&amp;number=0.341&amp;sourceID=14","0.341")</f>
        <v>0.341</v>
      </c>
    </row>
    <row r="1602" spans="1:7">
      <c r="A1602" s="3"/>
      <c r="B1602" s="3"/>
      <c r="C1602" s="3"/>
      <c r="D1602" s="3"/>
      <c r="E1602" s="3">
        <v>19</v>
      </c>
      <c r="F1602" s="4" t="str">
        <f>HYPERLINK("http://141.218.60.56/~jnz1568/getInfo.php?workbook=18_15.xlsx&amp;sheet=U0&amp;row=1602&amp;col=6&amp;number=4.8&amp;sourceID=14","4.8")</f>
        <v>4.8</v>
      </c>
      <c r="G1602" s="4" t="str">
        <f>HYPERLINK("http://141.218.60.56/~jnz1568/getInfo.php?workbook=18_15.xlsx&amp;sheet=U0&amp;row=1602&amp;col=7&amp;number=0.339&amp;sourceID=14","0.339")</f>
        <v>0.339</v>
      </c>
    </row>
    <row r="1603" spans="1:7">
      <c r="A1603" s="3"/>
      <c r="B1603" s="3"/>
      <c r="C1603" s="3"/>
      <c r="D1603" s="3"/>
      <c r="E1603" s="3">
        <v>20</v>
      </c>
      <c r="F1603" s="4" t="str">
        <f>HYPERLINK("http://141.218.60.56/~jnz1568/getInfo.php?workbook=18_15.xlsx&amp;sheet=U0&amp;row=1603&amp;col=6&amp;number=4.9&amp;sourceID=14","4.9")</f>
        <v>4.9</v>
      </c>
      <c r="G1603" s="4" t="str">
        <f>HYPERLINK("http://141.218.60.56/~jnz1568/getInfo.php?workbook=18_15.xlsx&amp;sheet=U0&amp;row=1603&amp;col=7&amp;number=0.336&amp;sourceID=14","0.336")</f>
        <v>0.336</v>
      </c>
    </row>
    <row r="1604" spans="1:7">
      <c r="A1604" s="3">
        <v>18</v>
      </c>
      <c r="B1604" s="3">
        <v>15</v>
      </c>
      <c r="C1604" s="3">
        <v>3</v>
      </c>
      <c r="D1604" s="3">
        <v>28</v>
      </c>
      <c r="E1604" s="3">
        <v>1</v>
      </c>
      <c r="F1604" s="4" t="str">
        <f>HYPERLINK("http://141.218.60.56/~jnz1568/getInfo.php?workbook=18_15.xlsx&amp;sheet=U0&amp;row=1604&amp;col=6&amp;number=3&amp;sourceID=14","3")</f>
        <v>3</v>
      </c>
      <c r="G1604" s="4" t="str">
        <f>HYPERLINK("http://141.218.60.56/~jnz1568/getInfo.php?workbook=18_15.xlsx&amp;sheet=U0&amp;row=1604&amp;col=7&amp;number=0.597&amp;sourceID=14","0.597")</f>
        <v>0.597</v>
      </c>
    </row>
    <row r="1605" spans="1:7">
      <c r="A1605" s="3"/>
      <c r="B1605" s="3"/>
      <c r="C1605" s="3"/>
      <c r="D1605" s="3"/>
      <c r="E1605" s="3">
        <v>2</v>
      </c>
      <c r="F1605" s="4" t="str">
        <f>HYPERLINK("http://141.218.60.56/~jnz1568/getInfo.php?workbook=18_15.xlsx&amp;sheet=U0&amp;row=1605&amp;col=6&amp;number=3.1&amp;sourceID=14","3.1")</f>
        <v>3.1</v>
      </c>
      <c r="G1605" s="4" t="str">
        <f>HYPERLINK("http://141.218.60.56/~jnz1568/getInfo.php?workbook=18_15.xlsx&amp;sheet=U0&amp;row=1605&amp;col=7&amp;number=0.595&amp;sourceID=14","0.595")</f>
        <v>0.595</v>
      </c>
    </row>
    <row r="1606" spans="1:7">
      <c r="A1606" s="3"/>
      <c r="B1606" s="3"/>
      <c r="C1606" s="3"/>
      <c r="D1606" s="3"/>
      <c r="E1606" s="3">
        <v>3</v>
      </c>
      <c r="F1606" s="4" t="str">
        <f>HYPERLINK("http://141.218.60.56/~jnz1568/getInfo.php?workbook=18_15.xlsx&amp;sheet=U0&amp;row=1606&amp;col=6&amp;number=3.2&amp;sourceID=14","3.2")</f>
        <v>3.2</v>
      </c>
      <c r="G1606" s="4" t="str">
        <f>HYPERLINK("http://141.218.60.56/~jnz1568/getInfo.php?workbook=18_15.xlsx&amp;sheet=U0&amp;row=1606&amp;col=7&amp;number=0.592&amp;sourceID=14","0.592")</f>
        <v>0.592</v>
      </c>
    </row>
    <row r="1607" spans="1:7">
      <c r="A1607" s="3"/>
      <c r="B1607" s="3"/>
      <c r="C1607" s="3"/>
      <c r="D1607" s="3"/>
      <c r="E1607" s="3">
        <v>4</v>
      </c>
      <c r="F1607" s="4" t="str">
        <f>HYPERLINK("http://141.218.60.56/~jnz1568/getInfo.php?workbook=18_15.xlsx&amp;sheet=U0&amp;row=1607&amp;col=6&amp;number=3.3&amp;sourceID=14","3.3")</f>
        <v>3.3</v>
      </c>
      <c r="G1607" s="4" t="str">
        <f>HYPERLINK("http://141.218.60.56/~jnz1568/getInfo.php?workbook=18_15.xlsx&amp;sheet=U0&amp;row=1607&amp;col=7&amp;number=0.588&amp;sourceID=14","0.588")</f>
        <v>0.588</v>
      </c>
    </row>
    <row r="1608" spans="1:7">
      <c r="A1608" s="3"/>
      <c r="B1608" s="3"/>
      <c r="C1608" s="3"/>
      <c r="D1608" s="3"/>
      <c r="E1608" s="3">
        <v>5</v>
      </c>
      <c r="F1608" s="4" t="str">
        <f>HYPERLINK("http://141.218.60.56/~jnz1568/getInfo.php?workbook=18_15.xlsx&amp;sheet=U0&amp;row=1608&amp;col=6&amp;number=3.4&amp;sourceID=14","3.4")</f>
        <v>3.4</v>
      </c>
      <c r="G1608" s="4" t="str">
        <f>HYPERLINK("http://141.218.60.56/~jnz1568/getInfo.php?workbook=18_15.xlsx&amp;sheet=U0&amp;row=1608&amp;col=7&amp;number=0.584&amp;sourceID=14","0.584")</f>
        <v>0.584</v>
      </c>
    </row>
    <row r="1609" spans="1:7">
      <c r="A1609" s="3"/>
      <c r="B1609" s="3"/>
      <c r="C1609" s="3"/>
      <c r="D1609" s="3"/>
      <c r="E1609" s="3">
        <v>6</v>
      </c>
      <c r="F1609" s="4" t="str">
        <f>HYPERLINK("http://141.218.60.56/~jnz1568/getInfo.php?workbook=18_15.xlsx&amp;sheet=U0&amp;row=1609&amp;col=6&amp;number=3.5&amp;sourceID=14","3.5")</f>
        <v>3.5</v>
      </c>
      <c r="G1609" s="4" t="str">
        <f>HYPERLINK("http://141.218.60.56/~jnz1568/getInfo.php?workbook=18_15.xlsx&amp;sheet=U0&amp;row=1609&amp;col=7&amp;number=0.578&amp;sourceID=14","0.578")</f>
        <v>0.578</v>
      </c>
    </row>
    <row r="1610" spans="1:7">
      <c r="A1610" s="3"/>
      <c r="B1610" s="3"/>
      <c r="C1610" s="3"/>
      <c r="D1610" s="3"/>
      <c r="E1610" s="3">
        <v>7</v>
      </c>
      <c r="F1610" s="4" t="str">
        <f>HYPERLINK("http://141.218.60.56/~jnz1568/getInfo.php?workbook=18_15.xlsx&amp;sheet=U0&amp;row=1610&amp;col=6&amp;number=3.6&amp;sourceID=14","3.6")</f>
        <v>3.6</v>
      </c>
      <c r="G1610" s="4" t="str">
        <f>HYPERLINK("http://141.218.60.56/~jnz1568/getInfo.php?workbook=18_15.xlsx&amp;sheet=U0&amp;row=1610&amp;col=7&amp;number=0.571&amp;sourceID=14","0.571")</f>
        <v>0.571</v>
      </c>
    </row>
    <row r="1611" spans="1:7">
      <c r="A1611" s="3"/>
      <c r="B1611" s="3"/>
      <c r="C1611" s="3"/>
      <c r="D1611" s="3"/>
      <c r="E1611" s="3">
        <v>8</v>
      </c>
      <c r="F1611" s="4" t="str">
        <f>HYPERLINK("http://141.218.60.56/~jnz1568/getInfo.php?workbook=18_15.xlsx&amp;sheet=U0&amp;row=1611&amp;col=6&amp;number=3.7&amp;sourceID=14","3.7")</f>
        <v>3.7</v>
      </c>
      <c r="G1611" s="4" t="str">
        <f>HYPERLINK("http://141.218.60.56/~jnz1568/getInfo.php?workbook=18_15.xlsx&amp;sheet=U0&amp;row=1611&amp;col=7&amp;number=0.563&amp;sourceID=14","0.563")</f>
        <v>0.563</v>
      </c>
    </row>
    <row r="1612" spans="1:7">
      <c r="A1612" s="3"/>
      <c r="B1612" s="3"/>
      <c r="C1612" s="3"/>
      <c r="D1612" s="3"/>
      <c r="E1612" s="3">
        <v>9</v>
      </c>
      <c r="F1612" s="4" t="str">
        <f>HYPERLINK("http://141.218.60.56/~jnz1568/getInfo.php?workbook=18_15.xlsx&amp;sheet=U0&amp;row=1612&amp;col=6&amp;number=3.8&amp;sourceID=14","3.8")</f>
        <v>3.8</v>
      </c>
      <c r="G1612" s="4" t="str">
        <f>HYPERLINK("http://141.218.60.56/~jnz1568/getInfo.php?workbook=18_15.xlsx&amp;sheet=U0&amp;row=1612&amp;col=7&amp;number=0.553&amp;sourceID=14","0.553")</f>
        <v>0.553</v>
      </c>
    </row>
    <row r="1613" spans="1:7">
      <c r="A1613" s="3"/>
      <c r="B1613" s="3"/>
      <c r="C1613" s="3"/>
      <c r="D1613" s="3"/>
      <c r="E1613" s="3">
        <v>10</v>
      </c>
      <c r="F1613" s="4" t="str">
        <f>HYPERLINK("http://141.218.60.56/~jnz1568/getInfo.php?workbook=18_15.xlsx&amp;sheet=U0&amp;row=1613&amp;col=6&amp;number=3.9&amp;sourceID=14","3.9")</f>
        <v>3.9</v>
      </c>
      <c r="G1613" s="4" t="str">
        <f>HYPERLINK("http://141.218.60.56/~jnz1568/getInfo.php?workbook=18_15.xlsx&amp;sheet=U0&amp;row=1613&amp;col=7&amp;number=0.541&amp;sourceID=14","0.541")</f>
        <v>0.541</v>
      </c>
    </row>
    <row r="1614" spans="1:7">
      <c r="A1614" s="3"/>
      <c r="B1614" s="3"/>
      <c r="C1614" s="3"/>
      <c r="D1614" s="3"/>
      <c r="E1614" s="3">
        <v>11</v>
      </c>
      <c r="F1614" s="4" t="str">
        <f>HYPERLINK("http://141.218.60.56/~jnz1568/getInfo.php?workbook=18_15.xlsx&amp;sheet=U0&amp;row=1614&amp;col=6&amp;number=4&amp;sourceID=14","4")</f>
        <v>4</v>
      </c>
      <c r="G1614" s="4" t="str">
        <f>HYPERLINK("http://141.218.60.56/~jnz1568/getInfo.php?workbook=18_15.xlsx&amp;sheet=U0&amp;row=1614&amp;col=7&amp;number=0.527&amp;sourceID=14","0.527")</f>
        <v>0.527</v>
      </c>
    </row>
    <row r="1615" spans="1:7">
      <c r="A1615" s="3"/>
      <c r="B1615" s="3"/>
      <c r="C1615" s="3"/>
      <c r="D1615" s="3"/>
      <c r="E1615" s="3">
        <v>12</v>
      </c>
      <c r="F1615" s="4" t="str">
        <f>HYPERLINK("http://141.218.60.56/~jnz1568/getInfo.php?workbook=18_15.xlsx&amp;sheet=U0&amp;row=1615&amp;col=6&amp;number=4.1&amp;sourceID=14","4.1")</f>
        <v>4.1</v>
      </c>
      <c r="G1615" s="4" t="str">
        <f>HYPERLINK("http://141.218.60.56/~jnz1568/getInfo.php?workbook=18_15.xlsx&amp;sheet=U0&amp;row=1615&amp;col=7&amp;number=0.513&amp;sourceID=14","0.513")</f>
        <v>0.513</v>
      </c>
    </row>
    <row r="1616" spans="1:7">
      <c r="A1616" s="3"/>
      <c r="B1616" s="3"/>
      <c r="C1616" s="3"/>
      <c r="D1616" s="3"/>
      <c r="E1616" s="3">
        <v>13</v>
      </c>
      <c r="F1616" s="4" t="str">
        <f>HYPERLINK("http://141.218.60.56/~jnz1568/getInfo.php?workbook=18_15.xlsx&amp;sheet=U0&amp;row=1616&amp;col=6&amp;number=4.2&amp;sourceID=14","4.2")</f>
        <v>4.2</v>
      </c>
      <c r="G1616" s="4" t="str">
        <f>HYPERLINK("http://141.218.60.56/~jnz1568/getInfo.php?workbook=18_15.xlsx&amp;sheet=U0&amp;row=1616&amp;col=7&amp;number=0.498&amp;sourceID=14","0.498")</f>
        <v>0.498</v>
      </c>
    </row>
    <row r="1617" spans="1:7">
      <c r="A1617" s="3"/>
      <c r="B1617" s="3"/>
      <c r="C1617" s="3"/>
      <c r="D1617" s="3"/>
      <c r="E1617" s="3">
        <v>14</v>
      </c>
      <c r="F1617" s="4" t="str">
        <f>HYPERLINK("http://141.218.60.56/~jnz1568/getInfo.php?workbook=18_15.xlsx&amp;sheet=U0&amp;row=1617&amp;col=6&amp;number=4.3&amp;sourceID=14","4.3")</f>
        <v>4.3</v>
      </c>
      <c r="G1617" s="4" t="str">
        <f>HYPERLINK("http://141.218.60.56/~jnz1568/getInfo.php?workbook=18_15.xlsx&amp;sheet=U0&amp;row=1617&amp;col=7&amp;number=0.484&amp;sourceID=14","0.484")</f>
        <v>0.484</v>
      </c>
    </row>
    <row r="1618" spans="1:7">
      <c r="A1618" s="3"/>
      <c r="B1618" s="3"/>
      <c r="C1618" s="3"/>
      <c r="D1618" s="3"/>
      <c r="E1618" s="3">
        <v>15</v>
      </c>
      <c r="F1618" s="4" t="str">
        <f>HYPERLINK("http://141.218.60.56/~jnz1568/getInfo.php?workbook=18_15.xlsx&amp;sheet=U0&amp;row=1618&amp;col=6&amp;number=4.4&amp;sourceID=14","4.4")</f>
        <v>4.4</v>
      </c>
      <c r="G1618" s="4" t="str">
        <f>HYPERLINK("http://141.218.60.56/~jnz1568/getInfo.php?workbook=18_15.xlsx&amp;sheet=U0&amp;row=1618&amp;col=7&amp;number=0.472&amp;sourceID=14","0.472")</f>
        <v>0.472</v>
      </c>
    </row>
    <row r="1619" spans="1:7">
      <c r="A1619" s="3"/>
      <c r="B1619" s="3"/>
      <c r="C1619" s="3"/>
      <c r="D1619" s="3"/>
      <c r="E1619" s="3">
        <v>16</v>
      </c>
      <c r="F1619" s="4" t="str">
        <f>HYPERLINK("http://141.218.60.56/~jnz1568/getInfo.php?workbook=18_15.xlsx&amp;sheet=U0&amp;row=1619&amp;col=6&amp;number=4.5&amp;sourceID=14","4.5")</f>
        <v>4.5</v>
      </c>
      <c r="G1619" s="4" t="str">
        <f>HYPERLINK("http://141.218.60.56/~jnz1568/getInfo.php?workbook=18_15.xlsx&amp;sheet=U0&amp;row=1619&amp;col=7&amp;number=0.465&amp;sourceID=14","0.465")</f>
        <v>0.465</v>
      </c>
    </row>
    <row r="1620" spans="1:7">
      <c r="A1620" s="3"/>
      <c r="B1620" s="3"/>
      <c r="C1620" s="3"/>
      <c r="D1620" s="3"/>
      <c r="E1620" s="3">
        <v>17</v>
      </c>
      <c r="F1620" s="4" t="str">
        <f>HYPERLINK("http://141.218.60.56/~jnz1568/getInfo.php?workbook=18_15.xlsx&amp;sheet=U0&amp;row=1620&amp;col=6&amp;number=4.6&amp;sourceID=14","4.6")</f>
        <v>4.6</v>
      </c>
      <c r="G1620" s="4" t="str">
        <f>HYPERLINK("http://141.218.60.56/~jnz1568/getInfo.php?workbook=18_15.xlsx&amp;sheet=U0&amp;row=1620&amp;col=7&amp;number=0.462&amp;sourceID=14","0.462")</f>
        <v>0.462</v>
      </c>
    </row>
    <row r="1621" spans="1:7">
      <c r="A1621" s="3"/>
      <c r="B1621" s="3"/>
      <c r="C1621" s="3"/>
      <c r="D1621" s="3"/>
      <c r="E1621" s="3">
        <v>18</v>
      </c>
      <c r="F1621" s="4" t="str">
        <f>HYPERLINK("http://141.218.60.56/~jnz1568/getInfo.php?workbook=18_15.xlsx&amp;sheet=U0&amp;row=1621&amp;col=6&amp;number=4.7&amp;sourceID=14","4.7")</f>
        <v>4.7</v>
      </c>
      <c r="G1621" s="4" t="str">
        <f>HYPERLINK("http://141.218.60.56/~jnz1568/getInfo.php?workbook=18_15.xlsx&amp;sheet=U0&amp;row=1621&amp;col=7&amp;number=0.461&amp;sourceID=14","0.461")</f>
        <v>0.461</v>
      </c>
    </row>
    <row r="1622" spans="1:7">
      <c r="A1622" s="3"/>
      <c r="B1622" s="3"/>
      <c r="C1622" s="3"/>
      <c r="D1622" s="3"/>
      <c r="E1622" s="3">
        <v>19</v>
      </c>
      <c r="F1622" s="4" t="str">
        <f>HYPERLINK("http://141.218.60.56/~jnz1568/getInfo.php?workbook=18_15.xlsx&amp;sheet=U0&amp;row=1622&amp;col=6&amp;number=4.8&amp;sourceID=14","4.8")</f>
        <v>4.8</v>
      </c>
      <c r="G1622" s="4" t="str">
        <f>HYPERLINK("http://141.218.60.56/~jnz1568/getInfo.php?workbook=18_15.xlsx&amp;sheet=U0&amp;row=1622&amp;col=7&amp;number=0.458&amp;sourceID=14","0.458")</f>
        <v>0.458</v>
      </c>
    </row>
    <row r="1623" spans="1:7">
      <c r="A1623" s="3"/>
      <c r="B1623" s="3"/>
      <c r="C1623" s="3"/>
      <c r="D1623" s="3"/>
      <c r="E1623" s="3">
        <v>20</v>
      </c>
      <c r="F1623" s="4" t="str">
        <f>HYPERLINK("http://141.218.60.56/~jnz1568/getInfo.php?workbook=18_15.xlsx&amp;sheet=U0&amp;row=1623&amp;col=6&amp;number=4.9&amp;sourceID=14","4.9")</f>
        <v>4.9</v>
      </c>
      <c r="G1623" s="4" t="str">
        <f>HYPERLINK("http://141.218.60.56/~jnz1568/getInfo.php?workbook=18_15.xlsx&amp;sheet=U0&amp;row=1623&amp;col=7&amp;number=0.452&amp;sourceID=14","0.452")</f>
        <v>0.452</v>
      </c>
    </row>
    <row r="1624" spans="1:7">
      <c r="A1624" s="3">
        <v>18</v>
      </c>
      <c r="B1624" s="3">
        <v>15</v>
      </c>
      <c r="C1624" s="3">
        <v>3</v>
      </c>
      <c r="D1624" s="3">
        <v>29</v>
      </c>
      <c r="E1624" s="3">
        <v>1</v>
      </c>
      <c r="F1624" s="4" t="str">
        <f>HYPERLINK("http://141.218.60.56/~jnz1568/getInfo.php?workbook=18_15.xlsx&amp;sheet=U0&amp;row=1624&amp;col=6&amp;number=3&amp;sourceID=14","3")</f>
        <v>3</v>
      </c>
      <c r="G1624" s="4" t="str">
        <f>HYPERLINK("http://141.218.60.56/~jnz1568/getInfo.php?workbook=18_15.xlsx&amp;sheet=U0&amp;row=1624&amp;col=7&amp;number=0.439&amp;sourceID=14","0.439")</f>
        <v>0.439</v>
      </c>
    </row>
    <row r="1625" spans="1:7">
      <c r="A1625" s="3"/>
      <c r="B1625" s="3"/>
      <c r="C1625" s="3"/>
      <c r="D1625" s="3"/>
      <c r="E1625" s="3">
        <v>2</v>
      </c>
      <c r="F1625" s="4" t="str">
        <f>HYPERLINK("http://141.218.60.56/~jnz1568/getInfo.php?workbook=18_15.xlsx&amp;sheet=U0&amp;row=1625&amp;col=6&amp;number=3.1&amp;sourceID=14","3.1")</f>
        <v>3.1</v>
      </c>
      <c r="G1625" s="4" t="str">
        <f>HYPERLINK("http://141.218.60.56/~jnz1568/getInfo.php?workbook=18_15.xlsx&amp;sheet=U0&amp;row=1625&amp;col=7&amp;number=0.435&amp;sourceID=14","0.435")</f>
        <v>0.435</v>
      </c>
    </row>
    <row r="1626" spans="1:7">
      <c r="A1626" s="3"/>
      <c r="B1626" s="3"/>
      <c r="C1626" s="3"/>
      <c r="D1626" s="3"/>
      <c r="E1626" s="3">
        <v>3</v>
      </c>
      <c r="F1626" s="4" t="str">
        <f>HYPERLINK("http://141.218.60.56/~jnz1568/getInfo.php?workbook=18_15.xlsx&amp;sheet=U0&amp;row=1626&amp;col=6&amp;number=3.2&amp;sourceID=14","3.2")</f>
        <v>3.2</v>
      </c>
      <c r="G1626" s="4" t="str">
        <f>HYPERLINK("http://141.218.60.56/~jnz1568/getInfo.php?workbook=18_15.xlsx&amp;sheet=U0&amp;row=1626&amp;col=7&amp;number=0.429&amp;sourceID=14","0.429")</f>
        <v>0.429</v>
      </c>
    </row>
    <row r="1627" spans="1:7">
      <c r="A1627" s="3"/>
      <c r="B1627" s="3"/>
      <c r="C1627" s="3"/>
      <c r="D1627" s="3"/>
      <c r="E1627" s="3">
        <v>4</v>
      </c>
      <c r="F1627" s="4" t="str">
        <f>HYPERLINK("http://141.218.60.56/~jnz1568/getInfo.php?workbook=18_15.xlsx&amp;sheet=U0&amp;row=1627&amp;col=6&amp;number=3.3&amp;sourceID=14","3.3")</f>
        <v>3.3</v>
      </c>
      <c r="G1627" s="4" t="str">
        <f>HYPERLINK("http://141.218.60.56/~jnz1568/getInfo.php?workbook=18_15.xlsx&amp;sheet=U0&amp;row=1627&amp;col=7&amp;number=0.423&amp;sourceID=14","0.423")</f>
        <v>0.423</v>
      </c>
    </row>
    <row r="1628" spans="1:7">
      <c r="A1628" s="3"/>
      <c r="B1628" s="3"/>
      <c r="C1628" s="3"/>
      <c r="D1628" s="3"/>
      <c r="E1628" s="3">
        <v>5</v>
      </c>
      <c r="F1628" s="4" t="str">
        <f>HYPERLINK("http://141.218.60.56/~jnz1568/getInfo.php?workbook=18_15.xlsx&amp;sheet=U0&amp;row=1628&amp;col=6&amp;number=3.4&amp;sourceID=14","3.4")</f>
        <v>3.4</v>
      </c>
      <c r="G1628" s="4" t="str">
        <f>HYPERLINK("http://141.218.60.56/~jnz1568/getInfo.php?workbook=18_15.xlsx&amp;sheet=U0&amp;row=1628&amp;col=7&amp;number=0.415&amp;sourceID=14","0.415")</f>
        <v>0.415</v>
      </c>
    </row>
    <row r="1629" spans="1:7">
      <c r="A1629" s="3"/>
      <c r="B1629" s="3"/>
      <c r="C1629" s="3"/>
      <c r="D1629" s="3"/>
      <c r="E1629" s="3">
        <v>6</v>
      </c>
      <c r="F1629" s="4" t="str">
        <f>HYPERLINK("http://141.218.60.56/~jnz1568/getInfo.php?workbook=18_15.xlsx&amp;sheet=U0&amp;row=1629&amp;col=6&amp;number=3.5&amp;sourceID=14","3.5")</f>
        <v>3.5</v>
      </c>
      <c r="G1629" s="4" t="str">
        <f>HYPERLINK("http://141.218.60.56/~jnz1568/getInfo.php?workbook=18_15.xlsx&amp;sheet=U0&amp;row=1629&amp;col=7&amp;number=0.406&amp;sourceID=14","0.406")</f>
        <v>0.406</v>
      </c>
    </row>
    <row r="1630" spans="1:7">
      <c r="A1630" s="3"/>
      <c r="B1630" s="3"/>
      <c r="C1630" s="3"/>
      <c r="D1630" s="3"/>
      <c r="E1630" s="3">
        <v>7</v>
      </c>
      <c r="F1630" s="4" t="str">
        <f>HYPERLINK("http://141.218.60.56/~jnz1568/getInfo.php?workbook=18_15.xlsx&amp;sheet=U0&amp;row=1630&amp;col=6&amp;number=3.6&amp;sourceID=14","3.6")</f>
        <v>3.6</v>
      </c>
      <c r="G1630" s="4" t="str">
        <f>HYPERLINK("http://141.218.60.56/~jnz1568/getInfo.php?workbook=18_15.xlsx&amp;sheet=U0&amp;row=1630&amp;col=7&amp;number=0.394&amp;sourceID=14","0.394")</f>
        <v>0.394</v>
      </c>
    </row>
    <row r="1631" spans="1:7">
      <c r="A1631" s="3"/>
      <c r="B1631" s="3"/>
      <c r="C1631" s="3"/>
      <c r="D1631" s="3"/>
      <c r="E1631" s="3">
        <v>8</v>
      </c>
      <c r="F1631" s="4" t="str">
        <f>HYPERLINK("http://141.218.60.56/~jnz1568/getInfo.php?workbook=18_15.xlsx&amp;sheet=U0&amp;row=1631&amp;col=6&amp;number=3.7&amp;sourceID=14","3.7")</f>
        <v>3.7</v>
      </c>
      <c r="G1631" s="4" t="str">
        <f>HYPERLINK("http://141.218.60.56/~jnz1568/getInfo.php?workbook=18_15.xlsx&amp;sheet=U0&amp;row=1631&amp;col=7&amp;number=0.382&amp;sourceID=14","0.382")</f>
        <v>0.382</v>
      </c>
    </row>
    <row r="1632" spans="1:7">
      <c r="A1632" s="3"/>
      <c r="B1632" s="3"/>
      <c r="C1632" s="3"/>
      <c r="D1632" s="3"/>
      <c r="E1632" s="3">
        <v>9</v>
      </c>
      <c r="F1632" s="4" t="str">
        <f>HYPERLINK("http://141.218.60.56/~jnz1568/getInfo.php?workbook=18_15.xlsx&amp;sheet=U0&amp;row=1632&amp;col=6&amp;number=3.8&amp;sourceID=14","3.8")</f>
        <v>3.8</v>
      </c>
      <c r="G1632" s="4" t="str">
        <f>HYPERLINK("http://141.218.60.56/~jnz1568/getInfo.php?workbook=18_15.xlsx&amp;sheet=U0&amp;row=1632&amp;col=7&amp;number=0.368&amp;sourceID=14","0.368")</f>
        <v>0.368</v>
      </c>
    </row>
    <row r="1633" spans="1:7">
      <c r="A1633" s="3"/>
      <c r="B1633" s="3"/>
      <c r="C1633" s="3"/>
      <c r="D1633" s="3"/>
      <c r="E1633" s="3">
        <v>10</v>
      </c>
      <c r="F1633" s="4" t="str">
        <f>HYPERLINK("http://141.218.60.56/~jnz1568/getInfo.php?workbook=18_15.xlsx&amp;sheet=U0&amp;row=1633&amp;col=6&amp;number=3.9&amp;sourceID=14","3.9")</f>
        <v>3.9</v>
      </c>
      <c r="G1633" s="4" t="str">
        <f>HYPERLINK("http://141.218.60.56/~jnz1568/getInfo.php?workbook=18_15.xlsx&amp;sheet=U0&amp;row=1633&amp;col=7&amp;number=0.353&amp;sourceID=14","0.353")</f>
        <v>0.353</v>
      </c>
    </row>
    <row r="1634" spans="1:7">
      <c r="A1634" s="3"/>
      <c r="B1634" s="3"/>
      <c r="C1634" s="3"/>
      <c r="D1634" s="3"/>
      <c r="E1634" s="3">
        <v>11</v>
      </c>
      <c r="F1634" s="4" t="str">
        <f>HYPERLINK("http://141.218.60.56/~jnz1568/getInfo.php?workbook=18_15.xlsx&amp;sheet=U0&amp;row=1634&amp;col=6&amp;number=4&amp;sourceID=14","4")</f>
        <v>4</v>
      </c>
      <c r="G1634" s="4" t="str">
        <f>HYPERLINK("http://141.218.60.56/~jnz1568/getInfo.php?workbook=18_15.xlsx&amp;sheet=U0&amp;row=1634&amp;col=7&amp;number=0.341&amp;sourceID=14","0.341")</f>
        <v>0.341</v>
      </c>
    </row>
    <row r="1635" spans="1:7">
      <c r="A1635" s="3"/>
      <c r="B1635" s="3"/>
      <c r="C1635" s="3"/>
      <c r="D1635" s="3"/>
      <c r="E1635" s="3">
        <v>12</v>
      </c>
      <c r="F1635" s="4" t="str">
        <f>HYPERLINK("http://141.218.60.56/~jnz1568/getInfo.php?workbook=18_15.xlsx&amp;sheet=U0&amp;row=1635&amp;col=6&amp;number=4.1&amp;sourceID=14","4.1")</f>
        <v>4.1</v>
      </c>
      <c r="G1635" s="4" t="str">
        <f>HYPERLINK("http://141.218.60.56/~jnz1568/getInfo.php?workbook=18_15.xlsx&amp;sheet=U0&amp;row=1635&amp;col=7&amp;number=0.333&amp;sourceID=14","0.333")</f>
        <v>0.333</v>
      </c>
    </row>
    <row r="1636" spans="1:7">
      <c r="A1636" s="3"/>
      <c r="B1636" s="3"/>
      <c r="C1636" s="3"/>
      <c r="D1636" s="3"/>
      <c r="E1636" s="3">
        <v>13</v>
      </c>
      <c r="F1636" s="4" t="str">
        <f>HYPERLINK("http://141.218.60.56/~jnz1568/getInfo.php?workbook=18_15.xlsx&amp;sheet=U0&amp;row=1636&amp;col=6&amp;number=4.2&amp;sourceID=14","4.2")</f>
        <v>4.2</v>
      </c>
      <c r="G1636" s="4" t="str">
        <f>HYPERLINK("http://141.218.60.56/~jnz1568/getInfo.php?workbook=18_15.xlsx&amp;sheet=U0&amp;row=1636&amp;col=7&amp;number=0.328&amp;sourceID=14","0.328")</f>
        <v>0.328</v>
      </c>
    </row>
    <row r="1637" spans="1:7">
      <c r="A1637" s="3"/>
      <c r="B1637" s="3"/>
      <c r="C1637" s="3"/>
      <c r="D1637" s="3"/>
      <c r="E1637" s="3">
        <v>14</v>
      </c>
      <c r="F1637" s="4" t="str">
        <f>HYPERLINK("http://141.218.60.56/~jnz1568/getInfo.php?workbook=18_15.xlsx&amp;sheet=U0&amp;row=1637&amp;col=6&amp;number=4.3&amp;sourceID=14","4.3")</f>
        <v>4.3</v>
      </c>
      <c r="G1637" s="4" t="str">
        <f>HYPERLINK("http://141.218.60.56/~jnz1568/getInfo.php?workbook=18_15.xlsx&amp;sheet=U0&amp;row=1637&amp;col=7&amp;number=0.325&amp;sourceID=14","0.325")</f>
        <v>0.325</v>
      </c>
    </row>
    <row r="1638" spans="1:7">
      <c r="A1638" s="3"/>
      <c r="B1638" s="3"/>
      <c r="C1638" s="3"/>
      <c r="D1638" s="3"/>
      <c r="E1638" s="3">
        <v>15</v>
      </c>
      <c r="F1638" s="4" t="str">
        <f>HYPERLINK("http://141.218.60.56/~jnz1568/getInfo.php?workbook=18_15.xlsx&amp;sheet=U0&amp;row=1638&amp;col=6&amp;number=4.4&amp;sourceID=14","4.4")</f>
        <v>4.4</v>
      </c>
      <c r="G1638" s="4" t="str">
        <f>HYPERLINK("http://141.218.60.56/~jnz1568/getInfo.php?workbook=18_15.xlsx&amp;sheet=U0&amp;row=1638&amp;col=7&amp;number=0.319&amp;sourceID=14","0.319")</f>
        <v>0.319</v>
      </c>
    </row>
    <row r="1639" spans="1:7">
      <c r="A1639" s="3"/>
      <c r="B1639" s="3"/>
      <c r="C1639" s="3"/>
      <c r="D1639" s="3"/>
      <c r="E1639" s="3">
        <v>16</v>
      </c>
      <c r="F1639" s="4" t="str">
        <f>HYPERLINK("http://141.218.60.56/~jnz1568/getInfo.php?workbook=18_15.xlsx&amp;sheet=U0&amp;row=1639&amp;col=6&amp;number=4.5&amp;sourceID=14","4.5")</f>
        <v>4.5</v>
      </c>
      <c r="G1639" s="4" t="str">
        <f>HYPERLINK("http://141.218.60.56/~jnz1568/getInfo.php?workbook=18_15.xlsx&amp;sheet=U0&amp;row=1639&amp;col=7&amp;number=0.31&amp;sourceID=14","0.31")</f>
        <v>0.31</v>
      </c>
    </row>
    <row r="1640" spans="1:7">
      <c r="A1640" s="3"/>
      <c r="B1640" s="3"/>
      <c r="C1640" s="3"/>
      <c r="D1640" s="3"/>
      <c r="E1640" s="3">
        <v>17</v>
      </c>
      <c r="F1640" s="4" t="str">
        <f>HYPERLINK("http://141.218.60.56/~jnz1568/getInfo.php?workbook=18_15.xlsx&amp;sheet=U0&amp;row=1640&amp;col=6&amp;number=4.6&amp;sourceID=14","4.6")</f>
        <v>4.6</v>
      </c>
      <c r="G1640" s="4" t="str">
        <f>HYPERLINK("http://141.218.60.56/~jnz1568/getInfo.php?workbook=18_15.xlsx&amp;sheet=U0&amp;row=1640&amp;col=7&amp;number=0.301&amp;sourceID=14","0.301")</f>
        <v>0.301</v>
      </c>
    </row>
    <row r="1641" spans="1:7">
      <c r="A1641" s="3"/>
      <c r="B1641" s="3"/>
      <c r="C1641" s="3"/>
      <c r="D1641" s="3"/>
      <c r="E1641" s="3">
        <v>18</v>
      </c>
      <c r="F1641" s="4" t="str">
        <f>HYPERLINK("http://141.218.60.56/~jnz1568/getInfo.php?workbook=18_15.xlsx&amp;sheet=U0&amp;row=1641&amp;col=6&amp;number=4.7&amp;sourceID=14","4.7")</f>
        <v>4.7</v>
      </c>
      <c r="G1641" s="4" t="str">
        <f>HYPERLINK("http://141.218.60.56/~jnz1568/getInfo.php?workbook=18_15.xlsx&amp;sheet=U0&amp;row=1641&amp;col=7&amp;number=0.294&amp;sourceID=14","0.294")</f>
        <v>0.294</v>
      </c>
    </row>
    <row r="1642" spans="1:7">
      <c r="A1642" s="3"/>
      <c r="B1642" s="3"/>
      <c r="C1642" s="3"/>
      <c r="D1642" s="3"/>
      <c r="E1642" s="3">
        <v>19</v>
      </c>
      <c r="F1642" s="4" t="str">
        <f>HYPERLINK("http://141.218.60.56/~jnz1568/getInfo.php?workbook=18_15.xlsx&amp;sheet=U0&amp;row=1642&amp;col=6&amp;number=4.8&amp;sourceID=14","4.8")</f>
        <v>4.8</v>
      </c>
      <c r="G1642" s="4" t="str">
        <f>HYPERLINK("http://141.218.60.56/~jnz1568/getInfo.php?workbook=18_15.xlsx&amp;sheet=U0&amp;row=1642&amp;col=7&amp;number=0.288&amp;sourceID=14","0.288")</f>
        <v>0.288</v>
      </c>
    </row>
    <row r="1643" spans="1:7">
      <c r="A1643" s="3"/>
      <c r="B1643" s="3"/>
      <c r="C1643" s="3"/>
      <c r="D1643" s="3"/>
      <c r="E1643" s="3">
        <v>20</v>
      </c>
      <c r="F1643" s="4" t="str">
        <f>HYPERLINK("http://141.218.60.56/~jnz1568/getInfo.php?workbook=18_15.xlsx&amp;sheet=U0&amp;row=1643&amp;col=6&amp;number=4.9&amp;sourceID=14","4.9")</f>
        <v>4.9</v>
      </c>
      <c r="G1643" s="4" t="str">
        <f>HYPERLINK("http://141.218.60.56/~jnz1568/getInfo.php?workbook=18_15.xlsx&amp;sheet=U0&amp;row=1643&amp;col=7&amp;number=0.283&amp;sourceID=14","0.283")</f>
        <v>0.283</v>
      </c>
    </row>
    <row r="1644" spans="1:7">
      <c r="A1644" s="3">
        <v>18</v>
      </c>
      <c r="B1644" s="3">
        <v>15</v>
      </c>
      <c r="C1644" s="3">
        <v>3</v>
      </c>
      <c r="D1644" s="3">
        <v>30</v>
      </c>
      <c r="E1644" s="3">
        <v>1</v>
      </c>
      <c r="F1644" s="4" t="str">
        <f>HYPERLINK("http://141.218.60.56/~jnz1568/getInfo.php?workbook=18_15.xlsx&amp;sheet=U0&amp;row=1644&amp;col=6&amp;number=3&amp;sourceID=14","3")</f>
        <v>3</v>
      </c>
      <c r="G1644" s="4" t="str">
        <f>HYPERLINK("http://141.218.60.56/~jnz1568/getInfo.php?workbook=18_15.xlsx&amp;sheet=U0&amp;row=1644&amp;col=7&amp;number=10.4&amp;sourceID=14","10.4")</f>
        <v>10.4</v>
      </c>
    </row>
    <row r="1645" spans="1:7">
      <c r="A1645" s="3"/>
      <c r="B1645" s="3"/>
      <c r="C1645" s="3"/>
      <c r="D1645" s="3"/>
      <c r="E1645" s="3">
        <v>2</v>
      </c>
      <c r="F1645" s="4" t="str">
        <f>HYPERLINK("http://141.218.60.56/~jnz1568/getInfo.php?workbook=18_15.xlsx&amp;sheet=U0&amp;row=1645&amp;col=6&amp;number=3.1&amp;sourceID=14","3.1")</f>
        <v>3.1</v>
      </c>
      <c r="G1645" s="4" t="str">
        <f>HYPERLINK("http://141.218.60.56/~jnz1568/getInfo.php?workbook=18_15.xlsx&amp;sheet=U0&amp;row=1645&amp;col=7&amp;number=10.2&amp;sourceID=14","10.2")</f>
        <v>10.2</v>
      </c>
    </row>
    <row r="1646" spans="1:7">
      <c r="A1646" s="3"/>
      <c r="B1646" s="3"/>
      <c r="C1646" s="3"/>
      <c r="D1646" s="3"/>
      <c r="E1646" s="3">
        <v>3</v>
      </c>
      <c r="F1646" s="4" t="str">
        <f>HYPERLINK("http://141.218.60.56/~jnz1568/getInfo.php?workbook=18_15.xlsx&amp;sheet=U0&amp;row=1646&amp;col=6&amp;number=3.2&amp;sourceID=14","3.2")</f>
        <v>3.2</v>
      </c>
      <c r="G1646" s="4" t="str">
        <f>HYPERLINK("http://141.218.60.56/~jnz1568/getInfo.php?workbook=18_15.xlsx&amp;sheet=U0&amp;row=1646&amp;col=7&amp;number=9.9&amp;sourceID=14","9.9")</f>
        <v>9.9</v>
      </c>
    </row>
    <row r="1647" spans="1:7">
      <c r="A1647" s="3"/>
      <c r="B1647" s="3"/>
      <c r="C1647" s="3"/>
      <c r="D1647" s="3"/>
      <c r="E1647" s="3">
        <v>4</v>
      </c>
      <c r="F1647" s="4" t="str">
        <f>HYPERLINK("http://141.218.60.56/~jnz1568/getInfo.php?workbook=18_15.xlsx&amp;sheet=U0&amp;row=1647&amp;col=6&amp;number=3.3&amp;sourceID=14","3.3")</f>
        <v>3.3</v>
      </c>
      <c r="G1647" s="4" t="str">
        <f>HYPERLINK("http://141.218.60.56/~jnz1568/getInfo.php?workbook=18_15.xlsx&amp;sheet=U0&amp;row=1647&amp;col=7&amp;number=9.58&amp;sourceID=14","9.58")</f>
        <v>9.58</v>
      </c>
    </row>
    <row r="1648" spans="1:7">
      <c r="A1648" s="3"/>
      <c r="B1648" s="3"/>
      <c r="C1648" s="3"/>
      <c r="D1648" s="3"/>
      <c r="E1648" s="3">
        <v>5</v>
      </c>
      <c r="F1648" s="4" t="str">
        <f>HYPERLINK("http://141.218.60.56/~jnz1568/getInfo.php?workbook=18_15.xlsx&amp;sheet=U0&amp;row=1648&amp;col=6&amp;number=3.4&amp;sourceID=14","3.4")</f>
        <v>3.4</v>
      </c>
      <c r="G1648" s="4" t="str">
        <f>HYPERLINK("http://141.218.60.56/~jnz1568/getInfo.php?workbook=18_15.xlsx&amp;sheet=U0&amp;row=1648&amp;col=7&amp;number=9.18&amp;sourceID=14","9.18")</f>
        <v>9.18</v>
      </c>
    </row>
    <row r="1649" spans="1:7">
      <c r="A1649" s="3"/>
      <c r="B1649" s="3"/>
      <c r="C1649" s="3"/>
      <c r="D1649" s="3"/>
      <c r="E1649" s="3">
        <v>6</v>
      </c>
      <c r="F1649" s="4" t="str">
        <f>HYPERLINK("http://141.218.60.56/~jnz1568/getInfo.php?workbook=18_15.xlsx&amp;sheet=U0&amp;row=1649&amp;col=6&amp;number=3.5&amp;sourceID=14","3.5")</f>
        <v>3.5</v>
      </c>
      <c r="G1649" s="4" t="str">
        <f>HYPERLINK("http://141.218.60.56/~jnz1568/getInfo.php?workbook=18_15.xlsx&amp;sheet=U0&amp;row=1649&amp;col=7&amp;number=8.69&amp;sourceID=14","8.69")</f>
        <v>8.69</v>
      </c>
    </row>
    <row r="1650" spans="1:7">
      <c r="A1650" s="3"/>
      <c r="B1650" s="3"/>
      <c r="C1650" s="3"/>
      <c r="D1650" s="3"/>
      <c r="E1650" s="3">
        <v>7</v>
      </c>
      <c r="F1650" s="4" t="str">
        <f>HYPERLINK("http://141.218.60.56/~jnz1568/getInfo.php?workbook=18_15.xlsx&amp;sheet=U0&amp;row=1650&amp;col=6&amp;number=3.6&amp;sourceID=14","3.6")</f>
        <v>3.6</v>
      </c>
      <c r="G1650" s="4" t="str">
        <f>HYPERLINK("http://141.218.60.56/~jnz1568/getInfo.php?workbook=18_15.xlsx&amp;sheet=U0&amp;row=1650&amp;col=7&amp;number=8.12&amp;sourceID=14","8.12")</f>
        <v>8.12</v>
      </c>
    </row>
    <row r="1651" spans="1:7">
      <c r="A1651" s="3"/>
      <c r="B1651" s="3"/>
      <c r="C1651" s="3"/>
      <c r="D1651" s="3"/>
      <c r="E1651" s="3">
        <v>8</v>
      </c>
      <c r="F1651" s="4" t="str">
        <f>HYPERLINK("http://141.218.60.56/~jnz1568/getInfo.php?workbook=18_15.xlsx&amp;sheet=U0&amp;row=1651&amp;col=6&amp;number=3.7&amp;sourceID=14","3.7")</f>
        <v>3.7</v>
      </c>
      <c r="G1651" s="4" t="str">
        <f>HYPERLINK("http://141.218.60.56/~jnz1568/getInfo.php?workbook=18_15.xlsx&amp;sheet=U0&amp;row=1651&amp;col=7&amp;number=7.45&amp;sourceID=14","7.45")</f>
        <v>7.45</v>
      </c>
    </row>
    <row r="1652" spans="1:7">
      <c r="A1652" s="3"/>
      <c r="B1652" s="3"/>
      <c r="C1652" s="3"/>
      <c r="D1652" s="3"/>
      <c r="E1652" s="3">
        <v>9</v>
      </c>
      <c r="F1652" s="4" t="str">
        <f>HYPERLINK("http://141.218.60.56/~jnz1568/getInfo.php?workbook=18_15.xlsx&amp;sheet=U0&amp;row=1652&amp;col=6&amp;number=3.8&amp;sourceID=14","3.8")</f>
        <v>3.8</v>
      </c>
      <c r="G1652" s="4" t="str">
        <f>HYPERLINK("http://141.218.60.56/~jnz1568/getInfo.php?workbook=18_15.xlsx&amp;sheet=U0&amp;row=1652&amp;col=7&amp;number=6.7&amp;sourceID=14","6.7")</f>
        <v>6.7</v>
      </c>
    </row>
    <row r="1653" spans="1:7">
      <c r="A1653" s="3"/>
      <c r="B1653" s="3"/>
      <c r="C1653" s="3"/>
      <c r="D1653" s="3"/>
      <c r="E1653" s="3">
        <v>10</v>
      </c>
      <c r="F1653" s="4" t="str">
        <f>HYPERLINK("http://141.218.60.56/~jnz1568/getInfo.php?workbook=18_15.xlsx&amp;sheet=U0&amp;row=1653&amp;col=6&amp;number=3.9&amp;sourceID=14","3.9")</f>
        <v>3.9</v>
      </c>
      <c r="G1653" s="4" t="str">
        <f>HYPERLINK("http://141.218.60.56/~jnz1568/getInfo.php?workbook=18_15.xlsx&amp;sheet=U0&amp;row=1653&amp;col=7&amp;number=5.93&amp;sourceID=14","5.93")</f>
        <v>5.93</v>
      </c>
    </row>
    <row r="1654" spans="1:7">
      <c r="A1654" s="3"/>
      <c r="B1654" s="3"/>
      <c r="C1654" s="3"/>
      <c r="D1654" s="3"/>
      <c r="E1654" s="3">
        <v>11</v>
      </c>
      <c r="F1654" s="4" t="str">
        <f>HYPERLINK("http://141.218.60.56/~jnz1568/getInfo.php?workbook=18_15.xlsx&amp;sheet=U0&amp;row=1654&amp;col=6&amp;number=4&amp;sourceID=14","4")</f>
        <v>4</v>
      </c>
      <c r="G1654" s="4" t="str">
        <f>HYPERLINK("http://141.218.60.56/~jnz1568/getInfo.php?workbook=18_15.xlsx&amp;sheet=U0&amp;row=1654&amp;col=7&amp;number=5.23&amp;sourceID=14","5.23")</f>
        <v>5.23</v>
      </c>
    </row>
    <row r="1655" spans="1:7">
      <c r="A1655" s="3"/>
      <c r="B1655" s="3"/>
      <c r="C1655" s="3"/>
      <c r="D1655" s="3"/>
      <c r="E1655" s="3">
        <v>12</v>
      </c>
      <c r="F1655" s="4" t="str">
        <f>HYPERLINK("http://141.218.60.56/~jnz1568/getInfo.php?workbook=18_15.xlsx&amp;sheet=U0&amp;row=1655&amp;col=6&amp;number=4.1&amp;sourceID=14","4.1")</f>
        <v>4.1</v>
      </c>
      <c r="G1655" s="4" t="str">
        <f>HYPERLINK("http://141.218.60.56/~jnz1568/getInfo.php?workbook=18_15.xlsx&amp;sheet=U0&amp;row=1655&amp;col=7&amp;number=4.73&amp;sourceID=14","4.73")</f>
        <v>4.73</v>
      </c>
    </row>
    <row r="1656" spans="1:7">
      <c r="A1656" s="3"/>
      <c r="B1656" s="3"/>
      <c r="C1656" s="3"/>
      <c r="D1656" s="3"/>
      <c r="E1656" s="3">
        <v>13</v>
      </c>
      <c r="F1656" s="4" t="str">
        <f>HYPERLINK("http://141.218.60.56/~jnz1568/getInfo.php?workbook=18_15.xlsx&amp;sheet=U0&amp;row=1656&amp;col=6&amp;number=4.2&amp;sourceID=14","4.2")</f>
        <v>4.2</v>
      </c>
      <c r="G1656" s="4" t="str">
        <f>HYPERLINK("http://141.218.60.56/~jnz1568/getInfo.php?workbook=18_15.xlsx&amp;sheet=U0&amp;row=1656&amp;col=7&amp;number=4.48&amp;sourceID=14","4.48")</f>
        <v>4.48</v>
      </c>
    </row>
    <row r="1657" spans="1:7">
      <c r="A1657" s="3"/>
      <c r="B1657" s="3"/>
      <c r="C1657" s="3"/>
      <c r="D1657" s="3"/>
      <c r="E1657" s="3">
        <v>14</v>
      </c>
      <c r="F1657" s="4" t="str">
        <f>HYPERLINK("http://141.218.60.56/~jnz1568/getInfo.php?workbook=18_15.xlsx&amp;sheet=U0&amp;row=1657&amp;col=6&amp;number=4.3&amp;sourceID=14","4.3")</f>
        <v>4.3</v>
      </c>
      <c r="G1657" s="4" t="str">
        <f>HYPERLINK("http://141.218.60.56/~jnz1568/getInfo.php?workbook=18_15.xlsx&amp;sheet=U0&amp;row=1657&amp;col=7&amp;number=4.46&amp;sourceID=14","4.46")</f>
        <v>4.46</v>
      </c>
    </row>
    <row r="1658" spans="1:7">
      <c r="A1658" s="3"/>
      <c r="B1658" s="3"/>
      <c r="C1658" s="3"/>
      <c r="D1658" s="3"/>
      <c r="E1658" s="3">
        <v>15</v>
      </c>
      <c r="F1658" s="4" t="str">
        <f>HYPERLINK("http://141.218.60.56/~jnz1568/getInfo.php?workbook=18_15.xlsx&amp;sheet=U0&amp;row=1658&amp;col=6&amp;number=4.4&amp;sourceID=14","4.4")</f>
        <v>4.4</v>
      </c>
      <c r="G1658" s="4" t="str">
        <f>HYPERLINK("http://141.218.60.56/~jnz1568/getInfo.php?workbook=18_15.xlsx&amp;sheet=U0&amp;row=1658&amp;col=7&amp;number=4.51&amp;sourceID=14","4.51")</f>
        <v>4.51</v>
      </c>
    </row>
    <row r="1659" spans="1:7">
      <c r="A1659" s="3"/>
      <c r="B1659" s="3"/>
      <c r="C1659" s="3"/>
      <c r="D1659" s="3"/>
      <c r="E1659" s="3">
        <v>16</v>
      </c>
      <c r="F1659" s="4" t="str">
        <f>HYPERLINK("http://141.218.60.56/~jnz1568/getInfo.php?workbook=18_15.xlsx&amp;sheet=U0&amp;row=1659&amp;col=6&amp;number=4.5&amp;sourceID=14","4.5")</f>
        <v>4.5</v>
      </c>
      <c r="G1659" s="4" t="str">
        <f>HYPERLINK("http://141.218.60.56/~jnz1568/getInfo.php?workbook=18_15.xlsx&amp;sheet=U0&amp;row=1659&amp;col=7&amp;number=4.49&amp;sourceID=14","4.49")</f>
        <v>4.49</v>
      </c>
    </row>
    <row r="1660" spans="1:7">
      <c r="A1660" s="3"/>
      <c r="B1660" s="3"/>
      <c r="C1660" s="3"/>
      <c r="D1660" s="3"/>
      <c r="E1660" s="3">
        <v>17</v>
      </c>
      <c r="F1660" s="4" t="str">
        <f>HYPERLINK("http://141.218.60.56/~jnz1568/getInfo.php?workbook=18_15.xlsx&amp;sheet=U0&amp;row=1660&amp;col=6&amp;number=4.6&amp;sourceID=14","4.6")</f>
        <v>4.6</v>
      </c>
      <c r="G1660" s="4" t="str">
        <f>HYPERLINK("http://141.218.60.56/~jnz1568/getInfo.php?workbook=18_15.xlsx&amp;sheet=U0&amp;row=1660&amp;col=7&amp;number=4.49&amp;sourceID=14","4.49")</f>
        <v>4.49</v>
      </c>
    </row>
    <row r="1661" spans="1:7">
      <c r="A1661" s="3"/>
      <c r="B1661" s="3"/>
      <c r="C1661" s="3"/>
      <c r="D1661" s="3"/>
      <c r="E1661" s="3">
        <v>18</v>
      </c>
      <c r="F1661" s="4" t="str">
        <f>HYPERLINK("http://141.218.60.56/~jnz1568/getInfo.php?workbook=18_15.xlsx&amp;sheet=U0&amp;row=1661&amp;col=6&amp;number=4.7&amp;sourceID=14","4.7")</f>
        <v>4.7</v>
      </c>
      <c r="G1661" s="4" t="str">
        <f>HYPERLINK("http://141.218.60.56/~jnz1568/getInfo.php?workbook=18_15.xlsx&amp;sheet=U0&amp;row=1661&amp;col=7&amp;number=4.6&amp;sourceID=14","4.6")</f>
        <v>4.6</v>
      </c>
    </row>
    <row r="1662" spans="1:7">
      <c r="A1662" s="3"/>
      <c r="B1662" s="3"/>
      <c r="C1662" s="3"/>
      <c r="D1662" s="3"/>
      <c r="E1662" s="3">
        <v>19</v>
      </c>
      <c r="F1662" s="4" t="str">
        <f>HYPERLINK("http://141.218.60.56/~jnz1568/getInfo.php?workbook=18_15.xlsx&amp;sheet=U0&amp;row=1662&amp;col=6&amp;number=4.8&amp;sourceID=14","4.8")</f>
        <v>4.8</v>
      </c>
      <c r="G1662" s="4" t="str">
        <f>HYPERLINK("http://141.218.60.56/~jnz1568/getInfo.php?workbook=18_15.xlsx&amp;sheet=U0&amp;row=1662&amp;col=7&amp;number=4.82&amp;sourceID=14","4.82")</f>
        <v>4.82</v>
      </c>
    </row>
    <row r="1663" spans="1:7">
      <c r="A1663" s="3"/>
      <c r="B1663" s="3"/>
      <c r="C1663" s="3"/>
      <c r="D1663" s="3"/>
      <c r="E1663" s="3">
        <v>20</v>
      </c>
      <c r="F1663" s="4" t="str">
        <f>HYPERLINK("http://141.218.60.56/~jnz1568/getInfo.php?workbook=18_15.xlsx&amp;sheet=U0&amp;row=1663&amp;col=6&amp;number=4.9&amp;sourceID=14","4.9")</f>
        <v>4.9</v>
      </c>
      <c r="G1663" s="4" t="str">
        <f>HYPERLINK("http://141.218.60.56/~jnz1568/getInfo.php?workbook=18_15.xlsx&amp;sheet=U0&amp;row=1663&amp;col=7&amp;number=5.06&amp;sourceID=14","5.06")</f>
        <v>5.06</v>
      </c>
    </row>
    <row r="1664" spans="1:7">
      <c r="A1664" s="3">
        <v>18</v>
      </c>
      <c r="B1664" s="3">
        <v>15</v>
      </c>
      <c r="C1664" s="3">
        <v>4</v>
      </c>
      <c r="D1664" s="3">
        <v>5</v>
      </c>
      <c r="E1664" s="3">
        <v>1</v>
      </c>
      <c r="F1664" s="4" t="str">
        <f>HYPERLINK("http://141.218.60.56/~jnz1568/getInfo.php?workbook=18_15.xlsx&amp;sheet=U0&amp;row=1664&amp;col=6&amp;number=3&amp;sourceID=14","3")</f>
        <v>3</v>
      </c>
      <c r="G1664" s="4" t="str">
        <f>HYPERLINK("http://141.218.60.56/~jnz1568/getInfo.php?workbook=18_15.xlsx&amp;sheet=U0&amp;row=1664&amp;col=7&amp;number=1.03&amp;sourceID=14","1.03")</f>
        <v>1.03</v>
      </c>
    </row>
    <row r="1665" spans="1:7">
      <c r="A1665" s="3"/>
      <c r="B1665" s="3"/>
      <c r="C1665" s="3"/>
      <c r="D1665" s="3"/>
      <c r="E1665" s="3">
        <v>2</v>
      </c>
      <c r="F1665" s="4" t="str">
        <f>HYPERLINK("http://141.218.60.56/~jnz1568/getInfo.php?workbook=18_15.xlsx&amp;sheet=U0&amp;row=1665&amp;col=6&amp;number=3.1&amp;sourceID=14","3.1")</f>
        <v>3.1</v>
      </c>
      <c r="G1665" s="4" t="str">
        <f>HYPERLINK("http://141.218.60.56/~jnz1568/getInfo.php?workbook=18_15.xlsx&amp;sheet=U0&amp;row=1665&amp;col=7&amp;number=1.06&amp;sourceID=14","1.06")</f>
        <v>1.06</v>
      </c>
    </row>
    <row r="1666" spans="1:7">
      <c r="A1666" s="3"/>
      <c r="B1666" s="3"/>
      <c r="C1666" s="3"/>
      <c r="D1666" s="3"/>
      <c r="E1666" s="3">
        <v>3</v>
      </c>
      <c r="F1666" s="4" t="str">
        <f>HYPERLINK("http://141.218.60.56/~jnz1568/getInfo.php?workbook=18_15.xlsx&amp;sheet=U0&amp;row=1666&amp;col=6&amp;number=3.2&amp;sourceID=14","3.2")</f>
        <v>3.2</v>
      </c>
      <c r="G1666" s="4" t="str">
        <f>HYPERLINK("http://141.218.60.56/~jnz1568/getInfo.php?workbook=18_15.xlsx&amp;sheet=U0&amp;row=1666&amp;col=7&amp;number=1.09&amp;sourceID=14","1.09")</f>
        <v>1.09</v>
      </c>
    </row>
    <row r="1667" spans="1:7">
      <c r="A1667" s="3"/>
      <c r="B1667" s="3"/>
      <c r="C1667" s="3"/>
      <c r="D1667" s="3"/>
      <c r="E1667" s="3">
        <v>4</v>
      </c>
      <c r="F1667" s="4" t="str">
        <f>HYPERLINK("http://141.218.60.56/~jnz1568/getInfo.php?workbook=18_15.xlsx&amp;sheet=U0&amp;row=1667&amp;col=6&amp;number=3.3&amp;sourceID=14","3.3")</f>
        <v>3.3</v>
      </c>
      <c r="G1667" s="4" t="str">
        <f>HYPERLINK("http://141.218.60.56/~jnz1568/getInfo.php?workbook=18_15.xlsx&amp;sheet=U0&amp;row=1667&amp;col=7&amp;number=1.14&amp;sourceID=14","1.14")</f>
        <v>1.14</v>
      </c>
    </row>
    <row r="1668" spans="1:7">
      <c r="A1668" s="3"/>
      <c r="B1668" s="3"/>
      <c r="C1668" s="3"/>
      <c r="D1668" s="3"/>
      <c r="E1668" s="3">
        <v>5</v>
      </c>
      <c r="F1668" s="4" t="str">
        <f>HYPERLINK("http://141.218.60.56/~jnz1568/getInfo.php?workbook=18_15.xlsx&amp;sheet=U0&amp;row=1668&amp;col=6&amp;number=3.4&amp;sourceID=14","3.4")</f>
        <v>3.4</v>
      </c>
      <c r="G1668" s="4" t="str">
        <f>HYPERLINK("http://141.218.60.56/~jnz1568/getInfo.php?workbook=18_15.xlsx&amp;sheet=U0&amp;row=1668&amp;col=7&amp;number=1.2&amp;sourceID=14","1.2")</f>
        <v>1.2</v>
      </c>
    </row>
    <row r="1669" spans="1:7">
      <c r="A1669" s="3"/>
      <c r="B1669" s="3"/>
      <c r="C1669" s="3"/>
      <c r="D1669" s="3"/>
      <c r="E1669" s="3">
        <v>6</v>
      </c>
      <c r="F1669" s="4" t="str">
        <f>HYPERLINK("http://141.218.60.56/~jnz1568/getInfo.php?workbook=18_15.xlsx&amp;sheet=U0&amp;row=1669&amp;col=6&amp;number=3.5&amp;sourceID=14","3.5")</f>
        <v>3.5</v>
      </c>
      <c r="G1669" s="4" t="str">
        <f>HYPERLINK("http://141.218.60.56/~jnz1568/getInfo.php?workbook=18_15.xlsx&amp;sheet=U0&amp;row=1669&amp;col=7&amp;number=1.28&amp;sourceID=14","1.28")</f>
        <v>1.28</v>
      </c>
    </row>
    <row r="1670" spans="1:7">
      <c r="A1670" s="3"/>
      <c r="B1670" s="3"/>
      <c r="C1670" s="3"/>
      <c r="D1670" s="3"/>
      <c r="E1670" s="3">
        <v>7</v>
      </c>
      <c r="F1670" s="4" t="str">
        <f>HYPERLINK("http://141.218.60.56/~jnz1568/getInfo.php?workbook=18_15.xlsx&amp;sheet=U0&amp;row=1670&amp;col=6&amp;number=3.6&amp;sourceID=14","3.6")</f>
        <v>3.6</v>
      </c>
      <c r="G1670" s="4" t="str">
        <f>HYPERLINK("http://141.218.60.56/~jnz1568/getInfo.php?workbook=18_15.xlsx&amp;sheet=U0&amp;row=1670&amp;col=7&amp;number=1.37&amp;sourceID=14","1.37")</f>
        <v>1.37</v>
      </c>
    </row>
    <row r="1671" spans="1:7">
      <c r="A1671" s="3"/>
      <c r="B1671" s="3"/>
      <c r="C1671" s="3"/>
      <c r="D1671" s="3"/>
      <c r="E1671" s="3">
        <v>8</v>
      </c>
      <c r="F1671" s="4" t="str">
        <f>HYPERLINK("http://141.218.60.56/~jnz1568/getInfo.php?workbook=18_15.xlsx&amp;sheet=U0&amp;row=1671&amp;col=6&amp;number=3.7&amp;sourceID=14","3.7")</f>
        <v>3.7</v>
      </c>
      <c r="G1671" s="4" t="str">
        <f>HYPERLINK("http://141.218.60.56/~jnz1568/getInfo.php?workbook=18_15.xlsx&amp;sheet=U0&amp;row=1671&amp;col=7&amp;number=1.48&amp;sourceID=14","1.48")</f>
        <v>1.48</v>
      </c>
    </row>
    <row r="1672" spans="1:7">
      <c r="A1672" s="3"/>
      <c r="B1672" s="3"/>
      <c r="C1672" s="3"/>
      <c r="D1672" s="3"/>
      <c r="E1672" s="3">
        <v>9</v>
      </c>
      <c r="F1672" s="4" t="str">
        <f>HYPERLINK("http://141.218.60.56/~jnz1568/getInfo.php?workbook=18_15.xlsx&amp;sheet=U0&amp;row=1672&amp;col=6&amp;number=3.8&amp;sourceID=14","3.8")</f>
        <v>3.8</v>
      </c>
      <c r="G1672" s="4" t="str">
        <f>HYPERLINK("http://141.218.60.56/~jnz1568/getInfo.php?workbook=18_15.xlsx&amp;sheet=U0&amp;row=1672&amp;col=7&amp;number=1.63&amp;sourceID=14","1.63")</f>
        <v>1.63</v>
      </c>
    </row>
    <row r="1673" spans="1:7">
      <c r="A1673" s="3"/>
      <c r="B1673" s="3"/>
      <c r="C1673" s="3"/>
      <c r="D1673" s="3"/>
      <c r="E1673" s="3">
        <v>10</v>
      </c>
      <c r="F1673" s="4" t="str">
        <f>HYPERLINK("http://141.218.60.56/~jnz1568/getInfo.php?workbook=18_15.xlsx&amp;sheet=U0&amp;row=1673&amp;col=6&amp;number=3.9&amp;sourceID=14","3.9")</f>
        <v>3.9</v>
      </c>
      <c r="G1673" s="4" t="str">
        <f>HYPERLINK("http://141.218.60.56/~jnz1568/getInfo.php?workbook=18_15.xlsx&amp;sheet=U0&amp;row=1673&amp;col=7&amp;number=1.81&amp;sourceID=14","1.81")</f>
        <v>1.81</v>
      </c>
    </row>
    <row r="1674" spans="1:7">
      <c r="A1674" s="3"/>
      <c r="B1674" s="3"/>
      <c r="C1674" s="3"/>
      <c r="D1674" s="3"/>
      <c r="E1674" s="3">
        <v>11</v>
      </c>
      <c r="F1674" s="4" t="str">
        <f>HYPERLINK("http://141.218.60.56/~jnz1568/getInfo.php?workbook=18_15.xlsx&amp;sheet=U0&amp;row=1674&amp;col=6&amp;number=4&amp;sourceID=14","4")</f>
        <v>4</v>
      </c>
      <c r="G1674" s="4" t="str">
        <f>HYPERLINK("http://141.218.60.56/~jnz1568/getInfo.php?workbook=18_15.xlsx&amp;sheet=U0&amp;row=1674&amp;col=7&amp;number=2.04&amp;sourceID=14","2.04")</f>
        <v>2.04</v>
      </c>
    </row>
    <row r="1675" spans="1:7">
      <c r="A1675" s="3"/>
      <c r="B1675" s="3"/>
      <c r="C1675" s="3"/>
      <c r="D1675" s="3"/>
      <c r="E1675" s="3">
        <v>12</v>
      </c>
      <c r="F1675" s="4" t="str">
        <f>HYPERLINK("http://141.218.60.56/~jnz1568/getInfo.php?workbook=18_15.xlsx&amp;sheet=U0&amp;row=1675&amp;col=6&amp;number=4.1&amp;sourceID=14","4.1")</f>
        <v>4.1</v>
      </c>
      <c r="G1675" s="4" t="str">
        <f>HYPERLINK("http://141.218.60.56/~jnz1568/getInfo.php?workbook=18_15.xlsx&amp;sheet=U0&amp;row=1675&amp;col=7&amp;number=2.29&amp;sourceID=14","2.29")</f>
        <v>2.29</v>
      </c>
    </row>
    <row r="1676" spans="1:7">
      <c r="A1676" s="3"/>
      <c r="B1676" s="3"/>
      <c r="C1676" s="3"/>
      <c r="D1676" s="3"/>
      <c r="E1676" s="3">
        <v>13</v>
      </c>
      <c r="F1676" s="4" t="str">
        <f>HYPERLINK("http://141.218.60.56/~jnz1568/getInfo.php?workbook=18_15.xlsx&amp;sheet=U0&amp;row=1676&amp;col=6&amp;number=4.2&amp;sourceID=14","4.2")</f>
        <v>4.2</v>
      </c>
      <c r="G1676" s="4" t="str">
        <f>HYPERLINK("http://141.218.60.56/~jnz1568/getInfo.php?workbook=18_15.xlsx&amp;sheet=U0&amp;row=1676&amp;col=7&amp;number=2.53&amp;sourceID=14","2.53")</f>
        <v>2.53</v>
      </c>
    </row>
    <row r="1677" spans="1:7">
      <c r="A1677" s="3"/>
      <c r="B1677" s="3"/>
      <c r="C1677" s="3"/>
      <c r="D1677" s="3"/>
      <c r="E1677" s="3">
        <v>14</v>
      </c>
      <c r="F1677" s="4" t="str">
        <f>HYPERLINK("http://141.218.60.56/~jnz1568/getInfo.php?workbook=18_15.xlsx&amp;sheet=U0&amp;row=1677&amp;col=6&amp;number=4.3&amp;sourceID=14","4.3")</f>
        <v>4.3</v>
      </c>
      <c r="G1677" s="4" t="str">
        <f>HYPERLINK("http://141.218.60.56/~jnz1568/getInfo.php?workbook=18_15.xlsx&amp;sheet=U0&amp;row=1677&amp;col=7&amp;number=2.72&amp;sourceID=14","2.72")</f>
        <v>2.72</v>
      </c>
    </row>
    <row r="1678" spans="1:7">
      <c r="A1678" s="3"/>
      <c r="B1678" s="3"/>
      <c r="C1678" s="3"/>
      <c r="D1678" s="3"/>
      <c r="E1678" s="3">
        <v>15</v>
      </c>
      <c r="F1678" s="4" t="str">
        <f>HYPERLINK("http://141.218.60.56/~jnz1568/getInfo.php?workbook=18_15.xlsx&amp;sheet=U0&amp;row=1678&amp;col=6&amp;number=4.4&amp;sourceID=14","4.4")</f>
        <v>4.4</v>
      </c>
      <c r="G1678" s="4" t="str">
        <f>HYPERLINK("http://141.218.60.56/~jnz1568/getInfo.php?workbook=18_15.xlsx&amp;sheet=U0&amp;row=1678&amp;col=7&amp;number=2.83&amp;sourceID=14","2.83")</f>
        <v>2.83</v>
      </c>
    </row>
    <row r="1679" spans="1:7">
      <c r="A1679" s="3"/>
      <c r="B1679" s="3"/>
      <c r="C1679" s="3"/>
      <c r="D1679" s="3"/>
      <c r="E1679" s="3">
        <v>16</v>
      </c>
      <c r="F1679" s="4" t="str">
        <f>HYPERLINK("http://141.218.60.56/~jnz1568/getInfo.php?workbook=18_15.xlsx&amp;sheet=U0&amp;row=1679&amp;col=6&amp;number=4.5&amp;sourceID=14","4.5")</f>
        <v>4.5</v>
      </c>
      <c r="G1679" s="4" t="str">
        <f>HYPERLINK("http://141.218.60.56/~jnz1568/getInfo.php?workbook=18_15.xlsx&amp;sheet=U0&amp;row=1679&amp;col=7&amp;number=2.91&amp;sourceID=14","2.91")</f>
        <v>2.91</v>
      </c>
    </row>
    <row r="1680" spans="1:7">
      <c r="A1680" s="3"/>
      <c r="B1680" s="3"/>
      <c r="C1680" s="3"/>
      <c r="D1680" s="3"/>
      <c r="E1680" s="3">
        <v>17</v>
      </c>
      <c r="F1680" s="4" t="str">
        <f>HYPERLINK("http://141.218.60.56/~jnz1568/getInfo.php?workbook=18_15.xlsx&amp;sheet=U0&amp;row=1680&amp;col=6&amp;number=4.6&amp;sourceID=14","4.6")</f>
        <v>4.6</v>
      </c>
      <c r="G1680" s="4" t="str">
        <f>HYPERLINK("http://141.218.60.56/~jnz1568/getInfo.php?workbook=18_15.xlsx&amp;sheet=U0&amp;row=1680&amp;col=7&amp;number=2.97&amp;sourceID=14","2.97")</f>
        <v>2.97</v>
      </c>
    </row>
    <row r="1681" spans="1:7">
      <c r="A1681" s="3"/>
      <c r="B1681" s="3"/>
      <c r="C1681" s="3"/>
      <c r="D1681" s="3"/>
      <c r="E1681" s="3">
        <v>18</v>
      </c>
      <c r="F1681" s="4" t="str">
        <f>HYPERLINK("http://141.218.60.56/~jnz1568/getInfo.php?workbook=18_15.xlsx&amp;sheet=U0&amp;row=1681&amp;col=6&amp;number=4.7&amp;sourceID=14","4.7")</f>
        <v>4.7</v>
      </c>
      <c r="G1681" s="4" t="str">
        <f>HYPERLINK("http://141.218.60.56/~jnz1568/getInfo.php?workbook=18_15.xlsx&amp;sheet=U0&amp;row=1681&amp;col=7&amp;number=3.01&amp;sourceID=14","3.01")</f>
        <v>3.01</v>
      </c>
    </row>
    <row r="1682" spans="1:7">
      <c r="A1682" s="3"/>
      <c r="B1682" s="3"/>
      <c r="C1682" s="3"/>
      <c r="D1682" s="3"/>
      <c r="E1682" s="3">
        <v>19</v>
      </c>
      <c r="F1682" s="4" t="str">
        <f>HYPERLINK("http://141.218.60.56/~jnz1568/getInfo.php?workbook=18_15.xlsx&amp;sheet=U0&amp;row=1682&amp;col=6&amp;number=4.8&amp;sourceID=14","4.8")</f>
        <v>4.8</v>
      </c>
      <c r="G1682" s="4" t="str">
        <f>HYPERLINK("http://141.218.60.56/~jnz1568/getInfo.php?workbook=18_15.xlsx&amp;sheet=U0&amp;row=1682&amp;col=7&amp;number=3.01&amp;sourceID=14","3.01")</f>
        <v>3.01</v>
      </c>
    </row>
    <row r="1683" spans="1:7">
      <c r="A1683" s="3"/>
      <c r="B1683" s="3"/>
      <c r="C1683" s="3"/>
      <c r="D1683" s="3"/>
      <c r="E1683" s="3">
        <v>20</v>
      </c>
      <c r="F1683" s="4" t="str">
        <f>HYPERLINK("http://141.218.60.56/~jnz1568/getInfo.php?workbook=18_15.xlsx&amp;sheet=U0&amp;row=1683&amp;col=6&amp;number=4.9&amp;sourceID=14","4.9")</f>
        <v>4.9</v>
      </c>
      <c r="G1683" s="4" t="str">
        <f>HYPERLINK("http://141.218.60.56/~jnz1568/getInfo.php?workbook=18_15.xlsx&amp;sheet=U0&amp;row=1683&amp;col=7&amp;number=2.98&amp;sourceID=14","2.98")</f>
        <v>2.98</v>
      </c>
    </row>
    <row r="1684" spans="1:7">
      <c r="A1684" s="3">
        <v>18</v>
      </c>
      <c r="B1684" s="3">
        <v>15</v>
      </c>
      <c r="C1684" s="3">
        <v>4</v>
      </c>
      <c r="D1684" s="3">
        <v>6</v>
      </c>
      <c r="E1684" s="3">
        <v>1</v>
      </c>
      <c r="F1684" s="4" t="str">
        <f>HYPERLINK("http://141.218.60.56/~jnz1568/getInfo.php?workbook=18_15.xlsx&amp;sheet=U0&amp;row=1684&amp;col=6&amp;number=3&amp;sourceID=14","3")</f>
        <v>3</v>
      </c>
      <c r="G1684" s="4" t="str">
        <f>HYPERLINK("http://141.218.60.56/~jnz1568/getInfo.php?workbook=18_15.xlsx&amp;sheet=U0&amp;row=1684&amp;col=7&amp;number=0.19&amp;sourceID=14","0.19")</f>
        <v>0.19</v>
      </c>
    </row>
    <row r="1685" spans="1:7">
      <c r="A1685" s="3"/>
      <c r="B1685" s="3"/>
      <c r="C1685" s="3"/>
      <c r="D1685" s="3"/>
      <c r="E1685" s="3">
        <v>2</v>
      </c>
      <c r="F1685" s="4" t="str">
        <f>HYPERLINK("http://141.218.60.56/~jnz1568/getInfo.php?workbook=18_15.xlsx&amp;sheet=U0&amp;row=1685&amp;col=6&amp;number=3.1&amp;sourceID=14","3.1")</f>
        <v>3.1</v>
      </c>
      <c r="G1685" s="4" t="str">
        <f>HYPERLINK("http://141.218.60.56/~jnz1568/getInfo.php?workbook=18_15.xlsx&amp;sheet=U0&amp;row=1685&amp;col=7&amp;number=0.189&amp;sourceID=14","0.189")</f>
        <v>0.189</v>
      </c>
    </row>
    <row r="1686" spans="1:7">
      <c r="A1686" s="3"/>
      <c r="B1686" s="3"/>
      <c r="C1686" s="3"/>
      <c r="D1686" s="3"/>
      <c r="E1686" s="3">
        <v>3</v>
      </c>
      <c r="F1686" s="4" t="str">
        <f>HYPERLINK("http://141.218.60.56/~jnz1568/getInfo.php?workbook=18_15.xlsx&amp;sheet=U0&amp;row=1686&amp;col=6&amp;number=3.2&amp;sourceID=14","3.2")</f>
        <v>3.2</v>
      </c>
      <c r="G1686" s="4" t="str">
        <f>HYPERLINK("http://141.218.60.56/~jnz1568/getInfo.php?workbook=18_15.xlsx&amp;sheet=U0&amp;row=1686&amp;col=7&amp;number=0.187&amp;sourceID=14","0.187")</f>
        <v>0.187</v>
      </c>
    </row>
    <row r="1687" spans="1:7">
      <c r="A1687" s="3"/>
      <c r="B1687" s="3"/>
      <c r="C1687" s="3"/>
      <c r="D1687" s="3"/>
      <c r="E1687" s="3">
        <v>4</v>
      </c>
      <c r="F1687" s="4" t="str">
        <f>HYPERLINK("http://141.218.60.56/~jnz1568/getInfo.php?workbook=18_15.xlsx&amp;sheet=U0&amp;row=1687&amp;col=6&amp;number=3.3&amp;sourceID=14","3.3")</f>
        <v>3.3</v>
      </c>
      <c r="G1687" s="4" t="str">
        <f>HYPERLINK("http://141.218.60.56/~jnz1568/getInfo.php?workbook=18_15.xlsx&amp;sheet=U0&amp;row=1687&amp;col=7&amp;number=0.186&amp;sourceID=14","0.186")</f>
        <v>0.186</v>
      </c>
    </row>
    <row r="1688" spans="1:7">
      <c r="A1688" s="3"/>
      <c r="B1688" s="3"/>
      <c r="C1688" s="3"/>
      <c r="D1688" s="3"/>
      <c r="E1688" s="3">
        <v>5</v>
      </c>
      <c r="F1688" s="4" t="str">
        <f>HYPERLINK("http://141.218.60.56/~jnz1568/getInfo.php?workbook=18_15.xlsx&amp;sheet=U0&amp;row=1688&amp;col=6&amp;number=3.4&amp;sourceID=14","3.4")</f>
        <v>3.4</v>
      </c>
      <c r="G1688" s="4" t="str">
        <f>HYPERLINK("http://141.218.60.56/~jnz1568/getInfo.php?workbook=18_15.xlsx&amp;sheet=U0&amp;row=1688&amp;col=7&amp;number=0.184&amp;sourceID=14","0.184")</f>
        <v>0.184</v>
      </c>
    </row>
    <row r="1689" spans="1:7">
      <c r="A1689" s="3"/>
      <c r="B1689" s="3"/>
      <c r="C1689" s="3"/>
      <c r="D1689" s="3"/>
      <c r="E1689" s="3">
        <v>6</v>
      </c>
      <c r="F1689" s="4" t="str">
        <f>HYPERLINK("http://141.218.60.56/~jnz1568/getInfo.php?workbook=18_15.xlsx&amp;sheet=U0&amp;row=1689&amp;col=6&amp;number=3.5&amp;sourceID=14","3.5")</f>
        <v>3.5</v>
      </c>
      <c r="G1689" s="4" t="str">
        <f>HYPERLINK("http://141.218.60.56/~jnz1568/getInfo.php?workbook=18_15.xlsx&amp;sheet=U0&amp;row=1689&amp;col=7&amp;number=0.182&amp;sourceID=14","0.182")</f>
        <v>0.182</v>
      </c>
    </row>
    <row r="1690" spans="1:7">
      <c r="A1690" s="3"/>
      <c r="B1690" s="3"/>
      <c r="C1690" s="3"/>
      <c r="D1690" s="3"/>
      <c r="E1690" s="3">
        <v>7</v>
      </c>
      <c r="F1690" s="4" t="str">
        <f>HYPERLINK("http://141.218.60.56/~jnz1568/getInfo.php?workbook=18_15.xlsx&amp;sheet=U0&amp;row=1690&amp;col=6&amp;number=3.6&amp;sourceID=14","3.6")</f>
        <v>3.6</v>
      </c>
      <c r="G1690" s="4" t="str">
        <f>HYPERLINK("http://141.218.60.56/~jnz1568/getInfo.php?workbook=18_15.xlsx&amp;sheet=U0&amp;row=1690&amp;col=7&amp;number=0.179&amp;sourceID=14","0.179")</f>
        <v>0.179</v>
      </c>
    </row>
    <row r="1691" spans="1:7">
      <c r="A1691" s="3"/>
      <c r="B1691" s="3"/>
      <c r="C1691" s="3"/>
      <c r="D1691" s="3"/>
      <c r="E1691" s="3">
        <v>8</v>
      </c>
      <c r="F1691" s="4" t="str">
        <f>HYPERLINK("http://141.218.60.56/~jnz1568/getInfo.php?workbook=18_15.xlsx&amp;sheet=U0&amp;row=1691&amp;col=6&amp;number=3.7&amp;sourceID=14","3.7")</f>
        <v>3.7</v>
      </c>
      <c r="G1691" s="4" t="str">
        <f>HYPERLINK("http://141.218.60.56/~jnz1568/getInfo.php?workbook=18_15.xlsx&amp;sheet=U0&amp;row=1691&amp;col=7&amp;number=0.176&amp;sourceID=14","0.176")</f>
        <v>0.176</v>
      </c>
    </row>
    <row r="1692" spans="1:7">
      <c r="A1692" s="3"/>
      <c r="B1692" s="3"/>
      <c r="C1692" s="3"/>
      <c r="D1692" s="3"/>
      <c r="E1692" s="3">
        <v>9</v>
      </c>
      <c r="F1692" s="4" t="str">
        <f>HYPERLINK("http://141.218.60.56/~jnz1568/getInfo.php?workbook=18_15.xlsx&amp;sheet=U0&amp;row=1692&amp;col=6&amp;number=3.8&amp;sourceID=14","3.8")</f>
        <v>3.8</v>
      </c>
      <c r="G1692" s="4" t="str">
        <f>HYPERLINK("http://141.218.60.56/~jnz1568/getInfo.php?workbook=18_15.xlsx&amp;sheet=U0&amp;row=1692&amp;col=7&amp;number=0.172&amp;sourceID=14","0.172")</f>
        <v>0.172</v>
      </c>
    </row>
    <row r="1693" spans="1:7">
      <c r="A1693" s="3"/>
      <c r="B1693" s="3"/>
      <c r="C1693" s="3"/>
      <c r="D1693" s="3"/>
      <c r="E1693" s="3">
        <v>10</v>
      </c>
      <c r="F1693" s="4" t="str">
        <f>HYPERLINK("http://141.218.60.56/~jnz1568/getInfo.php?workbook=18_15.xlsx&amp;sheet=U0&amp;row=1693&amp;col=6&amp;number=3.9&amp;sourceID=14","3.9")</f>
        <v>3.9</v>
      </c>
      <c r="G1693" s="4" t="str">
        <f>HYPERLINK("http://141.218.60.56/~jnz1568/getInfo.php?workbook=18_15.xlsx&amp;sheet=U0&amp;row=1693&amp;col=7&amp;number=0.168&amp;sourceID=14","0.168")</f>
        <v>0.168</v>
      </c>
    </row>
    <row r="1694" spans="1:7">
      <c r="A1694" s="3"/>
      <c r="B1694" s="3"/>
      <c r="C1694" s="3"/>
      <c r="D1694" s="3"/>
      <c r="E1694" s="3">
        <v>11</v>
      </c>
      <c r="F1694" s="4" t="str">
        <f>HYPERLINK("http://141.218.60.56/~jnz1568/getInfo.php?workbook=18_15.xlsx&amp;sheet=U0&amp;row=1694&amp;col=6&amp;number=4&amp;sourceID=14","4")</f>
        <v>4</v>
      </c>
      <c r="G1694" s="4" t="str">
        <f>HYPERLINK("http://141.218.60.56/~jnz1568/getInfo.php?workbook=18_15.xlsx&amp;sheet=U0&amp;row=1694&amp;col=7&amp;number=0.163&amp;sourceID=14","0.163")</f>
        <v>0.163</v>
      </c>
    </row>
    <row r="1695" spans="1:7">
      <c r="A1695" s="3"/>
      <c r="B1695" s="3"/>
      <c r="C1695" s="3"/>
      <c r="D1695" s="3"/>
      <c r="E1695" s="3">
        <v>12</v>
      </c>
      <c r="F1695" s="4" t="str">
        <f>HYPERLINK("http://141.218.60.56/~jnz1568/getInfo.php?workbook=18_15.xlsx&amp;sheet=U0&amp;row=1695&amp;col=6&amp;number=4.1&amp;sourceID=14","4.1")</f>
        <v>4.1</v>
      </c>
      <c r="G1695" s="4" t="str">
        <f>HYPERLINK("http://141.218.60.56/~jnz1568/getInfo.php?workbook=18_15.xlsx&amp;sheet=U0&amp;row=1695&amp;col=7&amp;number=0.159&amp;sourceID=14","0.159")</f>
        <v>0.159</v>
      </c>
    </row>
    <row r="1696" spans="1:7">
      <c r="A1696" s="3"/>
      <c r="B1696" s="3"/>
      <c r="C1696" s="3"/>
      <c r="D1696" s="3"/>
      <c r="E1696" s="3">
        <v>13</v>
      </c>
      <c r="F1696" s="4" t="str">
        <f>HYPERLINK("http://141.218.60.56/~jnz1568/getInfo.php?workbook=18_15.xlsx&amp;sheet=U0&amp;row=1696&amp;col=6&amp;number=4.2&amp;sourceID=14","4.2")</f>
        <v>4.2</v>
      </c>
      <c r="G1696" s="4" t="str">
        <f>HYPERLINK("http://141.218.60.56/~jnz1568/getInfo.php?workbook=18_15.xlsx&amp;sheet=U0&amp;row=1696&amp;col=7&amp;number=0.155&amp;sourceID=14","0.155")</f>
        <v>0.155</v>
      </c>
    </row>
    <row r="1697" spans="1:7">
      <c r="A1697" s="3"/>
      <c r="B1697" s="3"/>
      <c r="C1697" s="3"/>
      <c r="D1697" s="3"/>
      <c r="E1697" s="3">
        <v>14</v>
      </c>
      <c r="F1697" s="4" t="str">
        <f>HYPERLINK("http://141.218.60.56/~jnz1568/getInfo.php?workbook=18_15.xlsx&amp;sheet=U0&amp;row=1697&amp;col=6&amp;number=4.3&amp;sourceID=14","4.3")</f>
        <v>4.3</v>
      </c>
      <c r="G1697" s="4" t="str">
        <f>HYPERLINK("http://141.218.60.56/~jnz1568/getInfo.php?workbook=18_15.xlsx&amp;sheet=U0&amp;row=1697&amp;col=7&amp;number=0.152&amp;sourceID=14","0.152")</f>
        <v>0.152</v>
      </c>
    </row>
    <row r="1698" spans="1:7">
      <c r="A1698" s="3"/>
      <c r="B1698" s="3"/>
      <c r="C1698" s="3"/>
      <c r="D1698" s="3"/>
      <c r="E1698" s="3">
        <v>15</v>
      </c>
      <c r="F1698" s="4" t="str">
        <f>HYPERLINK("http://141.218.60.56/~jnz1568/getInfo.php?workbook=18_15.xlsx&amp;sheet=U0&amp;row=1698&amp;col=6&amp;number=4.4&amp;sourceID=14","4.4")</f>
        <v>4.4</v>
      </c>
      <c r="G1698" s="4" t="str">
        <f>HYPERLINK("http://141.218.60.56/~jnz1568/getInfo.php?workbook=18_15.xlsx&amp;sheet=U0&amp;row=1698&amp;col=7&amp;number=0.15&amp;sourceID=14","0.15")</f>
        <v>0.15</v>
      </c>
    </row>
    <row r="1699" spans="1:7">
      <c r="A1699" s="3"/>
      <c r="B1699" s="3"/>
      <c r="C1699" s="3"/>
      <c r="D1699" s="3"/>
      <c r="E1699" s="3">
        <v>16</v>
      </c>
      <c r="F1699" s="4" t="str">
        <f>HYPERLINK("http://141.218.60.56/~jnz1568/getInfo.php?workbook=18_15.xlsx&amp;sheet=U0&amp;row=1699&amp;col=6&amp;number=4.5&amp;sourceID=14","4.5")</f>
        <v>4.5</v>
      </c>
      <c r="G1699" s="4" t="str">
        <f>HYPERLINK("http://141.218.60.56/~jnz1568/getInfo.php?workbook=18_15.xlsx&amp;sheet=U0&amp;row=1699&amp;col=7&amp;number=0.147&amp;sourceID=14","0.147")</f>
        <v>0.147</v>
      </c>
    </row>
    <row r="1700" spans="1:7">
      <c r="A1700" s="3"/>
      <c r="B1700" s="3"/>
      <c r="C1700" s="3"/>
      <c r="D1700" s="3"/>
      <c r="E1700" s="3">
        <v>17</v>
      </c>
      <c r="F1700" s="4" t="str">
        <f>HYPERLINK("http://141.218.60.56/~jnz1568/getInfo.php?workbook=18_15.xlsx&amp;sheet=U0&amp;row=1700&amp;col=6&amp;number=4.6&amp;sourceID=14","4.6")</f>
        <v>4.6</v>
      </c>
      <c r="G1700" s="4" t="str">
        <f>HYPERLINK("http://141.218.60.56/~jnz1568/getInfo.php?workbook=18_15.xlsx&amp;sheet=U0&amp;row=1700&amp;col=7&amp;number=0.144&amp;sourceID=14","0.144")</f>
        <v>0.144</v>
      </c>
    </row>
    <row r="1701" spans="1:7">
      <c r="A1701" s="3"/>
      <c r="B1701" s="3"/>
      <c r="C1701" s="3"/>
      <c r="D1701" s="3"/>
      <c r="E1701" s="3">
        <v>18</v>
      </c>
      <c r="F1701" s="4" t="str">
        <f>HYPERLINK("http://141.218.60.56/~jnz1568/getInfo.php?workbook=18_15.xlsx&amp;sheet=U0&amp;row=1701&amp;col=6&amp;number=4.7&amp;sourceID=14","4.7")</f>
        <v>4.7</v>
      </c>
      <c r="G1701" s="4" t="str">
        <f>HYPERLINK("http://141.218.60.56/~jnz1568/getInfo.php?workbook=18_15.xlsx&amp;sheet=U0&amp;row=1701&amp;col=7&amp;number=0.14&amp;sourceID=14","0.14")</f>
        <v>0.14</v>
      </c>
    </row>
    <row r="1702" spans="1:7">
      <c r="A1702" s="3"/>
      <c r="B1702" s="3"/>
      <c r="C1702" s="3"/>
      <c r="D1702" s="3"/>
      <c r="E1702" s="3">
        <v>19</v>
      </c>
      <c r="F1702" s="4" t="str">
        <f>HYPERLINK("http://141.218.60.56/~jnz1568/getInfo.php?workbook=18_15.xlsx&amp;sheet=U0&amp;row=1702&amp;col=6&amp;number=4.8&amp;sourceID=14","4.8")</f>
        <v>4.8</v>
      </c>
      <c r="G1702" s="4" t="str">
        <f>HYPERLINK("http://141.218.60.56/~jnz1568/getInfo.php?workbook=18_15.xlsx&amp;sheet=U0&amp;row=1702&amp;col=7&amp;number=0.136&amp;sourceID=14","0.136")</f>
        <v>0.136</v>
      </c>
    </row>
    <row r="1703" spans="1:7">
      <c r="A1703" s="3"/>
      <c r="B1703" s="3"/>
      <c r="C1703" s="3"/>
      <c r="D1703" s="3"/>
      <c r="E1703" s="3">
        <v>20</v>
      </c>
      <c r="F1703" s="4" t="str">
        <f>HYPERLINK("http://141.218.60.56/~jnz1568/getInfo.php?workbook=18_15.xlsx&amp;sheet=U0&amp;row=1703&amp;col=6&amp;number=4.9&amp;sourceID=14","4.9")</f>
        <v>4.9</v>
      </c>
      <c r="G1703" s="4" t="str">
        <f>HYPERLINK("http://141.218.60.56/~jnz1568/getInfo.php?workbook=18_15.xlsx&amp;sheet=U0&amp;row=1703&amp;col=7&amp;number=0.13&amp;sourceID=14","0.13")</f>
        <v>0.13</v>
      </c>
    </row>
    <row r="1704" spans="1:7">
      <c r="A1704" s="3">
        <v>18</v>
      </c>
      <c r="B1704" s="3">
        <v>15</v>
      </c>
      <c r="C1704" s="3">
        <v>4</v>
      </c>
      <c r="D1704" s="3">
        <v>7</v>
      </c>
      <c r="E1704" s="3">
        <v>1</v>
      </c>
      <c r="F1704" s="4" t="str">
        <f>HYPERLINK("http://141.218.60.56/~jnz1568/getInfo.php?workbook=18_15.xlsx&amp;sheet=U0&amp;row=1704&amp;col=6&amp;number=3&amp;sourceID=14","3")</f>
        <v>3</v>
      </c>
      <c r="G1704" s="4" t="str">
        <f>HYPERLINK("http://141.218.60.56/~jnz1568/getInfo.php?workbook=18_15.xlsx&amp;sheet=U0&amp;row=1704&amp;col=7&amp;number=0.316&amp;sourceID=14","0.316")</f>
        <v>0.316</v>
      </c>
    </row>
    <row r="1705" spans="1:7">
      <c r="A1705" s="3"/>
      <c r="B1705" s="3"/>
      <c r="C1705" s="3"/>
      <c r="D1705" s="3"/>
      <c r="E1705" s="3">
        <v>2</v>
      </c>
      <c r="F1705" s="4" t="str">
        <f>HYPERLINK("http://141.218.60.56/~jnz1568/getInfo.php?workbook=18_15.xlsx&amp;sheet=U0&amp;row=1705&amp;col=6&amp;number=3.1&amp;sourceID=14","3.1")</f>
        <v>3.1</v>
      </c>
      <c r="G1705" s="4" t="str">
        <f>HYPERLINK("http://141.218.60.56/~jnz1568/getInfo.php?workbook=18_15.xlsx&amp;sheet=U0&amp;row=1705&amp;col=7&amp;number=0.314&amp;sourceID=14","0.314")</f>
        <v>0.314</v>
      </c>
    </row>
    <row r="1706" spans="1:7">
      <c r="A1706" s="3"/>
      <c r="B1706" s="3"/>
      <c r="C1706" s="3"/>
      <c r="D1706" s="3"/>
      <c r="E1706" s="3">
        <v>3</v>
      </c>
      <c r="F1706" s="4" t="str">
        <f>HYPERLINK("http://141.218.60.56/~jnz1568/getInfo.php?workbook=18_15.xlsx&amp;sheet=U0&amp;row=1706&amp;col=6&amp;number=3.2&amp;sourceID=14","3.2")</f>
        <v>3.2</v>
      </c>
      <c r="G1706" s="4" t="str">
        <f>HYPERLINK("http://141.218.60.56/~jnz1568/getInfo.php?workbook=18_15.xlsx&amp;sheet=U0&amp;row=1706&amp;col=7&amp;number=0.312&amp;sourceID=14","0.312")</f>
        <v>0.312</v>
      </c>
    </row>
    <row r="1707" spans="1:7">
      <c r="A1707" s="3"/>
      <c r="B1707" s="3"/>
      <c r="C1707" s="3"/>
      <c r="D1707" s="3"/>
      <c r="E1707" s="3">
        <v>4</v>
      </c>
      <c r="F1707" s="4" t="str">
        <f>HYPERLINK("http://141.218.60.56/~jnz1568/getInfo.php?workbook=18_15.xlsx&amp;sheet=U0&amp;row=1707&amp;col=6&amp;number=3.3&amp;sourceID=14","3.3")</f>
        <v>3.3</v>
      </c>
      <c r="G1707" s="4" t="str">
        <f>HYPERLINK("http://141.218.60.56/~jnz1568/getInfo.php?workbook=18_15.xlsx&amp;sheet=U0&amp;row=1707&amp;col=7&amp;number=0.309&amp;sourceID=14","0.309")</f>
        <v>0.309</v>
      </c>
    </row>
    <row r="1708" spans="1:7">
      <c r="A1708" s="3"/>
      <c r="B1708" s="3"/>
      <c r="C1708" s="3"/>
      <c r="D1708" s="3"/>
      <c r="E1708" s="3">
        <v>5</v>
      </c>
      <c r="F1708" s="4" t="str">
        <f>HYPERLINK("http://141.218.60.56/~jnz1568/getInfo.php?workbook=18_15.xlsx&amp;sheet=U0&amp;row=1708&amp;col=6&amp;number=3.4&amp;sourceID=14","3.4")</f>
        <v>3.4</v>
      </c>
      <c r="G1708" s="4" t="str">
        <f>HYPERLINK("http://141.218.60.56/~jnz1568/getInfo.php?workbook=18_15.xlsx&amp;sheet=U0&amp;row=1708&amp;col=7&amp;number=0.306&amp;sourceID=14","0.306")</f>
        <v>0.306</v>
      </c>
    </row>
    <row r="1709" spans="1:7">
      <c r="A1709" s="3"/>
      <c r="B1709" s="3"/>
      <c r="C1709" s="3"/>
      <c r="D1709" s="3"/>
      <c r="E1709" s="3">
        <v>6</v>
      </c>
      <c r="F1709" s="4" t="str">
        <f>HYPERLINK("http://141.218.60.56/~jnz1568/getInfo.php?workbook=18_15.xlsx&amp;sheet=U0&amp;row=1709&amp;col=6&amp;number=3.5&amp;sourceID=14","3.5")</f>
        <v>3.5</v>
      </c>
      <c r="G1709" s="4" t="str">
        <f>HYPERLINK("http://141.218.60.56/~jnz1568/getInfo.php?workbook=18_15.xlsx&amp;sheet=U0&amp;row=1709&amp;col=7&amp;number=0.302&amp;sourceID=14","0.302")</f>
        <v>0.302</v>
      </c>
    </row>
    <row r="1710" spans="1:7">
      <c r="A1710" s="3"/>
      <c r="B1710" s="3"/>
      <c r="C1710" s="3"/>
      <c r="D1710" s="3"/>
      <c r="E1710" s="3">
        <v>7</v>
      </c>
      <c r="F1710" s="4" t="str">
        <f>HYPERLINK("http://141.218.60.56/~jnz1568/getInfo.php?workbook=18_15.xlsx&amp;sheet=U0&amp;row=1710&amp;col=6&amp;number=3.6&amp;sourceID=14","3.6")</f>
        <v>3.6</v>
      </c>
      <c r="G1710" s="4" t="str">
        <f>HYPERLINK("http://141.218.60.56/~jnz1568/getInfo.php?workbook=18_15.xlsx&amp;sheet=U0&amp;row=1710&amp;col=7&amp;number=0.297&amp;sourceID=14","0.297")</f>
        <v>0.297</v>
      </c>
    </row>
    <row r="1711" spans="1:7">
      <c r="A1711" s="3"/>
      <c r="B1711" s="3"/>
      <c r="C1711" s="3"/>
      <c r="D1711" s="3"/>
      <c r="E1711" s="3">
        <v>8</v>
      </c>
      <c r="F1711" s="4" t="str">
        <f>HYPERLINK("http://141.218.60.56/~jnz1568/getInfo.php?workbook=18_15.xlsx&amp;sheet=U0&amp;row=1711&amp;col=6&amp;number=3.7&amp;sourceID=14","3.7")</f>
        <v>3.7</v>
      </c>
      <c r="G1711" s="4" t="str">
        <f>HYPERLINK("http://141.218.60.56/~jnz1568/getInfo.php?workbook=18_15.xlsx&amp;sheet=U0&amp;row=1711&amp;col=7&amp;number=0.291&amp;sourceID=14","0.291")</f>
        <v>0.291</v>
      </c>
    </row>
    <row r="1712" spans="1:7">
      <c r="A1712" s="3"/>
      <c r="B1712" s="3"/>
      <c r="C1712" s="3"/>
      <c r="D1712" s="3"/>
      <c r="E1712" s="3">
        <v>9</v>
      </c>
      <c r="F1712" s="4" t="str">
        <f>HYPERLINK("http://141.218.60.56/~jnz1568/getInfo.php?workbook=18_15.xlsx&amp;sheet=U0&amp;row=1712&amp;col=6&amp;number=3.8&amp;sourceID=14","3.8")</f>
        <v>3.8</v>
      </c>
      <c r="G1712" s="4" t="str">
        <f>HYPERLINK("http://141.218.60.56/~jnz1568/getInfo.php?workbook=18_15.xlsx&amp;sheet=U0&amp;row=1712&amp;col=7&amp;number=0.284&amp;sourceID=14","0.284")</f>
        <v>0.284</v>
      </c>
    </row>
    <row r="1713" spans="1:7">
      <c r="A1713" s="3"/>
      <c r="B1713" s="3"/>
      <c r="C1713" s="3"/>
      <c r="D1713" s="3"/>
      <c r="E1713" s="3">
        <v>10</v>
      </c>
      <c r="F1713" s="4" t="str">
        <f>HYPERLINK("http://141.218.60.56/~jnz1568/getInfo.php?workbook=18_15.xlsx&amp;sheet=U0&amp;row=1713&amp;col=6&amp;number=3.9&amp;sourceID=14","3.9")</f>
        <v>3.9</v>
      </c>
      <c r="G1713" s="4" t="str">
        <f>HYPERLINK("http://141.218.60.56/~jnz1568/getInfo.php?workbook=18_15.xlsx&amp;sheet=U0&amp;row=1713&amp;col=7&amp;number=0.277&amp;sourceID=14","0.277")</f>
        <v>0.277</v>
      </c>
    </row>
    <row r="1714" spans="1:7">
      <c r="A1714" s="3"/>
      <c r="B1714" s="3"/>
      <c r="C1714" s="3"/>
      <c r="D1714" s="3"/>
      <c r="E1714" s="3">
        <v>11</v>
      </c>
      <c r="F1714" s="4" t="str">
        <f>HYPERLINK("http://141.218.60.56/~jnz1568/getInfo.php?workbook=18_15.xlsx&amp;sheet=U0&amp;row=1714&amp;col=6&amp;number=4&amp;sourceID=14","4")</f>
        <v>4</v>
      </c>
      <c r="G1714" s="4" t="str">
        <f>HYPERLINK("http://141.218.60.56/~jnz1568/getInfo.php?workbook=18_15.xlsx&amp;sheet=U0&amp;row=1714&amp;col=7&amp;number=0.27&amp;sourceID=14","0.27")</f>
        <v>0.27</v>
      </c>
    </row>
    <row r="1715" spans="1:7">
      <c r="A1715" s="3"/>
      <c r="B1715" s="3"/>
      <c r="C1715" s="3"/>
      <c r="D1715" s="3"/>
      <c r="E1715" s="3">
        <v>12</v>
      </c>
      <c r="F1715" s="4" t="str">
        <f>HYPERLINK("http://141.218.60.56/~jnz1568/getInfo.php?workbook=18_15.xlsx&amp;sheet=U0&amp;row=1715&amp;col=6&amp;number=4.1&amp;sourceID=14","4.1")</f>
        <v>4.1</v>
      </c>
      <c r="G1715" s="4" t="str">
        <f>HYPERLINK("http://141.218.60.56/~jnz1568/getInfo.php?workbook=18_15.xlsx&amp;sheet=U0&amp;row=1715&amp;col=7&amp;number=0.263&amp;sourceID=14","0.263")</f>
        <v>0.263</v>
      </c>
    </row>
    <row r="1716" spans="1:7">
      <c r="A1716" s="3"/>
      <c r="B1716" s="3"/>
      <c r="C1716" s="3"/>
      <c r="D1716" s="3"/>
      <c r="E1716" s="3">
        <v>13</v>
      </c>
      <c r="F1716" s="4" t="str">
        <f>HYPERLINK("http://141.218.60.56/~jnz1568/getInfo.php?workbook=18_15.xlsx&amp;sheet=U0&amp;row=1716&amp;col=6&amp;number=4.2&amp;sourceID=14","4.2")</f>
        <v>4.2</v>
      </c>
      <c r="G1716" s="4" t="str">
        <f>HYPERLINK("http://141.218.60.56/~jnz1568/getInfo.php?workbook=18_15.xlsx&amp;sheet=U0&amp;row=1716&amp;col=7&amp;number=0.258&amp;sourceID=14","0.258")</f>
        <v>0.258</v>
      </c>
    </row>
    <row r="1717" spans="1:7">
      <c r="A1717" s="3"/>
      <c r="B1717" s="3"/>
      <c r="C1717" s="3"/>
      <c r="D1717" s="3"/>
      <c r="E1717" s="3">
        <v>14</v>
      </c>
      <c r="F1717" s="4" t="str">
        <f>HYPERLINK("http://141.218.60.56/~jnz1568/getInfo.php?workbook=18_15.xlsx&amp;sheet=U0&amp;row=1717&amp;col=6&amp;number=4.3&amp;sourceID=14","4.3")</f>
        <v>4.3</v>
      </c>
      <c r="G1717" s="4" t="str">
        <f>HYPERLINK("http://141.218.60.56/~jnz1568/getInfo.php?workbook=18_15.xlsx&amp;sheet=U0&amp;row=1717&amp;col=7&amp;number=0.254&amp;sourceID=14","0.254")</f>
        <v>0.254</v>
      </c>
    </row>
    <row r="1718" spans="1:7">
      <c r="A1718" s="3"/>
      <c r="B1718" s="3"/>
      <c r="C1718" s="3"/>
      <c r="D1718" s="3"/>
      <c r="E1718" s="3">
        <v>15</v>
      </c>
      <c r="F1718" s="4" t="str">
        <f>HYPERLINK("http://141.218.60.56/~jnz1568/getInfo.php?workbook=18_15.xlsx&amp;sheet=U0&amp;row=1718&amp;col=6&amp;number=4.4&amp;sourceID=14","4.4")</f>
        <v>4.4</v>
      </c>
      <c r="G1718" s="4" t="str">
        <f>HYPERLINK("http://141.218.60.56/~jnz1568/getInfo.php?workbook=18_15.xlsx&amp;sheet=U0&amp;row=1718&amp;col=7&amp;number=0.251&amp;sourceID=14","0.251")</f>
        <v>0.251</v>
      </c>
    </row>
    <row r="1719" spans="1:7">
      <c r="A1719" s="3"/>
      <c r="B1719" s="3"/>
      <c r="C1719" s="3"/>
      <c r="D1719" s="3"/>
      <c r="E1719" s="3">
        <v>16</v>
      </c>
      <c r="F1719" s="4" t="str">
        <f>HYPERLINK("http://141.218.60.56/~jnz1568/getInfo.php?workbook=18_15.xlsx&amp;sheet=U0&amp;row=1719&amp;col=6&amp;number=4.5&amp;sourceID=14","4.5")</f>
        <v>4.5</v>
      </c>
      <c r="G1719" s="4" t="str">
        <f>HYPERLINK("http://141.218.60.56/~jnz1568/getInfo.php?workbook=18_15.xlsx&amp;sheet=U0&amp;row=1719&amp;col=7&amp;number=0.248&amp;sourceID=14","0.248")</f>
        <v>0.248</v>
      </c>
    </row>
    <row r="1720" spans="1:7">
      <c r="A1720" s="3"/>
      <c r="B1720" s="3"/>
      <c r="C1720" s="3"/>
      <c r="D1720" s="3"/>
      <c r="E1720" s="3">
        <v>17</v>
      </c>
      <c r="F1720" s="4" t="str">
        <f>HYPERLINK("http://141.218.60.56/~jnz1568/getInfo.php?workbook=18_15.xlsx&amp;sheet=U0&amp;row=1720&amp;col=6&amp;number=4.6&amp;sourceID=14","4.6")</f>
        <v>4.6</v>
      </c>
      <c r="G1720" s="4" t="str">
        <f>HYPERLINK("http://141.218.60.56/~jnz1568/getInfo.php?workbook=18_15.xlsx&amp;sheet=U0&amp;row=1720&amp;col=7&amp;number=0.244&amp;sourceID=14","0.244")</f>
        <v>0.244</v>
      </c>
    </row>
    <row r="1721" spans="1:7">
      <c r="A1721" s="3"/>
      <c r="B1721" s="3"/>
      <c r="C1721" s="3"/>
      <c r="D1721" s="3"/>
      <c r="E1721" s="3">
        <v>18</v>
      </c>
      <c r="F1721" s="4" t="str">
        <f>HYPERLINK("http://141.218.60.56/~jnz1568/getInfo.php?workbook=18_15.xlsx&amp;sheet=U0&amp;row=1721&amp;col=6&amp;number=4.7&amp;sourceID=14","4.7")</f>
        <v>4.7</v>
      </c>
      <c r="G1721" s="4" t="str">
        <f>HYPERLINK("http://141.218.60.56/~jnz1568/getInfo.php?workbook=18_15.xlsx&amp;sheet=U0&amp;row=1721&amp;col=7&amp;number=0.24&amp;sourceID=14","0.24")</f>
        <v>0.24</v>
      </c>
    </row>
    <row r="1722" spans="1:7">
      <c r="A1722" s="3"/>
      <c r="B1722" s="3"/>
      <c r="C1722" s="3"/>
      <c r="D1722" s="3"/>
      <c r="E1722" s="3">
        <v>19</v>
      </c>
      <c r="F1722" s="4" t="str">
        <f>HYPERLINK("http://141.218.60.56/~jnz1568/getInfo.php?workbook=18_15.xlsx&amp;sheet=U0&amp;row=1722&amp;col=6&amp;number=4.8&amp;sourceID=14","4.8")</f>
        <v>4.8</v>
      </c>
      <c r="G1722" s="4" t="str">
        <f>HYPERLINK("http://141.218.60.56/~jnz1568/getInfo.php?workbook=18_15.xlsx&amp;sheet=U0&amp;row=1722&amp;col=7&amp;number=0.235&amp;sourceID=14","0.235")</f>
        <v>0.235</v>
      </c>
    </row>
    <row r="1723" spans="1:7">
      <c r="A1723" s="3"/>
      <c r="B1723" s="3"/>
      <c r="C1723" s="3"/>
      <c r="D1723" s="3"/>
      <c r="E1723" s="3">
        <v>20</v>
      </c>
      <c r="F1723" s="4" t="str">
        <f>HYPERLINK("http://141.218.60.56/~jnz1568/getInfo.php?workbook=18_15.xlsx&amp;sheet=U0&amp;row=1723&amp;col=6&amp;number=4.9&amp;sourceID=14","4.9")</f>
        <v>4.9</v>
      </c>
      <c r="G1723" s="4" t="str">
        <f>HYPERLINK("http://141.218.60.56/~jnz1568/getInfo.php?workbook=18_15.xlsx&amp;sheet=U0&amp;row=1723&amp;col=7&amp;number=0.228&amp;sourceID=14","0.228")</f>
        <v>0.228</v>
      </c>
    </row>
    <row r="1724" spans="1:7">
      <c r="A1724" s="3">
        <v>18</v>
      </c>
      <c r="B1724" s="3">
        <v>15</v>
      </c>
      <c r="C1724" s="3">
        <v>4</v>
      </c>
      <c r="D1724" s="3">
        <v>8</v>
      </c>
      <c r="E1724" s="3">
        <v>1</v>
      </c>
      <c r="F1724" s="4" t="str">
        <f>HYPERLINK("http://141.218.60.56/~jnz1568/getInfo.php?workbook=18_15.xlsx&amp;sheet=U0&amp;row=1724&amp;col=6&amp;number=3&amp;sourceID=14","3")</f>
        <v>3</v>
      </c>
      <c r="G1724" s="4" t="str">
        <f>HYPERLINK("http://141.218.60.56/~jnz1568/getInfo.php?workbook=18_15.xlsx&amp;sheet=U0&amp;row=1724&amp;col=7&amp;number=0.335&amp;sourceID=14","0.335")</f>
        <v>0.335</v>
      </c>
    </row>
    <row r="1725" spans="1:7">
      <c r="A1725" s="3"/>
      <c r="B1725" s="3"/>
      <c r="C1725" s="3"/>
      <c r="D1725" s="3"/>
      <c r="E1725" s="3">
        <v>2</v>
      </c>
      <c r="F1725" s="4" t="str">
        <f>HYPERLINK("http://141.218.60.56/~jnz1568/getInfo.php?workbook=18_15.xlsx&amp;sheet=U0&amp;row=1725&amp;col=6&amp;number=3.1&amp;sourceID=14","3.1")</f>
        <v>3.1</v>
      </c>
      <c r="G1725" s="4" t="str">
        <f>HYPERLINK("http://141.218.60.56/~jnz1568/getInfo.php?workbook=18_15.xlsx&amp;sheet=U0&amp;row=1725&amp;col=7&amp;number=0.331&amp;sourceID=14","0.331")</f>
        <v>0.331</v>
      </c>
    </row>
    <row r="1726" spans="1:7">
      <c r="A1726" s="3"/>
      <c r="B1726" s="3"/>
      <c r="C1726" s="3"/>
      <c r="D1726" s="3"/>
      <c r="E1726" s="3">
        <v>3</v>
      </c>
      <c r="F1726" s="4" t="str">
        <f>HYPERLINK("http://141.218.60.56/~jnz1568/getInfo.php?workbook=18_15.xlsx&amp;sheet=U0&amp;row=1726&amp;col=6&amp;number=3.2&amp;sourceID=14","3.2")</f>
        <v>3.2</v>
      </c>
      <c r="G1726" s="4" t="str">
        <f>HYPERLINK("http://141.218.60.56/~jnz1568/getInfo.php?workbook=18_15.xlsx&amp;sheet=U0&amp;row=1726&amp;col=7&amp;number=0.326&amp;sourceID=14","0.326")</f>
        <v>0.326</v>
      </c>
    </row>
    <row r="1727" spans="1:7">
      <c r="A1727" s="3"/>
      <c r="B1727" s="3"/>
      <c r="C1727" s="3"/>
      <c r="D1727" s="3"/>
      <c r="E1727" s="3">
        <v>4</v>
      </c>
      <c r="F1727" s="4" t="str">
        <f>HYPERLINK("http://141.218.60.56/~jnz1568/getInfo.php?workbook=18_15.xlsx&amp;sheet=U0&amp;row=1727&amp;col=6&amp;number=3.3&amp;sourceID=14","3.3")</f>
        <v>3.3</v>
      </c>
      <c r="G1727" s="4" t="str">
        <f>HYPERLINK("http://141.218.60.56/~jnz1568/getInfo.php?workbook=18_15.xlsx&amp;sheet=U0&amp;row=1727&amp;col=7&amp;number=0.32&amp;sourceID=14","0.32")</f>
        <v>0.32</v>
      </c>
    </row>
    <row r="1728" spans="1:7">
      <c r="A1728" s="3"/>
      <c r="B1728" s="3"/>
      <c r="C1728" s="3"/>
      <c r="D1728" s="3"/>
      <c r="E1728" s="3">
        <v>5</v>
      </c>
      <c r="F1728" s="4" t="str">
        <f>HYPERLINK("http://141.218.60.56/~jnz1568/getInfo.php?workbook=18_15.xlsx&amp;sheet=U0&amp;row=1728&amp;col=6&amp;number=3.4&amp;sourceID=14","3.4")</f>
        <v>3.4</v>
      </c>
      <c r="G1728" s="4" t="str">
        <f>HYPERLINK("http://141.218.60.56/~jnz1568/getInfo.php?workbook=18_15.xlsx&amp;sheet=U0&amp;row=1728&amp;col=7&amp;number=0.313&amp;sourceID=14","0.313")</f>
        <v>0.313</v>
      </c>
    </row>
    <row r="1729" spans="1:7">
      <c r="A1729" s="3"/>
      <c r="B1729" s="3"/>
      <c r="C1729" s="3"/>
      <c r="D1729" s="3"/>
      <c r="E1729" s="3">
        <v>6</v>
      </c>
      <c r="F1729" s="4" t="str">
        <f>HYPERLINK("http://141.218.60.56/~jnz1568/getInfo.php?workbook=18_15.xlsx&amp;sheet=U0&amp;row=1729&amp;col=6&amp;number=3.5&amp;sourceID=14","3.5")</f>
        <v>3.5</v>
      </c>
      <c r="G1729" s="4" t="str">
        <f>HYPERLINK("http://141.218.60.56/~jnz1568/getInfo.php?workbook=18_15.xlsx&amp;sheet=U0&amp;row=1729&amp;col=7&amp;number=0.305&amp;sourceID=14","0.305")</f>
        <v>0.305</v>
      </c>
    </row>
    <row r="1730" spans="1:7">
      <c r="A1730" s="3"/>
      <c r="B1730" s="3"/>
      <c r="C1730" s="3"/>
      <c r="D1730" s="3"/>
      <c r="E1730" s="3">
        <v>7</v>
      </c>
      <c r="F1730" s="4" t="str">
        <f>HYPERLINK("http://141.218.60.56/~jnz1568/getInfo.php?workbook=18_15.xlsx&amp;sheet=U0&amp;row=1730&amp;col=6&amp;number=3.6&amp;sourceID=14","3.6")</f>
        <v>3.6</v>
      </c>
      <c r="G1730" s="4" t="str">
        <f>HYPERLINK("http://141.218.60.56/~jnz1568/getInfo.php?workbook=18_15.xlsx&amp;sheet=U0&amp;row=1730&amp;col=7&amp;number=0.296&amp;sourceID=14","0.296")</f>
        <v>0.296</v>
      </c>
    </row>
    <row r="1731" spans="1:7">
      <c r="A1731" s="3"/>
      <c r="B1731" s="3"/>
      <c r="C1731" s="3"/>
      <c r="D1731" s="3"/>
      <c r="E1731" s="3">
        <v>8</v>
      </c>
      <c r="F1731" s="4" t="str">
        <f>HYPERLINK("http://141.218.60.56/~jnz1568/getInfo.php?workbook=18_15.xlsx&amp;sheet=U0&amp;row=1731&amp;col=6&amp;number=3.7&amp;sourceID=14","3.7")</f>
        <v>3.7</v>
      </c>
      <c r="G1731" s="4" t="str">
        <f>HYPERLINK("http://141.218.60.56/~jnz1568/getInfo.php?workbook=18_15.xlsx&amp;sheet=U0&amp;row=1731&amp;col=7&amp;number=0.286&amp;sourceID=14","0.286")</f>
        <v>0.286</v>
      </c>
    </row>
    <row r="1732" spans="1:7">
      <c r="A1732" s="3"/>
      <c r="B1732" s="3"/>
      <c r="C1732" s="3"/>
      <c r="D1732" s="3"/>
      <c r="E1732" s="3">
        <v>9</v>
      </c>
      <c r="F1732" s="4" t="str">
        <f>HYPERLINK("http://141.218.60.56/~jnz1568/getInfo.php?workbook=18_15.xlsx&amp;sheet=U0&amp;row=1732&amp;col=6&amp;number=3.8&amp;sourceID=14","3.8")</f>
        <v>3.8</v>
      </c>
      <c r="G1732" s="4" t="str">
        <f>HYPERLINK("http://141.218.60.56/~jnz1568/getInfo.php?workbook=18_15.xlsx&amp;sheet=U0&amp;row=1732&amp;col=7&amp;number=0.276&amp;sourceID=14","0.276")</f>
        <v>0.276</v>
      </c>
    </row>
    <row r="1733" spans="1:7">
      <c r="A1733" s="3"/>
      <c r="B1733" s="3"/>
      <c r="C1733" s="3"/>
      <c r="D1733" s="3"/>
      <c r="E1733" s="3">
        <v>10</v>
      </c>
      <c r="F1733" s="4" t="str">
        <f>HYPERLINK("http://141.218.60.56/~jnz1568/getInfo.php?workbook=18_15.xlsx&amp;sheet=U0&amp;row=1733&amp;col=6&amp;number=3.9&amp;sourceID=14","3.9")</f>
        <v>3.9</v>
      </c>
      <c r="G1733" s="4" t="str">
        <f>HYPERLINK("http://141.218.60.56/~jnz1568/getInfo.php?workbook=18_15.xlsx&amp;sheet=U0&amp;row=1733&amp;col=7&amp;number=0.268&amp;sourceID=14","0.268")</f>
        <v>0.268</v>
      </c>
    </row>
    <row r="1734" spans="1:7">
      <c r="A1734" s="3"/>
      <c r="B1734" s="3"/>
      <c r="C1734" s="3"/>
      <c r="D1734" s="3"/>
      <c r="E1734" s="3">
        <v>11</v>
      </c>
      <c r="F1734" s="4" t="str">
        <f>HYPERLINK("http://141.218.60.56/~jnz1568/getInfo.php?workbook=18_15.xlsx&amp;sheet=U0&amp;row=1734&amp;col=6&amp;number=4&amp;sourceID=14","4")</f>
        <v>4</v>
      </c>
      <c r="G1734" s="4" t="str">
        <f>HYPERLINK("http://141.218.60.56/~jnz1568/getInfo.php?workbook=18_15.xlsx&amp;sheet=U0&amp;row=1734&amp;col=7&amp;number=0.261&amp;sourceID=14","0.261")</f>
        <v>0.261</v>
      </c>
    </row>
    <row r="1735" spans="1:7">
      <c r="A1735" s="3"/>
      <c r="B1735" s="3"/>
      <c r="C1735" s="3"/>
      <c r="D1735" s="3"/>
      <c r="E1735" s="3">
        <v>12</v>
      </c>
      <c r="F1735" s="4" t="str">
        <f>HYPERLINK("http://141.218.60.56/~jnz1568/getInfo.php?workbook=18_15.xlsx&amp;sheet=U0&amp;row=1735&amp;col=6&amp;number=4.1&amp;sourceID=14","4.1")</f>
        <v>4.1</v>
      </c>
      <c r="G1735" s="4" t="str">
        <f>HYPERLINK("http://141.218.60.56/~jnz1568/getInfo.php?workbook=18_15.xlsx&amp;sheet=U0&amp;row=1735&amp;col=7&amp;number=0.257&amp;sourceID=14","0.257")</f>
        <v>0.257</v>
      </c>
    </row>
    <row r="1736" spans="1:7">
      <c r="A1736" s="3"/>
      <c r="B1736" s="3"/>
      <c r="C1736" s="3"/>
      <c r="D1736" s="3"/>
      <c r="E1736" s="3">
        <v>13</v>
      </c>
      <c r="F1736" s="4" t="str">
        <f>HYPERLINK("http://141.218.60.56/~jnz1568/getInfo.php?workbook=18_15.xlsx&amp;sheet=U0&amp;row=1736&amp;col=6&amp;number=4.2&amp;sourceID=14","4.2")</f>
        <v>4.2</v>
      </c>
      <c r="G1736" s="4" t="str">
        <f>HYPERLINK("http://141.218.60.56/~jnz1568/getInfo.php?workbook=18_15.xlsx&amp;sheet=U0&amp;row=1736&amp;col=7&amp;number=0.254&amp;sourceID=14","0.254")</f>
        <v>0.254</v>
      </c>
    </row>
    <row r="1737" spans="1:7">
      <c r="A1737" s="3"/>
      <c r="B1737" s="3"/>
      <c r="C1737" s="3"/>
      <c r="D1737" s="3"/>
      <c r="E1737" s="3">
        <v>14</v>
      </c>
      <c r="F1737" s="4" t="str">
        <f>HYPERLINK("http://141.218.60.56/~jnz1568/getInfo.php?workbook=18_15.xlsx&amp;sheet=U0&amp;row=1737&amp;col=6&amp;number=4.3&amp;sourceID=14","4.3")</f>
        <v>4.3</v>
      </c>
      <c r="G1737" s="4" t="str">
        <f>HYPERLINK("http://141.218.60.56/~jnz1568/getInfo.php?workbook=18_15.xlsx&amp;sheet=U0&amp;row=1737&amp;col=7&amp;number=0.253&amp;sourceID=14","0.253")</f>
        <v>0.253</v>
      </c>
    </row>
    <row r="1738" spans="1:7">
      <c r="A1738" s="3"/>
      <c r="B1738" s="3"/>
      <c r="C1738" s="3"/>
      <c r="D1738" s="3"/>
      <c r="E1738" s="3">
        <v>15</v>
      </c>
      <c r="F1738" s="4" t="str">
        <f>HYPERLINK("http://141.218.60.56/~jnz1568/getInfo.php?workbook=18_15.xlsx&amp;sheet=U0&amp;row=1738&amp;col=6&amp;number=4.4&amp;sourceID=14","4.4")</f>
        <v>4.4</v>
      </c>
      <c r="G1738" s="4" t="str">
        <f>HYPERLINK("http://141.218.60.56/~jnz1568/getInfo.php?workbook=18_15.xlsx&amp;sheet=U0&amp;row=1738&amp;col=7&amp;number=0.254&amp;sourceID=14","0.254")</f>
        <v>0.254</v>
      </c>
    </row>
    <row r="1739" spans="1:7">
      <c r="A1739" s="3"/>
      <c r="B1739" s="3"/>
      <c r="C1739" s="3"/>
      <c r="D1739" s="3"/>
      <c r="E1739" s="3">
        <v>16</v>
      </c>
      <c r="F1739" s="4" t="str">
        <f>HYPERLINK("http://141.218.60.56/~jnz1568/getInfo.php?workbook=18_15.xlsx&amp;sheet=U0&amp;row=1739&amp;col=6&amp;number=4.5&amp;sourceID=14","4.5")</f>
        <v>4.5</v>
      </c>
      <c r="G1739" s="4" t="str">
        <f>HYPERLINK("http://141.218.60.56/~jnz1568/getInfo.php?workbook=18_15.xlsx&amp;sheet=U0&amp;row=1739&amp;col=7&amp;number=0.255&amp;sourceID=14","0.255")</f>
        <v>0.255</v>
      </c>
    </row>
    <row r="1740" spans="1:7">
      <c r="A1740" s="3"/>
      <c r="B1740" s="3"/>
      <c r="C1740" s="3"/>
      <c r="D1740" s="3"/>
      <c r="E1740" s="3">
        <v>17</v>
      </c>
      <c r="F1740" s="4" t="str">
        <f>HYPERLINK("http://141.218.60.56/~jnz1568/getInfo.php?workbook=18_15.xlsx&amp;sheet=U0&amp;row=1740&amp;col=6&amp;number=4.6&amp;sourceID=14","4.6")</f>
        <v>4.6</v>
      </c>
      <c r="G1740" s="4" t="str">
        <f>HYPERLINK("http://141.218.60.56/~jnz1568/getInfo.php?workbook=18_15.xlsx&amp;sheet=U0&amp;row=1740&amp;col=7&amp;number=0.255&amp;sourceID=14","0.255")</f>
        <v>0.255</v>
      </c>
    </row>
    <row r="1741" spans="1:7">
      <c r="A1741" s="3"/>
      <c r="B1741" s="3"/>
      <c r="C1741" s="3"/>
      <c r="D1741" s="3"/>
      <c r="E1741" s="3">
        <v>18</v>
      </c>
      <c r="F1741" s="4" t="str">
        <f>HYPERLINK("http://141.218.60.56/~jnz1568/getInfo.php?workbook=18_15.xlsx&amp;sheet=U0&amp;row=1741&amp;col=6&amp;number=4.7&amp;sourceID=14","4.7")</f>
        <v>4.7</v>
      </c>
      <c r="G1741" s="4" t="str">
        <f>HYPERLINK("http://141.218.60.56/~jnz1568/getInfo.php?workbook=18_15.xlsx&amp;sheet=U0&amp;row=1741&amp;col=7&amp;number=0.253&amp;sourceID=14","0.253")</f>
        <v>0.253</v>
      </c>
    </row>
    <row r="1742" spans="1:7">
      <c r="A1742" s="3"/>
      <c r="B1742" s="3"/>
      <c r="C1742" s="3"/>
      <c r="D1742" s="3"/>
      <c r="E1742" s="3">
        <v>19</v>
      </c>
      <c r="F1742" s="4" t="str">
        <f>HYPERLINK("http://141.218.60.56/~jnz1568/getInfo.php?workbook=18_15.xlsx&amp;sheet=U0&amp;row=1742&amp;col=6&amp;number=4.8&amp;sourceID=14","4.8")</f>
        <v>4.8</v>
      </c>
      <c r="G1742" s="4" t="str">
        <f>HYPERLINK("http://141.218.60.56/~jnz1568/getInfo.php?workbook=18_15.xlsx&amp;sheet=U0&amp;row=1742&amp;col=7&amp;number=0.247&amp;sourceID=14","0.247")</f>
        <v>0.247</v>
      </c>
    </row>
    <row r="1743" spans="1:7">
      <c r="A1743" s="3"/>
      <c r="B1743" s="3"/>
      <c r="C1743" s="3"/>
      <c r="D1743" s="3"/>
      <c r="E1743" s="3">
        <v>20</v>
      </c>
      <c r="F1743" s="4" t="str">
        <f>HYPERLINK("http://141.218.60.56/~jnz1568/getInfo.php?workbook=18_15.xlsx&amp;sheet=U0&amp;row=1743&amp;col=6&amp;number=4.9&amp;sourceID=14","4.9")</f>
        <v>4.9</v>
      </c>
      <c r="G1743" s="4" t="str">
        <f>HYPERLINK("http://141.218.60.56/~jnz1568/getInfo.php?workbook=18_15.xlsx&amp;sheet=U0&amp;row=1743&amp;col=7&amp;number=0.237&amp;sourceID=14","0.237")</f>
        <v>0.237</v>
      </c>
    </row>
    <row r="1744" spans="1:7">
      <c r="A1744" s="3">
        <v>18</v>
      </c>
      <c r="B1744" s="3">
        <v>15</v>
      </c>
      <c r="C1744" s="3">
        <v>4</v>
      </c>
      <c r="D1744" s="3">
        <v>9</v>
      </c>
      <c r="E1744" s="3">
        <v>1</v>
      </c>
      <c r="F1744" s="4" t="str">
        <f>HYPERLINK("http://141.218.60.56/~jnz1568/getInfo.php?workbook=18_15.xlsx&amp;sheet=U0&amp;row=1744&amp;col=6&amp;number=3&amp;sourceID=14","3")</f>
        <v>3</v>
      </c>
      <c r="G1744" s="4" t="str">
        <f>HYPERLINK("http://141.218.60.56/~jnz1568/getInfo.php?workbook=18_15.xlsx&amp;sheet=U0&amp;row=1744&amp;col=7&amp;number=0.403&amp;sourceID=14","0.403")</f>
        <v>0.403</v>
      </c>
    </row>
    <row r="1745" spans="1:7">
      <c r="A1745" s="3"/>
      <c r="B1745" s="3"/>
      <c r="C1745" s="3"/>
      <c r="D1745" s="3"/>
      <c r="E1745" s="3">
        <v>2</v>
      </c>
      <c r="F1745" s="4" t="str">
        <f>HYPERLINK("http://141.218.60.56/~jnz1568/getInfo.php?workbook=18_15.xlsx&amp;sheet=U0&amp;row=1745&amp;col=6&amp;number=3.1&amp;sourceID=14","3.1")</f>
        <v>3.1</v>
      </c>
      <c r="G1745" s="4" t="str">
        <f>HYPERLINK("http://141.218.60.56/~jnz1568/getInfo.php?workbook=18_15.xlsx&amp;sheet=U0&amp;row=1745&amp;col=7&amp;number=0.405&amp;sourceID=14","0.405")</f>
        <v>0.405</v>
      </c>
    </row>
    <row r="1746" spans="1:7">
      <c r="A1746" s="3"/>
      <c r="B1746" s="3"/>
      <c r="C1746" s="3"/>
      <c r="D1746" s="3"/>
      <c r="E1746" s="3">
        <v>3</v>
      </c>
      <c r="F1746" s="4" t="str">
        <f>HYPERLINK("http://141.218.60.56/~jnz1568/getInfo.php?workbook=18_15.xlsx&amp;sheet=U0&amp;row=1746&amp;col=6&amp;number=3.2&amp;sourceID=14","3.2")</f>
        <v>3.2</v>
      </c>
      <c r="G1746" s="4" t="str">
        <f>HYPERLINK("http://141.218.60.56/~jnz1568/getInfo.php?workbook=18_15.xlsx&amp;sheet=U0&amp;row=1746&amp;col=7&amp;number=0.407&amp;sourceID=14","0.407")</f>
        <v>0.407</v>
      </c>
    </row>
    <row r="1747" spans="1:7">
      <c r="A1747" s="3"/>
      <c r="B1747" s="3"/>
      <c r="C1747" s="3"/>
      <c r="D1747" s="3"/>
      <c r="E1747" s="3">
        <v>4</v>
      </c>
      <c r="F1747" s="4" t="str">
        <f>HYPERLINK("http://141.218.60.56/~jnz1568/getInfo.php?workbook=18_15.xlsx&amp;sheet=U0&amp;row=1747&amp;col=6&amp;number=3.3&amp;sourceID=14","3.3")</f>
        <v>3.3</v>
      </c>
      <c r="G1747" s="4" t="str">
        <f>HYPERLINK("http://141.218.60.56/~jnz1568/getInfo.php?workbook=18_15.xlsx&amp;sheet=U0&amp;row=1747&amp;col=7&amp;number=0.409&amp;sourceID=14","0.409")</f>
        <v>0.409</v>
      </c>
    </row>
    <row r="1748" spans="1:7">
      <c r="A1748" s="3"/>
      <c r="B1748" s="3"/>
      <c r="C1748" s="3"/>
      <c r="D1748" s="3"/>
      <c r="E1748" s="3">
        <v>5</v>
      </c>
      <c r="F1748" s="4" t="str">
        <f>HYPERLINK("http://141.218.60.56/~jnz1568/getInfo.php?workbook=18_15.xlsx&amp;sheet=U0&amp;row=1748&amp;col=6&amp;number=3.4&amp;sourceID=14","3.4")</f>
        <v>3.4</v>
      </c>
      <c r="G1748" s="4" t="str">
        <f>HYPERLINK("http://141.218.60.56/~jnz1568/getInfo.php?workbook=18_15.xlsx&amp;sheet=U0&amp;row=1748&amp;col=7&amp;number=0.412&amp;sourceID=14","0.412")</f>
        <v>0.412</v>
      </c>
    </row>
    <row r="1749" spans="1:7">
      <c r="A1749" s="3"/>
      <c r="B1749" s="3"/>
      <c r="C1749" s="3"/>
      <c r="D1749" s="3"/>
      <c r="E1749" s="3">
        <v>6</v>
      </c>
      <c r="F1749" s="4" t="str">
        <f>HYPERLINK("http://141.218.60.56/~jnz1568/getInfo.php?workbook=18_15.xlsx&amp;sheet=U0&amp;row=1749&amp;col=6&amp;number=3.5&amp;sourceID=14","3.5")</f>
        <v>3.5</v>
      </c>
      <c r="G1749" s="4" t="str">
        <f>HYPERLINK("http://141.218.60.56/~jnz1568/getInfo.php?workbook=18_15.xlsx&amp;sheet=U0&amp;row=1749&amp;col=7&amp;number=0.416&amp;sourceID=14","0.416")</f>
        <v>0.416</v>
      </c>
    </row>
    <row r="1750" spans="1:7">
      <c r="A1750" s="3"/>
      <c r="B1750" s="3"/>
      <c r="C1750" s="3"/>
      <c r="D1750" s="3"/>
      <c r="E1750" s="3">
        <v>7</v>
      </c>
      <c r="F1750" s="4" t="str">
        <f>HYPERLINK("http://141.218.60.56/~jnz1568/getInfo.php?workbook=18_15.xlsx&amp;sheet=U0&amp;row=1750&amp;col=6&amp;number=3.6&amp;sourceID=14","3.6")</f>
        <v>3.6</v>
      </c>
      <c r="G1750" s="4" t="str">
        <f>HYPERLINK("http://141.218.60.56/~jnz1568/getInfo.php?workbook=18_15.xlsx&amp;sheet=U0&amp;row=1750&amp;col=7&amp;number=0.421&amp;sourceID=14","0.421")</f>
        <v>0.421</v>
      </c>
    </row>
    <row r="1751" spans="1:7">
      <c r="A1751" s="3"/>
      <c r="B1751" s="3"/>
      <c r="C1751" s="3"/>
      <c r="D1751" s="3"/>
      <c r="E1751" s="3">
        <v>8</v>
      </c>
      <c r="F1751" s="4" t="str">
        <f>HYPERLINK("http://141.218.60.56/~jnz1568/getInfo.php?workbook=18_15.xlsx&amp;sheet=U0&amp;row=1751&amp;col=6&amp;number=3.7&amp;sourceID=14","3.7")</f>
        <v>3.7</v>
      </c>
      <c r="G1751" s="4" t="str">
        <f>HYPERLINK("http://141.218.60.56/~jnz1568/getInfo.php?workbook=18_15.xlsx&amp;sheet=U0&amp;row=1751&amp;col=7&amp;number=0.428&amp;sourceID=14","0.428")</f>
        <v>0.428</v>
      </c>
    </row>
    <row r="1752" spans="1:7">
      <c r="A1752" s="3"/>
      <c r="B1752" s="3"/>
      <c r="C1752" s="3"/>
      <c r="D1752" s="3"/>
      <c r="E1752" s="3">
        <v>9</v>
      </c>
      <c r="F1752" s="4" t="str">
        <f>HYPERLINK("http://141.218.60.56/~jnz1568/getInfo.php?workbook=18_15.xlsx&amp;sheet=U0&amp;row=1752&amp;col=6&amp;number=3.8&amp;sourceID=14","3.8")</f>
        <v>3.8</v>
      </c>
      <c r="G1752" s="4" t="str">
        <f>HYPERLINK("http://141.218.60.56/~jnz1568/getInfo.php?workbook=18_15.xlsx&amp;sheet=U0&amp;row=1752&amp;col=7&amp;number=0.438&amp;sourceID=14","0.438")</f>
        <v>0.438</v>
      </c>
    </row>
    <row r="1753" spans="1:7">
      <c r="A1753" s="3"/>
      <c r="B1753" s="3"/>
      <c r="C1753" s="3"/>
      <c r="D1753" s="3"/>
      <c r="E1753" s="3">
        <v>10</v>
      </c>
      <c r="F1753" s="4" t="str">
        <f>HYPERLINK("http://141.218.60.56/~jnz1568/getInfo.php?workbook=18_15.xlsx&amp;sheet=U0&amp;row=1753&amp;col=6&amp;number=3.9&amp;sourceID=14","3.9")</f>
        <v>3.9</v>
      </c>
      <c r="G1753" s="4" t="str">
        <f>HYPERLINK("http://141.218.60.56/~jnz1568/getInfo.php?workbook=18_15.xlsx&amp;sheet=U0&amp;row=1753&amp;col=7&amp;number=0.451&amp;sourceID=14","0.451")</f>
        <v>0.451</v>
      </c>
    </row>
    <row r="1754" spans="1:7">
      <c r="A1754" s="3"/>
      <c r="B1754" s="3"/>
      <c r="C1754" s="3"/>
      <c r="D1754" s="3"/>
      <c r="E1754" s="3">
        <v>11</v>
      </c>
      <c r="F1754" s="4" t="str">
        <f>HYPERLINK("http://141.218.60.56/~jnz1568/getInfo.php?workbook=18_15.xlsx&amp;sheet=U0&amp;row=1754&amp;col=6&amp;number=4&amp;sourceID=14","4")</f>
        <v>4</v>
      </c>
      <c r="G1754" s="4" t="str">
        <f>HYPERLINK("http://141.218.60.56/~jnz1568/getInfo.php?workbook=18_15.xlsx&amp;sheet=U0&amp;row=1754&amp;col=7&amp;number=0.471&amp;sourceID=14","0.471")</f>
        <v>0.471</v>
      </c>
    </row>
    <row r="1755" spans="1:7">
      <c r="A1755" s="3"/>
      <c r="B1755" s="3"/>
      <c r="C1755" s="3"/>
      <c r="D1755" s="3"/>
      <c r="E1755" s="3">
        <v>12</v>
      </c>
      <c r="F1755" s="4" t="str">
        <f>HYPERLINK("http://141.218.60.56/~jnz1568/getInfo.php?workbook=18_15.xlsx&amp;sheet=U0&amp;row=1755&amp;col=6&amp;number=4.1&amp;sourceID=14","4.1")</f>
        <v>4.1</v>
      </c>
      <c r="G1755" s="4" t="str">
        <f>HYPERLINK("http://141.218.60.56/~jnz1568/getInfo.php?workbook=18_15.xlsx&amp;sheet=U0&amp;row=1755&amp;col=7&amp;number=0.501&amp;sourceID=14","0.501")</f>
        <v>0.501</v>
      </c>
    </row>
    <row r="1756" spans="1:7">
      <c r="A1756" s="3"/>
      <c r="B1756" s="3"/>
      <c r="C1756" s="3"/>
      <c r="D1756" s="3"/>
      <c r="E1756" s="3">
        <v>13</v>
      </c>
      <c r="F1756" s="4" t="str">
        <f>HYPERLINK("http://141.218.60.56/~jnz1568/getInfo.php?workbook=18_15.xlsx&amp;sheet=U0&amp;row=1756&amp;col=6&amp;number=4.2&amp;sourceID=14","4.2")</f>
        <v>4.2</v>
      </c>
      <c r="G1756" s="4" t="str">
        <f>HYPERLINK("http://141.218.60.56/~jnz1568/getInfo.php?workbook=18_15.xlsx&amp;sheet=U0&amp;row=1756&amp;col=7&amp;number=0.548&amp;sourceID=14","0.548")</f>
        <v>0.548</v>
      </c>
    </row>
    <row r="1757" spans="1:7">
      <c r="A1757" s="3"/>
      <c r="B1757" s="3"/>
      <c r="C1757" s="3"/>
      <c r="D1757" s="3"/>
      <c r="E1757" s="3">
        <v>14</v>
      </c>
      <c r="F1757" s="4" t="str">
        <f>HYPERLINK("http://141.218.60.56/~jnz1568/getInfo.php?workbook=18_15.xlsx&amp;sheet=U0&amp;row=1757&amp;col=6&amp;number=4.3&amp;sourceID=14","4.3")</f>
        <v>4.3</v>
      </c>
      <c r="G1757" s="4" t="str">
        <f>HYPERLINK("http://141.218.60.56/~jnz1568/getInfo.php?workbook=18_15.xlsx&amp;sheet=U0&amp;row=1757&amp;col=7&amp;number=0.622&amp;sourceID=14","0.622")</f>
        <v>0.622</v>
      </c>
    </row>
    <row r="1758" spans="1:7">
      <c r="A1758" s="3"/>
      <c r="B1758" s="3"/>
      <c r="C1758" s="3"/>
      <c r="D1758" s="3"/>
      <c r="E1758" s="3">
        <v>15</v>
      </c>
      <c r="F1758" s="4" t="str">
        <f>HYPERLINK("http://141.218.60.56/~jnz1568/getInfo.php?workbook=18_15.xlsx&amp;sheet=U0&amp;row=1758&amp;col=6&amp;number=4.4&amp;sourceID=14","4.4")</f>
        <v>4.4</v>
      </c>
      <c r="G1758" s="4" t="str">
        <f>HYPERLINK("http://141.218.60.56/~jnz1568/getInfo.php?workbook=18_15.xlsx&amp;sheet=U0&amp;row=1758&amp;col=7&amp;number=0.728&amp;sourceID=14","0.728")</f>
        <v>0.728</v>
      </c>
    </row>
    <row r="1759" spans="1:7">
      <c r="A1759" s="3"/>
      <c r="B1759" s="3"/>
      <c r="C1759" s="3"/>
      <c r="D1759" s="3"/>
      <c r="E1759" s="3">
        <v>16</v>
      </c>
      <c r="F1759" s="4" t="str">
        <f>HYPERLINK("http://141.218.60.56/~jnz1568/getInfo.php?workbook=18_15.xlsx&amp;sheet=U0&amp;row=1759&amp;col=6&amp;number=4.5&amp;sourceID=14","4.5")</f>
        <v>4.5</v>
      </c>
      <c r="G1759" s="4" t="str">
        <f>HYPERLINK("http://141.218.60.56/~jnz1568/getInfo.php?workbook=18_15.xlsx&amp;sheet=U0&amp;row=1759&amp;col=7&amp;number=0.851&amp;sourceID=14","0.851")</f>
        <v>0.851</v>
      </c>
    </row>
    <row r="1760" spans="1:7">
      <c r="A1760" s="3"/>
      <c r="B1760" s="3"/>
      <c r="C1760" s="3"/>
      <c r="D1760" s="3"/>
      <c r="E1760" s="3">
        <v>17</v>
      </c>
      <c r="F1760" s="4" t="str">
        <f>HYPERLINK("http://141.218.60.56/~jnz1568/getInfo.php?workbook=18_15.xlsx&amp;sheet=U0&amp;row=1760&amp;col=6&amp;number=4.6&amp;sourceID=14","4.6")</f>
        <v>4.6</v>
      </c>
      <c r="G1760" s="4" t="str">
        <f>HYPERLINK("http://141.218.60.56/~jnz1568/getInfo.php?workbook=18_15.xlsx&amp;sheet=U0&amp;row=1760&amp;col=7&amp;number=0.963&amp;sourceID=14","0.963")</f>
        <v>0.963</v>
      </c>
    </row>
    <row r="1761" spans="1:7">
      <c r="A1761" s="3"/>
      <c r="B1761" s="3"/>
      <c r="C1761" s="3"/>
      <c r="D1761" s="3"/>
      <c r="E1761" s="3">
        <v>18</v>
      </c>
      <c r="F1761" s="4" t="str">
        <f>HYPERLINK("http://141.218.60.56/~jnz1568/getInfo.php?workbook=18_15.xlsx&amp;sheet=U0&amp;row=1761&amp;col=6&amp;number=4.7&amp;sourceID=14","4.7")</f>
        <v>4.7</v>
      </c>
      <c r="G1761" s="4" t="str">
        <f>HYPERLINK("http://141.218.60.56/~jnz1568/getInfo.php?workbook=18_15.xlsx&amp;sheet=U0&amp;row=1761&amp;col=7&amp;number=1.04&amp;sourceID=14","1.04")</f>
        <v>1.04</v>
      </c>
    </row>
    <row r="1762" spans="1:7">
      <c r="A1762" s="3"/>
      <c r="B1762" s="3"/>
      <c r="C1762" s="3"/>
      <c r="D1762" s="3"/>
      <c r="E1762" s="3">
        <v>19</v>
      </c>
      <c r="F1762" s="4" t="str">
        <f>HYPERLINK("http://141.218.60.56/~jnz1568/getInfo.php?workbook=18_15.xlsx&amp;sheet=U0&amp;row=1762&amp;col=6&amp;number=4.8&amp;sourceID=14","4.8")</f>
        <v>4.8</v>
      </c>
      <c r="G1762" s="4" t="str">
        <f>HYPERLINK("http://141.218.60.56/~jnz1568/getInfo.php?workbook=18_15.xlsx&amp;sheet=U0&amp;row=1762&amp;col=7&amp;number=1.09&amp;sourceID=14","1.09")</f>
        <v>1.09</v>
      </c>
    </row>
    <row r="1763" spans="1:7">
      <c r="A1763" s="3"/>
      <c r="B1763" s="3"/>
      <c r="C1763" s="3"/>
      <c r="D1763" s="3"/>
      <c r="E1763" s="3">
        <v>20</v>
      </c>
      <c r="F1763" s="4" t="str">
        <f>HYPERLINK("http://141.218.60.56/~jnz1568/getInfo.php?workbook=18_15.xlsx&amp;sheet=U0&amp;row=1763&amp;col=6&amp;number=4.9&amp;sourceID=14","4.9")</f>
        <v>4.9</v>
      </c>
      <c r="G1763" s="4" t="str">
        <f>HYPERLINK("http://141.218.60.56/~jnz1568/getInfo.php?workbook=18_15.xlsx&amp;sheet=U0&amp;row=1763&amp;col=7&amp;number=1.11&amp;sourceID=14","1.11")</f>
        <v>1.11</v>
      </c>
    </row>
    <row r="1764" spans="1:7">
      <c r="A1764" s="3">
        <v>18</v>
      </c>
      <c r="B1764" s="3">
        <v>15</v>
      </c>
      <c r="C1764" s="3">
        <v>4</v>
      </c>
      <c r="D1764" s="3">
        <v>10</v>
      </c>
      <c r="E1764" s="3">
        <v>1</v>
      </c>
      <c r="F1764" s="4" t="str">
        <f>HYPERLINK("http://141.218.60.56/~jnz1568/getInfo.php?workbook=18_15.xlsx&amp;sheet=U0&amp;row=1764&amp;col=6&amp;number=3&amp;sourceID=14","3")</f>
        <v>3</v>
      </c>
      <c r="G1764" s="4" t="str">
        <f>HYPERLINK("http://141.218.60.56/~jnz1568/getInfo.php?workbook=18_15.xlsx&amp;sheet=U0&amp;row=1764&amp;col=7&amp;number=0.502&amp;sourceID=14","0.502")</f>
        <v>0.502</v>
      </c>
    </row>
    <row r="1765" spans="1:7">
      <c r="A1765" s="3"/>
      <c r="B1765" s="3"/>
      <c r="C1765" s="3"/>
      <c r="D1765" s="3"/>
      <c r="E1765" s="3">
        <v>2</v>
      </c>
      <c r="F1765" s="4" t="str">
        <f>HYPERLINK("http://141.218.60.56/~jnz1568/getInfo.php?workbook=18_15.xlsx&amp;sheet=U0&amp;row=1765&amp;col=6&amp;number=3.1&amp;sourceID=14","3.1")</f>
        <v>3.1</v>
      </c>
      <c r="G1765" s="4" t="str">
        <f>HYPERLINK("http://141.218.60.56/~jnz1568/getInfo.php?workbook=18_15.xlsx&amp;sheet=U0&amp;row=1765&amp;col=7&amp;number=0.501&amp;sourceID=14","0.501")</f>
        <v>0.501</v>
      </c>
    </row>
    <row r="1766" spans="1:7">
      <c r="A1766" s="3"/>
      <c r="B1766" s="3"/>
      <c r="C1766" s="3"/>
      <c r="D1766" s="3"/>
      <c r="E1766" s="3">
        <v>3</v>
      </c>
      <c r="F1766" s="4" t="str">
        <f>HYPERLINK("http://141.218.60.56/~jnz1568/getInfo.php?workbook=18_15.xlsx&amp;sheet=U0&amp;row=1766&amp;col=6&amp;number=3.2&amp;sourceID=14","3.2")</f>
        <v>3.2</v>
      </c>
      <c r="G1766" s="4" t="str">
        <f>HYPERLINK("http://141.218.60.56/~jnz1568/getInfo.php?workbook=18_15.xlsx&amp;sheet=U0&amp;row=1766&amp;col=7&amp;number=0.5&amp;sourceID=14","0.5")</f>
        <v>0.5</v>
      </c>
    </row>
    <row r="1767" spans="1:7">
      <c r="A1767" s="3"/>
      <c r="B1767" s="3"/>
      <c r="C1767" s="3"/>
      <c r="D1767" s="3"/>
      <c r="E1767" s="3">
        <v>4</v>
      </c>
      <c r="F1767" s="4" t="str">
        <f>HYPERLINK("http://141.218.60.56/~jnz1568/getInfo.php?workbook=18_15.xlsx&amp;sheet=U0&amp;row=1767&amp;col=6&amp;number=3.3&amp;sourceID=14","3.3")</f>
        <v>3.3</v>
      </c>
      <c r="G1767" s="4" t="str">
        <f>HYPERLINK("http://141.218.60.56/~jnz1568/getInfo.php?workbook=18_15.xlsx&amp;sheet=U0&amp;row=1767&amp;col=7&amp;number=0.499&amp;sourceID=14","0.499")</f>
        <v>0.499</v>
      </c>
    </row>
    <row r="1768" spans="1:7">
      <c r="A1768" s="3"/>
      <c r="B1768" s="3"/>
      <c r="C1768" s="3"/>
      <c r="D1768" s="3"/>
      <c r="E1768" s="3">
        <v>5</v>
      </c>
      <c r="F1768" s="4" t="str">
        <f>HYPERLINK("http://141.218.60.56/~jnz1568/getInfo.php?workbook=18_15.xlsx&amp;sheet=U0&amp;row=1768&amp;col=6&amp;number=3.4&amp;sourceID=14","3.4")</f>
        <v>3.4</v>
      </c>
      <c r="G1768" s="4" t="str">
        <f>HYPERLINK("http://141.218.60.56/~jnz1568/getInfo.php?workbook=18_15.xlsx&amp;sheet=U0&amp;row=1768&amp;col=7&amp;number=0.497&amp;sourceID=14","0.497")</f>
        <v>0.497</v>
      </c>
    </row>
    <row r="1769" spans="1:7">
      <c r="A1769" s="3"/>
      <c r="B1769" s="3"/>
      <c r="C1769" s="3"/>
      <c r="D1769" s="3"/>
      <c r="E1769" s="3">
        <v>6</v>
      </c>
      <c r="F1769" s="4" t="str">
        <f>HYPERLINK("http://141.218.60.56/~jnz1568/getInfo.php?workbook=18_15.xlsx&amp;sheet=U0&amp;row=1769&amp;col=6&amp;number=3.5&amp;sourceID=14","3.5")</f>
        <v>3.5</v>
      </c>
      <c r="G1769" s="4" t="str">
        <f>HYPERLINK("http://141.218.60.56/~jnz1568/getInfo.php?workbook=18_15.xlsx&amp;sheet=U0&amp;row=1769&amp;col=7&amp;number=0.496&amp;sourceID=14","0.496")</f>
        <v>0.496</v>
      </c>
    </row>
    <row r="1770" spans="1:7">
      <c r="A1770" s="3"/>
      <c r="B1770" s="3"/>
      <c r="C1770" s="3"/>
      <c r="D1770" s="3"/>
      <c r="E1770" s="3">
        <v>7</v>
      </c>
      <c r="F1770" s="4" t="str">
        <f>HYPERLINK("http://141.218.60.56/~jnz1568/getInfo.php?workbook=18_15.xlsx&amp;sheet=U0&amp;row=1770&amp;col=6&amp;number=3.6&amp;sourceID=14","3.6")</f>
        <v>3.6</v>
      </c>
      <c r="G1770" s="4" t="str">
        <f>HYPERLINK("http://141.218.60.56/~jnz1568/getInfo.php?workbook=18_15.xlsx&amp;sheet=U0&amp;row=1770&amp;col=7&amp;number=0.494&amp;sourceID=14","0.494")</f>
        <v>0.494</v>
      </c>
    </row>
    <row r="1771" spans="1:7">
      <c r="A1771" s="3"/>
      <c r="B1771" s="3"/>
      <c r="C1771" s="3"/>
      <c r="D1771" s="3"/>
      <c r="E1771" s="3">
        <v>8</v>
      </c>
      <c r="F1771" s="4" t="str">
        <f>HYPERLINK("http://141.218.60.56/~jnz1568/getInfo.php?workbook=18_15.xlsx&amp;sheet=U0&amp;row=1771&amp;col=6&amp;number=3.7&amp;sourceID=14","3.7")</f>
        <v>3.7</v>
      </c>
      <c r="G1771" s="4" t="str">
        <f>HYPERLINK("http://141.218.60.56/~jnz1568/getInfo.php?workbook=18_15.xlsx&amp;sheet=U0&amp;row=1771&amp;col=7&amp;number=0.494&amp;sourceID=14","0.494")</f>
        <v>0.494</v>
      </c>
    </row>
    <row r="1772" spans="1:7">
      <c r="A1772" s="3"/>
      <c r="B1772" s="3"/>
      <c r="C1772" s="3"/>
      <c r="D1772" s="3"/>
      <c r="E1772" s="3">
        <v>9</v>
      </c>
      <c r="F1772" s="4" t="str">
        <f>HYPERLINK("http://141.218.60.56/~jnz1568/getInfo.php?workbook=18_15.xlsx&amp;sheet=U0&amp;row=1772&amp;col=6&amp;number=3.8&amp;sourceID=14","3.8")</f>
        <v>3.8</v>
      </c>
      <c r="G1772" s="4" t="str">
        <f>HYPERLINK("http://141.218.60.56/~jnz1568/getInfo.php?workbook=18_15.xlsx&amp;sheet=U0&amp;row=1772&amp;col=7&amp;number=0.495&amp;sourceID=14","0.495")</f>
        <v>0.495</v>
      </c>
    </row>
    <row r="1773" spans="1:7">
      <c r="A1773" s="3"/>
      <c r="B1773" s="3"/>
      <c r="C1773" s="3"/>
      <c r="D1773" s="3"/>
      <c r="E1773" s="3">
        <v>10</v>
      </c>
      <c r="F1773" s="4" t="str">
        <f>HYPERLINK("http://141.218.60.56/~jnz1568/getInfo.php?workbook=18_15.xlsx&amp;sheet=U0&amp;row=1773&amp;col=6&amp;number=3.9&amp;sourceID=14","3.9")</f>
        <v>3.9</v>
      </c>
      <c r="G1773" s="4" t="str">
        <f>HYPERLINK("http://141.218.60.56/~jnz1568/getInfo.php?workbook=18_15.xlsx&amp;sheet=U0&amp;row=1773&amp;col=7&amp;number=0.5&amp;sourceID=14","0.5")</f>
        <v>0.5</v>
      </c>
    </row>
    <row r="1774" spans="1:7">
      <c r="A1774" s="3"/>
      <c r="B1774" s="3"/>
      <c r="C1774" s="3"/>
      <c r="D1774" s="3"/>
      <c r="E1774" s="3">
        <v>11</v>
      </c>
      <c r="F1774" s="4" t="str">
        <f>HYPERLINK("http://141.218.60.56/~jnz1568/getInfo.php?workbook=18_15.xlsx&amp;sheet=U0&amp;row=1774&amp;col=6&amp;number=4&amp;sourceID=14","4")</f>
        <v>4</v>
      </c>
      <c r="G1774" s="4" t="str">
        <f>HYPERLINK("http://141.218.60.56/~jnz1568/getInfo.php?workbook=18_15.xlsx&amp;sheet=U0&amp;row=1774&amp;col=7&amp;number=0.512&amp;sourceID=14","0.512")</f>
        <v>0.512</v>
      </c>
    </row>
    <row r="1775" spans="1:7">
      <c r="A1775" s="3"/>
      <c r="B1775" s="3"/>
      <c r="C1775" s="3"/>
      <c r="D1775" s="3"/>
      <c r="E1775" s="3">
        <v>12</v>
      </c>
      <c r="F1775" s="4" t="str">
        <f>HYPERLINK("http://141.218.60.56/~jnz1568/getInfo.php?workbook=18_15.xlsx&amp;sheet=U0&amp;row=1775&amp;col=6&amp;number=4.1&amp;sourceID=14","4.1")</f>
        <v>4.1</v>
      </c>
      <c r="G1775" s="4" t="str">
        <f>HYPERLINK("http://141.218.60.56/~jnz1568/getInfo.php?workbook=18_15.xlsx&amp;sheet=U0&amp;row=1775&amp;col=7&amp;number=0.534&amp;sourceID=14","0.534")</f>
        <v>0.534</v>
      </c>
    </row>
    <row r="1776" spans="1:7">
      <c r="A1776" s="3"/>
      <c r="B1776" s="3"/>
      <c r="C1776" s="3"/>
      <c r="D1776" s="3"/>
      <c r="E1776" s="3">
        <v>13</v>
      </c>
      <c r="F1776" s="4" t="str">
        <f>HYPERLINK("http://141.218.60.56/~jnz1568/getInfo.php?workbook=18_15.xlsx&amp;sheet=U0&amp;row=1776&amp;col=6&amp;number=4.2&amp;sourceID=14","4.2")</f>
        <v>4.2</v>
      </c>
      <c r="G1776" s="4" t="str">
        <f>HYPERLINK("http://141.218.60.56/~jnz1568/getInfo.php?workbook=18_15.xlsx&amp;sheet=U0&amp;row=1776&amp;col=7&amp;number=0.571&amp;sourceID=14","0.571")</f>
        <v>0.571</v>
      </c>
    </row>
    <row r="1777" spans="1:7">
      <c r="A1777" s="3"/>
      <c r="B1777" s="3"/>
      <c r="C1777" s="3"/>
      <c r="D1777" s="3"/>
      <c r="E1777" s="3">
        <v>14</v>
      </c>
      <c r="F1777" s="4" t="str">
        <f>HYPERLINK("http://141.218.60.56/~jnz1568/getInfo.php?workbook=18_15.xlsx&amp;sheet=U0&amp;row=1777&amp;col=6&amp;number=4.3&amp;sourceID=14","4.3")</f>
        <v>4.3</v>
      </c>
      <c r="G1777" s="4" t="str">
        <f>HYPERLINK("http://141.218.60.56/~jnz1568/getInfo.php?workbook=18_15.xlsx&amp;sheet=U0&amp;row=1777&amp;col=7&amp;number=0.63&amp;sourceID=14","0.63")</f>
        <v>0.63</v>
      </c>
    </row>
    <row r="1778" spans="1:7">
      <c r="A1778" s="3"/>
      <c r="B1778" s="3"/>
      <c r="C1778" s="3"/>
      <c r="D1778" s="3"/>
      <c r="E1778" s="3">
        <v>15</v>
      </c>
      <c r="F1778" s="4" t="str">
        <f>HYPERLINK("http://141.218.60.56/~jnz1568/getInfo.php?workbook=18_15.xlsx&amp;sheet=U0&amp;row=1778&amp;col=6&amp;number=4.4&amp;sourceID=14","4.4")</f>
        <v>4.4</v>
      </c>
      <c r="G1778" s="4" t="str">
        <f>HYPERLINK("http://141.218.60.56/~jnz1568/getInfo.php?workbook=18_15.xlsx&amp;sheet=U0&amp;row=1778&amp;col=7&amp;number=0.703&amp;sourceID=14","0.703")</f>
        <v>0.703</v>
      </c>
    </row>
    <row r="1779" spans="1:7">
      <c r="A1779" s="3"/>
      <c r="B1779" s="3"/>
      <c r="C1779" s="3"/>
      <c r="D1779" s="3"/>
      <c r="E1779" s="3">
        <v>16</v>
      </c>
      <c r="F1779" s="4" t="str">
        <f>HYPERLINK("http://141.218.60.56/~jnz1568/getInfo.php?workbook=18_15.xlsx&amp;sheet=U0&amp;row=1779&amp;col=6&amp;number=4.5&amp;sourceID=14","4.5")</f>
        <v>4.5</v>
      </c>
      <c r="G1779" s="4" t="str">
        <f>HYPERLINK("http://141.218.60.56/~jnz1568/getInfo.php?workbook=18_15.xlsx&amp;sheet=U0&amp;row=1779&amp;col=7&amp;number=0.777&amp;sourceID=14","0.777")</f>
        <v>0.777</v>
      </c>
    </row>
    <row r="1780" spans="1:7">
      <c r="A1780" s="3"/>
      <c r="B1780" s="3"/>
      <c r="C1780" s="3"/>
      <c r="D1780" s="3"/>
      <c r="E1780" s="3">
        <v>17</v>
      </c>
      <c r="F1780" s="4" t="str">
        <f>HYPERLINK("http://141.218.60.56/~jnz1568/getInfo.php?workbook=18_15.xlsx&amp;sheet=U0&amp;row=1780&amp;col=6&amp;number=4.6&amp;sourceID=14","4.6")</f>
        <v>4.6</v>
      </c>
      <c r="G1780" s="4" t="str">
        <f>HYPERLINK("http://141.218.60.56/~jnz1568/getInfo.php?workbook=18_15.xlsx&amp;sheet=U0&amp;row=1780&amp;col=7&amp;number=0.837&amp;sourceID=14","0.837")</f>
        <v>0.837</v>
      </c>
    </row>
    <row r="1781" spans="1:7">
      <c r="A1781" s="3"/>
      <c r="B1781" s="3"/>
      <c r="C1781" s="3"/>
      <c r="D1781" s="3"/>
      <c r="E1781" s="3">
        <v>18</v>
      </c>
      <c r="F1781" s="4" t="str">
        <f>HYPERLINK("http://141.218.60.56/~jnz1568/getInfo.php?workbook=18_15.xlsx&amp;sheet=U0&amp;row=1781&amp;col=6&amp;number=4.7&amp;sourceID=14","4.7")</f>
        <v>4.7</v>
      </c>
      <c r="G1781" s="4" t="str">
        <f>HYPERLINK("http://141.218.60.56/~jnz1568/getInfo.php?workbook=18_15.xlsx&amp;sheet=U0&amp;row=1781&amp;col=7&amp;number=0.881&amp;sourceID=14","0.881")</f>
        <v>0.881</v>
      </c>
    </row>
    <row r="1782" spans="1:7">
      <c r="A1782" s="3"/>
      <c r="B1782" s="3"/>
      <c r="C1782" s="3"/>
      <c r="D1782" s="3"/>
      <c r="E1782" s="3">
        <v>19</v>
      </c>
      <c r="F1782" s="4" t="str">
        <f>HYPERLINK("http://141.218.60.56/~jnz1568/getInfo.php?workbook=18_15.xlsx&amp;sheet=U0&amp;row=1782&amp;col=6&amp;number=4.8&amp;sourceID=14","4.8")</f>
        <v>4.8</v>
      </c>
      <c r="G1782" s="4" t="str">
        <f>HYPERLINK("http://141.218.60.56/~jnz1568/getInfo.php?workbook=18_15.xlsx&amp;sheet=U0&amp;row=1782&amp;col=7&amp;number=0.902&amp;sourceID=14","0.902")</f>
        <v>0.902</v>
      </c>
    </row>
    <row r="1783" spans="1:7">
      <c r="A1783" s="3"/>
      <c r="B1783" s="3"/>
      <c r="C1783" s="3"/>
      <c r="D1783" s="3"/>
      <c r="E1783" s="3">
        <v>20</v>
      </c>
      <c r="F1783" s="4" t="str">
        <f>HYPERLINK("http://141.218.60.56/~jnz1568/getInfo.php?workbook=18_15.xlsx&amp;sheet=U0&amp;row=1783&amp;col=6&amp;number=4.9&amp;sourceID=14","4.9")</f>
        <v>4.9</v>
      </c>
      <c r="G1783" s="4" t="str">
        <f>HYPERLINK("http://141.218.60.56/~jnz1568/getInfo.php?workbook=18_15.xlsx&amp;sheet=U0&amp;row=1783&amp;col=7&amp;number=0.893&amp;sourceID=14","0.893")</f>
        <v>0.893</v>
      </c>
    </row>
    <row r="1784" spans="1:7">
      <c r="A1784" s="3">
        <v>18</v>
      </c>
      <c r="B1784" s="3">
        <v>15</v>
      </c>
      <c r="C1784" s="3">
        <v>4</v>
      </c>
      <c r="D1784" s="3">
        <v>11</v>
      </c>
      <c r="E1784" s="3">
        <v>1</v>
      </c>
      <c r="F1784" s="4" t="str">
        <f>HYPERLINK("http://141.218.60.56/~jnz1568/getInfo.php?workbook=18_15.xlsx&amp;sheet=U0&amp;row=1784&amp;col=6&amp;number=3&amp;sourceID=14","3")</f>
        <v>3</v>
      </c>
      <c r="G1784" s="4" t="str">
        <f>HYPERLINK("http://141.218.60.56/~jnz1568/getInfo.php?workbook=18_15.xlsx&amp;sheet=U0&amp;row=1784&amp;col=7&amp;number=0.224&amp;sourceID=14","0.224")</f>
        <v>0.224</v>
      </c>
    </row>
    <row r="1785" spans="1:7">
      <c r="A1785" s="3"/>
      <c r="B1785" s="3"/>
      <c r="C1785" s="3"/>
      <c r="D1785" s="3"/>
      <c r="E1785" s="3">
        <v>2</v>
      </c>
      <c r="F1785" s="4" t="str">
        <f>HYPERLINK("http://141.218.60.56/~jnz1568/getInfo.php?workbook=18_15.xlsx&amp;sheet=U0&amp;row=1785&amp;col=6&amp;number=3.1&amp;sourceID=14","3.1")</f>
        <v>3.1</v>
      </c>
      <c r="G1785" s="4" t="str">
        <f>HYPERLINK("http://141.218.60.56/~jnz1568/getInfo.php?workbook=18_15.xlsx&amp;sheet=U0&amp;row=1785&amp;col=7&amp;number=0.224&amp;sourceID=14","0.224")</f>
        <v>0.224</v>
      </c>
    </row>
    <row r="1786" spans="1:7">
      <c r="A1786" s="3"/>
      <c r="B1786" s="3"/>
      <c r="C1786" s="3"/>
      <c r="D1786" s="3"/>
      <c r="E1786" s="3">
        <v>3</v>
      </c>
      <c r="F1786" s="4" t="str">
        <f>HYPERLINK("http://141.218.60.56/~jnz1568/getInfo.php?workbook=18_15.xlsx&amp;sheet=U0&amp;row=1786&amp;col=6&amp;number=3.2&amp;sourceID=14","3.2")</f>
        <v>3.2</v>
      </c>
      <c r="G1786" s="4" t="str">
        <f>HYPERLINK("http://141.218.60.56/~jnz1568/getInfo.php?workbook=18_15.xlsx&amp;sheet=U0&amp;row=1786&amp;col=7&amp;number=0.223&amp;sourceID=14","0.223")</f>
        <v>0.223</v>
      </c>
    </row>
    <row r="1787" spans="1:7">
      <c r="A1787" s="3"/>
      <c r="B1787" s="3"/>
      <c r="C1787" s="3"/>
      <c r="D1787" s="3"/>
      <c r="E1787" s="3">
        <v>4</v>
      </c>
      <c r="F1787" s="4" t="str">
        <f>HYPERLINK("http://141.218.60.56/~jnz1568/getInfo.php?workbook=18_15.xlsx&amp;sheet=U0&amp;row=1787&amp;col=6&amp;number=3.3&amp;sourceID=14","3.3")</f>
        <v>3.3</v>
      </c>
      <c r="G1787" s="4" t="str">
        <f>HYPERLINK("http://141.218.60.56/~jnz1568/getInfo.php?workbook=18_15.xlsx&amp;sheet=U0&amp;row=1787&amp;col=7&amp;number=0.222&amp;sourceID=14","0.222")</f>
        <v>0.222</v>
      </c>
    </row>
    <row r="1788" spans="1:7">
      <c r="A1788" s="3"/>
      <c r="B1788" s="3"/>
      <c r="C1788" s="3"/>
      <c r="D1788" s="3"/>
      <c r="E1788" s="3">
        <v>5</v>
      </c>
      <c r="F1788" s="4" t="str">
        <f>HYPERLINK("http://141.218.60.56/~jnz1568/getInfo.php?workbook=18_15.xlsx&amp;sheet=U0&amp;row=1788&amp;col=6&amp;number=3.4&amp;sourceID=14","3.4")</f>
        <v>3.4</v>
      </c>
      <c r="G1788" s="4" t="str">
        <f>HYPERLINK("http://141.218.60.56/~jnz1568/getInfo.php?workbook=18_15.xlsx&amp;sheet=U0&amp;row=1788&amp;col=7&amp;number=0.221&amp;sourceID=14","0.221")</f>
        <v>0.221</v>
      </c>
    </row>
    <row r="1789" spans="1:7">
      <c r="A1789" s="3"/>
      <c r="B1789" s="3"/>
      <c r="C1789" s="3"/>
      <c r="D1789" s="3"/>
      <c r="E1789" s="3">
        <v>6</v>
      </c>
      <c r="F1789" s="4" t="str">
        <f>HYPERLINK("http://141.218.60.56/~jnz1568/getInfo.php?workbook=18_15.xlsx&amp;sheet=U0&amp;row=1789&amp;col=6&amp;number=3.5&amp;sourceID=14","3.5")</f>
        <v>3.5</v>
      </c>
      <c r="G1789" s="4" t="str">
        <f>HYPERLINK("http://141.218.60.56/~jnz1568/getInfo.php?workbook=18_15.xlsx&amp;sheet=U0&amp;row=1789&amp;col=7&amp;number=0.219&amp;sourceID=14","0.219")</f>
        <v>0.219</v>
      </c>
    </row>
    <row r="1790" spans="1:7">
      <c r="A1790" s="3"/>
      <c r="B1790" s="3"/>
      <c r="C1790" s="3"/>
      <c r="D1790" s="3"/>
      <c r="E1790" s="3">
        <v>7</v>
      </c>
      <c r="F1790" s="4" t="str">
        <f>HYPERLINK("http://141.218.60.56/~jnz1568/getInfo.php?workbook=18_15.xlsx&amp;sheet=U0&amp;row=1790&amp;col=6&amp;number=3.6&amp;sourceID=14","3.6")</f>
        <v>3.6</v>
      </c>
      <c r="G1790" s="4" t="str">
        <f>HYPERLINK("http://141.218.60.56/~jnz1568/getInfo.php?workbook=18_15.xlsx&amp;sheet=U0&amp;row=1790&amp;col=7&amp;number=0.217&amp;sourceID=14","0.217")</f>
        <v>0.217</v>
      </c>
    </row>
    <row r="1791" spans="1:7">
      <c r="A1791" s="3"/>
      <c r="B1791" s="3"/>
      <c r="C1791" s="3"/>
      <c r="D1791" s="3"/>
      <c r="E1791" s="3">
        <v>8</v>
      </c>
      <c r="F1791" s="4" t="str">
        <f>HYPERLINK("http://141.218.60.56/~jnz1568/getInfo.php?workbook=18_15.xlsx&amp;sheet=U0&amp;row=1791&amp;col=6&amp;number=3.7&amp;sourceID=14","3.7")</f>
        <v>3.7</v>
      </c>
      <c r="G1791" s="4" t="str">
        <f>HYPERLINK("http://141.218.60.56/~jnz1568/getInfo.php?workbook=18_15.xlsx&amp;sheet=U0&amp;row=1791&amp;col=7&amp;number=0.215&amp;sourceID=14","0.215")</f>
        <v>0.215</v>
      </c>
    </row>
    <row r="1792" spans="1:7">
      <c r="A1792" s="3"/>
      <c r="B1792" s="3"/>
      <c r="C1792" s="3"/>
      <c r="D1792" s="3"/>
      <c r="E1792" s="3">
        <v>9</v>
      </c>
      <c r="F1792" s="4" t="str">
        <f>HYPERLINK("http://141.218.60.56/~jnz1568/getInfo.php?workbook=18_15.xlsx&amp;sheet=U0&amp;row=1792&amp;col=6&amp;number=3.8&amp;sourceID=14","3.8")</f>
        <v>3.8</v>
      </c>
      <c r="G1792" s="4" t="str">
        <f>HYPERLINK("http://141.218.60.56/~jnz1568/getInfo.php?workbook=18_15.xlsx&amp;sheet=U0&amp;row=1792&amp;col=7&amp;number=0.212&amp;sourceID=14","0.212")</f>
        <v>0.212</v>
      </c>
    </row>
    <row r="1793" spans="1:7">
      <c r="A1793" s="3"/>
      <c r="B1793" s="3"/>
      <c r="C1793" s="3"/>
      <c r="D1793" s="3"/>
      <c r="E1793" s="3">
        <v>10</v>
      </c>
      <c r="F1793" s="4" t="str">
        <f>HYPERLINK("http://141.218.60.56/~jnz1568/getInfo.php?workbook=18_15.xlsx&amp;sheet=U0&amp;row=1793&amp;col=6&amp;number=3.9&amp;sourceID=14","3.9")</f>
        <v>3.9</v>
      </c>
      <c r="G1793" s="4" t="str">
        <f>HYPERLINK("http://141.218.60.56/~jnz1568/getInfo.php?workbook=18_15.xlsx&amp;sheet=U0&amp;row=1793&amp;col=7&amp;number=0.209&amp;sourceID=14","0.209")</f>
        <v>0.209</v>
      </c>
    </row>
    <row r="1794" spans="1:7">
      <c r="A1794" s="3"/>
      <c r="B1794" s="3"/>
      <c r="C1794" s="3"/>
      <c r="D1794" s="3"/>
      <c r="E1794" s="3">
        <v>11</v>
      </c>
      <c r="F1794" s="4" t="str">
        <f>HYPERLINK("http://141.218.60.56/~jnz1568/getInfo.php?workbook=18_15.xlsx&amp;sheet=U0&amp;row=1794&amp;col=6&amp;number=4&amp;sourceID=14","4")</f>
        <v>4</v>
      </c>
      <c r="G1794" s="4" t="str">
        <f>HYPERLINK("http://141.218.60.56/~jnz1568/getInfo.php?workbook=18_15.xlsx&amp;sheet=U0&amp;row=1794&amp;col=7&amp;number=0.205&amp;sourceID=14","0.205")</f>
        <v>0.205</v>
      </c>
    </row>
    <row r="1795" spans="1:7">
      <c r="A1795" s="3"/>
      <c r="B1795" s="3"/>
      <c r="C1795" s="3"/>
      <c r="D1795" s="3"/>
      <c r="E1795" s="3">
        <v>12</v>
      </c>
      <c r="F1795" s="4" t="str">
        <f>HYPERLINK("http://141.218.60.56/~jnz1568/getInfo.php?workbook=18_15.xlsx&amp;sheet=U0&amp;row=1795&amp;col=6&amp;number=4.1&amp;sourceID=14","4.1")</f>
        <v>4.1</v>
      </c>
      <c r="G1795" s="4" t="str">
        <f>HYPERLINK("http://141.218.60.56/~jnz1568/getInfo.php?workbook=18_15.xlsx&amp;sheet=U0&amp;row=1795&amp;col=7&amp;number=0.2&amp;sourceID=14","0.2")</f>
        <v>0.2</v>
      </c>
    </row>
    <row r="1796" spans="1:7">
      <c r="A1796" s="3"/>
      <c r="B1796" s="3"/>
      <c r="C1796" s="3"/>
      <c r="D1796" s="3"/>
      <c r="E1796" s="3">
        <v>13</v>
      </c>
      <c r="F1796" s="4" t="str">
        <f>HYPERLINK("http://141.218.60.56/~jnz1568/getInfo.php?workbook=18_15.xlsx&amp;sheet=U0&amp;row=1796&amp;col=6&amp;number=4.2&amp;sourceID=14","4.2")</f>
        <v>4.2</v>
      </c>
      <c r="G1796" s="4" t="str">
        <f>HYPERLINK("http://141.218.60.56/~jnz1568/getInfo.php?workbook=18_15.xlsx&amp;sheet=U0&amp;row=1796&amp;col=7&amp;number=0.195&amp;sourceID=14","0.195")</f>
        <v>0.195</v>
      </c>
    </row>
    <row r="1797" spans="1:7">
      <c r="A1797" s="3"/>
      <c r="B1797" s="3"/>
      <c r="C1797" s="3"/>
      <c r="D1797" s="3"/>
      <c r="E1797" s="3">
        <v>14</v>
      </c>
      <c r="F1797" s="4" t="str">
        <f>HYPERLINK("http://141.218.60.56/~jnz1568/getInfo.php?workbook=18_15.xlsx&amp;sheet=U0&amp;row=1797&amp;col=6&amp;number=4.3&amp;sourceID=14","4.3")</f>
        <v>4.3</v>
      </c>
      <c r="G1797" s="4" t="str">
        <f>HYPERLINK("http://141.218.60.56/~jnz1568/getInfo.php?workbook=18_15.xlsx&amp;sheet=U0&amp;row=1797&amp;col=7&amp;number=0.189&amp;sourceID=14","0.189")</f>
        <v>0.189</v>
      </c>
    </row>
    <row r="1798" spans="1:7">
      <c r="A1798" s="3"/>
      <c r="B1798" s="3"/>
      <c r="C1798" s="3"/>
      <c r="D1798" s="3"/>
      <c r="E1798" s="3">
        <v>15</v>
      </c>
      <c r="F1798" s="4" t="str">
        <f>HYPERLINK("http://141.218.60.56/~jnz1568/getInfo.php?workbook=18_15.xlsx&amp;sheet=U0&amp;row=1798&amp;col=6&amp;number=4.4&amp;sourceID=14","4.4")</f>
        <v>4.4</v>
      </c>
      <c r="G1798" s="4" t="str">
        <f>HYPERLINK("http://141.218.60.56/~jnz1568/getInfo.php?workbook=18_15.xlsx&amp;sheet=U0&amp;row=1798&amp;col=7&amp;number=0.182&amp;sourceID=14","0.182")</f>
        <v>0.182</v>
      </c>
    </row>
    <row r="1799" spans="1:7">
      <c r="A1799" s="3"/>
      <c r="B1799" s="3"/>
      <c r="C1799" s="3"/>
      <c r="D1799" s="3"/>
      <c r="E1799" s="3">
        <v>16</v>
      </c>
      <c r="F1799" s="4" t="str">
        <f>HYPERLINK("http://141.218.60.56/~jnz1568/getInfo.php?workbook=18_15.xlsx&amp;sheet=U0&amp;row=1799&amp;col=6&amp;number=4.5&amp;sourceID=14","4.5")</f>
        <v>4.5</v>
      </c>
      <c r="G1799" s="4" t="str">
        <f>HYPERLINK("http://141.218.60.56/~jnz1568/getInfo.php?workbook=18_15.xlsx&amp;sheet=U0&amp;row=1799&amp;col=7&amp;number=0.174&amp;sourceID=14","0.174")</f>
        <v>0.174</v>
      </c>
    </row>
    <row r="1800" spans="1:7">
      <c r="A1800" s="3"/>
      <c r="B1800" s="3"/>
      <c r="C1800" s="3"/>
      <c r="D1800" s="3"/>
      <c r="E1800" s="3">
        <v>17</v>
      </c>
      <c r="F1800" s="4" t="str">
        <f>HYPERLINK("http://141.218.60.56/~jnz1568/getInfo.php?workbook=18_15.xlsx&amp;sheet=U0&amp;row=1800&amp;col=6&amp;number=4.6&amp;sourceID=14","4.6")</f>
        <v>4.6</v>
      </c>
      <c r="G1800" s="4" t="str">
        <f>HYPERLINK("http://141.218.60.56/~jnz1568/getInfo.php?workbook=18_15.xlsx&amp;sheet=U0&amp;row=1800&amp;col=7&amp;number=0.166&amp;sourceID=14","0.166")</f>
        <v>0.166</v>
      </c>
    </row>
    <row r="1801" spans="1:7">
      <c r="A1801" s="3"/>
      <c r="B1801" s="3"/>
      <c r="C1801" s="3"/>
      <c r="D1801" s="3"/>
      <c r="E1801" s="3">
        <v>18</v>
      </c>
      <c r="F1801" s="4" t="str">
        <f>HYPERLINK("http://141.218.60.56/~jnz1568/getInfo.php?workbook=18_15.xlsx&amp;sheet=U0&amp;row=1801&amp;col=6&amp;number=4.7&amp;sourceID=14","4.7")</f>
        <v>4.7</v>
      </c>
      <c r="G1801" s="4" t="str">
        <f>HYPERLINK("http://141.218.60.56/~jnz1568/getInfo.php?workbook=18_15.xlsx&amp;sheet=U0&amp;row=1801&amp;col=7&amp;number=0.16&amp;sourceID=14","0.16")</f>
        <v>0.16</v>
      </c>
    </row>
    <row r="1802" spans="1:7">
      <c r="A1802" s="3"/>
      <c r="B1802" s="3"/>
      <c r="C1802" s="3"/>
      <c r="D1802" s="3"/>
      <c r="E1802" s="3">
        <v>19</v>
      </c>
      <c r="F1802" s="4" t="str">
        <f>HYPERLINK("http://141.218.60.56/~jnz1568/getInfo.php?workbook=18_15.xlsx&amp;sheet=U0&amp;row=1802&amp;col=6&amp;number=4.8&amp;sourceID=14","4.8")</f>
        <v>4.8</v>
      </c>
      <c r="G1802" s="4" t="str">
        <f>HYPERLINK("http://141.218.60.56/~jnz1568/getInfo.php?workbook=18_15.xlsx&amp;sheet=U0&amp;row=1802&amp;col=7&amp;number=0.155&amp;sourceID=14","0.155")</f>
        <v>0.155</v>
      </c>
    </row>
    <row r="1803" spans="1:7">
      <c r="A1803" s="3"/>
      <c r="B1803" s="3"/>
      <c r="C1803" s="3"/>
      <c r="D1803" s="3"/>
      <c r="E1803" s="3">
        <v>20</v>
      </c>
      <c r="F1803" s="4" t="str">
        <f>HYPERLINK("http://141.218.60.56/~jnz1568/getInfo.php?workbook=18_15.xlsx&amp;sheet=U0&amp;row=1803&amp;col=6&amp;number=4.9&amp;sourceID=14","4.9")</f>
        <v>4.9</v>
      </c>
      <c r="G1803" s="4" t="str">
        <f>HYPERLINK("http://141.218.60.56/~jnz1568/getInfo.php?workbook=18_15.xlsx&amp;sheet=U0&amp;row=1803&amp;col=7&amp;number=0.15&amp;sourceID=14","0.15")</f>
        <v>0.15</v>
      </c>
    </row>
    <row r="1804" spans="1:7">
      <c r="A1804" s="3">
        <v>18</v>
      </c>
      <c r="B1804" s="3">
        <v>15</v>
      </c>
      <c r="C1804" s="3">
        <v>4</v>
      </c>
      <c r="D1804" s="3">
        <v>12</v>
      </c>
      <c r="E1804" s="3">
        <v>1</v>
      </c>
      <c r="F1804" s="4" t="str">
        <f>HYPERLINK("http://141.218.60.56/~jnz1568/getInfo.php?workbook=18_15.xlsx&amp;sheet=U0&amp;row=1804&amp;col=6&amp;number=3&amp;sourceID=14","3")</f>
        <v>3</v>
      </c>
      <c r="G1804" s="4" t="str">
        <f>HYPERLINK("http://141.218.60.56/~jnz1568/getInfo.php?workbook=18_15.xlsx&amp;sheet=U0&amp;row=1804&amp;col=7&amp;number=0.429&amp;sourceID=14","0.429")</f>
        <v>0.429</v>
      </c>
    </row>
    <row r="1805" spans="1:7">
      <c r="A1805" s="3"/>
      <c r="B1805" s="3"/>
      <c r="C1805" s="3"/>
      <c r="D1805" s="3"/>
      <c r="E1805" s="3">
        <v>2</v>
      </c>
      <c r="F1805" s="4" t="str">
        <f>HYPERLINK("http://141.218.60.56/~jnz1568/getInfo.php?workbook=18_15.xlsx&amp;sheet=U0&amp;row=1805&amp;col=6&amp;number=3.1&amp;sourceID=14","3.1")</f>
        <v>3.1</v>
      </c>
      <c r="G1805" s="4" t="str">
        <f>HYPERLINK("http://141.218.60.56/~jnz1568/getInfo.php?workbook=18_15.xlsx&amp;sheet=U0&amp;row=1805&amp;col=7&amp;number=0.427&amp;sourceID=14","0.427")</f>
        <v>0.427</v>
      </c>
    </row>
    <row r="1806" spans="1:7">
      <c r="A1806" s="3"/>
      <c r="B1806" s="3"/>
      <c r="C1806" s="3"/>
      <c r="D1806" s="3"/>
      <c r="E1806" s="3">
        <v>3</v>
      </c>
      <c r="F1806" s="4" t="str">
        <f>HYPERLINK("http://141.218.60.56/~jnz1568/getInfo.php?workbook=18_15.xlsx&amp;sheet=U0&amp;row=1806&amp;col=6&amp;number=3.2&amp;sourceID=14","3.2")</f>
        <v>3.2</v>
      </c>
      <c r="G1806" s="4" t="str">
        <f>HYPERLINK("http://141.218.60.56/~jnz1568/getInfo.php?workbook=18_15.xlsx&amp;sheet=U0&amp;row=1806&amp;col=7&amp;number=0.424&amp;sourceID=14","0.424")</f>
        <v>0.424</v>
      </c>
    </row>
    <row r="1807" spans="1:7">
      <c r="A1807" s="3"/>
      <c r="B1807" s="3"/>
      <c r="C1807" s="3"/>
      <c r="D1807" s="3"/>
      <c r="E1807" s="3">
        <v>4</v>
      </c>
      <c r="F1807" s="4" t="str">
        <f>HYPERLINK("http://141.218.60.56/~jnz1568/getInfo.php?workbook=18_15.xlsx&amp;sheet=U0&amp;row=1807&amp;col=6&amp;number=3.3&amp;sourceID=14","3.3")</f>
        <v>3.3</v>
      </c>
      <c r="G1807" s="4" t="str">
        <f>HYPERLINK("http://141.218.60.56/~jnz1568/getInfo.php?workbook=18_15.xlsx&amp;sheet=U0&amp;row=1807&amp;col=7&amp;number=0.42&amp;sourceID=14","0.42")</f>
        <v>0.42</v>
      </c>
    </row>
    <row r="1808" spans="1:7">
      <c r="A1808" s="3"/>
      <c r="B1808" s="3"/>
      <c r="C1808" s="3"/>
      <c r="D1808" s="3"/>
      <c r="E1808" s="3">
        <v>5</v>
      </c>
      <c r="F1808" s="4" t="str">
        <f>HYPERLINK("http://141.218.60.56/~jnz1568/getInfo.php?workbook=18_15.xlsx&amp;sheet=U0&amp;row=1808&amp;col=6&amp;number=3.4&amp;sourceID=14","3.4")</f>
        <v>3.4</v>
      </c>
      <c r="G1808" s="4" t="str">
        <f>HYPERLINK("http://141.218.60.56/~jnz1568/getInfo.php?workbook=18_15.xlsx&amp;sheet=U0&amp;row=1808&amp;col=7&amp;number=0.415&amp;sourceID=14","0.415")</f>
        <v>0.415</v>
      </c>
    </row>
    <row r="1809" spans="1:7">
      <c r="A1809" s="3"/>
      <c r="B1809" s="3"/>
      <c r="C1809" s="3"/>
      <c r="D1809" s="3"/>
      <c r="E1809" s="3">
        <v>6</v>
      </c>
      <c r="F1809" s="4" t="str">
        <f>HYPERLINK("http://141.218.60.56/~jnz1568/getInfo.php?workbook=18_15.xlsx&amp;sheet=U0&amp;row=1809&amp;col=6&amp;number=3.5&amp;sourceID=14","3.5")</f>
        <v>3.5</v>
      </c>
      <c r="G1809" s="4" t="str">
        <f>HYPERLINK("http://141.218.60.56/~jnz1568/getInfo.php?workbook=18_15.xlsx&amp;sheet=U0&amp;row=1809&amp;col=7&amp;number=0.41&amp;sourceID=14","0.41")</f>
        <v>0.41</v>
      </c>
    </row>
    <row r="1810" spans="1:7">
      <c r="A1810" s="3"/>
      <c r="B1810" s="3"/>
      <c r="C1810" s="3"/>
      <c r="D1810" s="3"/>
      <c r="E1810" s="3">
        <v>7</v>
      </c>
      <c r="F1810" s="4" t="str">
        <f>HYPERLINK("http://141.218.60.56/~jnz1568/getInfo.php?workbook=18_15.xlsx&amp;sheet=U0&amp;row=1810&amp;col=6&amp;number=3.6&amp;sourceID=14","3.6")</f>
        <v>3.6</v>
      </c>
      <c r="G1810" s="4" t="str">
        <f>HYPERLINK("http://141.218.60.56/~jnz1568/getInfo.php?workbook=18_15.xlsx&amp;sheet=U0&amp;row=1810&amp;col=7&amp;number=0.403&amp;sourceID=14","0.403")</f>
        <v>0.403</v>
      </c>
    </row>
    <row r="1811" spans="1:7">
      <c r="A1811" s="3"/>
      <c r="B1811" s="3"/>
      <c r="C1811" s="3"/>
      <c r="D1811" s="3"/>
      <c r="E1811" s="3">
        <v>8</v>
      </c>
      <c r="F1811" s="4" t="str">
        <f>HYPERLINK("http://141.218.60.56/~jnz1568/getInfo.php?workbook=18_15.xlsx&amp;sheet=U0&amp;row=1811&amp;col=6&amp;number=3.7&amp;sourceID=14","3.7")</f>
        <v>3.7</v>
      </c>
      <c r="G1811" s="4" t="str">
        <f>HYPERLINK("http://141.218.60.56/~jnz1568/getInfo.php?workbook=18_15.xlsx&amp;sheet=U0&amp;row=1811&amp;col=7&amp;number=0.395&amp;sourceID=14","0.395")</f>
        <v>0.395</v>
      </c>
    </row>
    <row r="1812" spans="1:7">
      <c r="A1812" s="3"/>
      <c r="B1812" s="3"/>
      <c r="C1812" s="3"/>
      <c r="D1812" s="3"/>
      <c r="E1812" s="3">
        <v>9</v>
      </c>
      <c r="F1812" s="4" t="str">
        <f>HYPERLINK("http://141.218.60.56/~jnz1568/getInfo.php?workbook=18_15.xlsx&amp;sheet=U0&amp;row=1812&amp;col=6&amp;number=3.8&amp;sourceID=14","3.8")</f>
        <v>3.8</v>
      </c>
      <c r="G1812" s="4" t="str">
        <f>HYPERLINK("http://141.218.60.56/~jnz1568/getInfo.php?workbook=18_15.xlsx&amp;sheet=U0&amp;row=1812&amp;col=7&amp;number=0.385&amp;sourceID=14","0.385")</f>
        <v>0.385</v>
      </c>
    </row>
    <row r="1813" spans="1:7">
      <c r="A1813" s="3"/>
      <c r="B1813" s="3"/>
      <c r="C1813" s="3"/>
      <c r="D1813" s="3"/>
      <c r="E1813" s="3">
        <v>10</v>
      </c>
      <c r="F1813" s="4" t="str">
        <f>HYPERLINK("http://141.218.60.56/~jnz1568/getInfo.php?workbook=18_15.xlsx&amp;sheet=U0&amp;row=1813&amp;col=6&amp;number=3.9&amp;sourceID=14","3.9")</f>
        <v>3.9</v>
      </c>
      <c r="G1813" s="4" t="str">
        <f>HYPERLINK("http://141.218.60.56/~jnz1568/getInfo.php?workbook=18_15.xlsx&amp;sheet=U0&amp;row=1813&amp;col=7&amp;number=0.374&amp;sourceID=14","0.374")</f>
        <v>0.374</v>
      </c>
    </row>
    <row r="1814" spans="1:7">
      <c r="A1814" s="3"/>
      <c r="B1814" s="3"/>
      <c r="C1814" s="3"/>
      <c r="D1814" s="3"/>
      <c r="E1814" s="3">
        <v>11</v>
      </c>
      <c r="F1814" s="4" t="str">
        <f>HYPERLINK("http://141.218.60.56/~jnz1568/getInfo.php?workbook=18_15.xlsx&amp;sheet=U0&amp;row=1814&amp;col=6&amp;number=4&amp;sourceID=14","4")</f>
        <v>4</v>
      </c>
      <c r="G1814" s="4" t="str">
        <f>HYPERLINK("http://141.218.60.56/~jnz1568/getInfo.php?workbook=18_15.xlsx&amp;sheet=U0&amp;row=1814&amp;col=7&amp;number=0.362&amp;sourceID=14","0.362")</f>
        <v>0.362</v>
      </c>
    </row>
    <row r="1815" spans="1:7">
      <c r="A1815" s="3"/>
      <c r="B1815" s="3"/>
      <c r="C1815" s="3"/>
      <c r="D1815" s="3"/>
      <c r="E1815" s="3">
        <v>12</v>
      </c>
      <c r="F1815" s="4" t="str">
        <f>HYPERLINK("http://141.218.60.56/~jnz1568/getInfo.php?workbook=18_15.xlsx&amp;sheet=U0&amp;row=1815&amp;col=6&amp;number=4.1&amp;sourceID=14","4.1")</f>
        <v>4.1</v>
      </c>
      <c r="G1815" s="4" t="str">
        <f>HYPERLINK("http://141.218.60.56/~jnz1568/getInfo.php?workbook=18_15.xlsx&amp;sheet=U0&amp;row=1815&amp;col=7&amp;number=0.348&amp;sourceID=14","0.348")</f>
        <v>0.348</v>
      </c>
    </row>
    <row r="1816" spans="1:7">
      <c r="A1816" s="3"/>
      <c r="B1816" s="3"/>
      <c r="C1816" s="3"/>
      <c r="D1816" s="3"/>
      <c r="E1816" s="3">
        <v>13</v>
      </c>
      <c r="F1816" s="4" t="str">
        <f>HYPERLINK("http://141.218.60.56/~jnz1568/getInfo.php?workbook=18_15.xlsx&amp;sheet=U0&amp;row=1816&amp;col=6&amp;number=4.2&amp;sourceID=14","4.2")</f>
        <v>4.2</v>
      </c>
      <c r="G1816" s="4" t="str">
        <f>HYPERLINK("http://141.218.60.56/~jnz1568/getInfo.php?workbook=18_15.xlsx&amp;sheet=U0&amp;row=1816&amp;col=7&amp;number=0.333&amp;sourceID=14","0.333")</f>
        <v>0.333</v>
      </c>
    </row>
    <row r="1817" spans="1:7">
      <c r="A1817" s="3"/>
      <c r="B1817" s="3"/>
      <c r="C1817" s="3"/>
      <c r="D1817" s="3"/>
      <c r="E1817" s="3">
        <v>14</v>
      </c>
      <c r="F1817" s="4" t="str">
        <f>HYPERLINK("http://141.218.60.56/~jnz1568/getInfo.php?workbook=18_15.xlsx&amp;sheet=U0&amp;row=1817&amp;col=6&amp;number=4.3&amp;sourceID=14","4.3")</f>
        <v>4.3</v>
      </c>
      <c r="G1817" s="4" t="str">
        <f>HYPERLINK("http://141.218.60.56/~jnz1568/getInfo.php?workbook=18_15.xlsx&amp;sheet=U0&amp;row=1817&amp;col=7&amp;number=0.317&amp;sourceID=14","0.317")</f>
        <v>0.317</v>
      </c>
    </row>
    <row r="1818" spans="1:7">
      <c r="A1818" s="3"/>
      <c r="B1818" s="3"/>
      <c r="C1818" s="3"/>
      <c r="D1818" s="3"/>
      <c r="E1818" s="3">
        <v>15</v>
      </c>
      <c r="F1818" s="4" t="str">
        <f>HYPERLINK("http://141.218.60.56/~jnz1568/getInfo.php?workbook=18_15.xlsx&amp;sheet=U0&amp;row=1818&amp;col=6&amp;number=4.4&amp;sourceID=14","4.4")</f>
        <v>4.4</v>
      </c>
      <c r="G1818" s="4" t="str">
        <f>HYPERLINK("http://141.218.60.56/~jnz1568/getInfo.php?workbook=18_15.xlsx&amp;sheet=U0&amp;row=1818&amp;col=7&amp;number=0.299&amp;sourceID=14","0.299")</f>
        <v>0.299</v>
      </c>
    </row>
    <row r="1819" spans="1:7">
      <c r="A1819" s="3"/>
      <c r="B1819" s="3"/>
      <c r="C1819" s="3"/>
      <c r="D1819" s="3"/>
      <c r="E1819" s="3">
        <v>16</v>
      </c>
      <c r="F1819" s="4" t="str">
        <f>HYPERLINK("http://141.218.60.56/~jnz1568/getInfo.php?workbook=18_15.xlsx&amp;sheet=U0&amp;row=1819&amp;col=6&amp;number=4.5&amp;sourceID=14","4.5")</f>
        <v>4.5</v>
      </c>
      <c r="G1819" s="4" t="str">
        <f>HYPERLINK("http://141.218.60.56/~jnz1568/getInfo.php?workbook=18_15.xlsx&amp;sheet=U0&amp;row=1819&amp;col=7&amp;number=0.28&amp;sourceID=14","0.28")</f>
        <v>0.28</v>
      </c>
    </row>
    <row r="1820" spans="1:7">
      <c r="A1820" s="3"/>
      <c r="B1820" s="3"/>
      <c r="C1820" s="3"/>
      <c r="D1820" s="3"/>
      <c r="E1820" s="3">
        <v>17</v>
      </c>
      <c r="F1820" s="4" t="str">
        <f>HYPERLINK("http://141.218.60.56/~jnz1568/getInfo.php?workbook=18_15.xlsx&amp;sheet=U0&amp;row=1820&amp;col=6&amp;number=4.6&amp;sourceID=14","4.6")</f>
        <v>4.6</v>
      </c>
      <c r="G1820" s="4" t="str">
        <f>HYPERLINK("http://141.218.60.56/~jnz1568/getInfo.php?workbook=18_15.xlsx&amp;sheet=U0&amp;row=1820&amp;col=7&amp;number=0.261&amp;sourceID=14","0.261")</f>
        <v>0.261</v>
      </c>
    </row>
    <row r="1821" spans="1:7">
      <c r="A1821" s="3"/>
      <c r="B1821" s="3"/>
      <c r="C1821" s="3"/>
      <c r="D1821" s="3"/>
      <c r="E1821" s="3">
        <v>18</v>
      </c>
      <c r="F1821" s="4" t="str">
        <f>HYPERLINK("http://141.218.60.56/~jnz1568/getInfo.php?workbook=18_15.xlsx&amp;sheet=U0&amp;row=1821&amp;col=6&amp;number=4.7&amp;sourceID=14","4.7")</f>
        <v>4.7</v>
      </c>
      <c r="G1821" s="4" t="str">
        <f>HYPERLINK("http://141.218.60.56/~jnz1568/getInfo.php?workbook=18_15.xlsx&amp;sheet=U0&amp;row=1821&amp;col=7&amp;number=0.245&amp;sourceID=14","0.245")</f>
        <v>0.245</v>
      </c>
    </row>
    <row r="1822" spans="1:7">
      <c r="A1822" s="3"/>
      <c r="B1822" s="3"/>
      <c r="C1822" s="3"/>
      <c r="D1822" s="3"/>
      <c r="E1822" s="3">
        <v>19</v>
      </c>
      <c r="F1822" s="4" t="str">
        <f>HYPERLINK("http://141.218.60.56/~jnz1568/getInfo.php?workbook=18_15.xlsx&amp;sheet=U0&amp;row=1822&amp;col=6&amp;number=4.8&amp;sourceID=14","4.8")</f>
        <v>4.8</v>
      </c>
      <c r="G1822" s="4" t="str">
        <f>HYPERLINK("http://141.218.60.56/~jnz1568/getInfo.php?workbook=18_15.xlsx&amp;sheet=U0&amp;row=1822&amp;col=7&amp;number=0.233&amp;sourceID=14","0.233")</f>
        <v>0.233</v>
      </c>
    </row>
    <row r="1823" spans="1:7">
      <c r="A1823" s="3"/>
      <c r="B1823" s="3"/>
      <c r="C1823" s="3"/>
      <c r="D1823" s="3"/>
      <c r="E1823" s="3">
        <v>20</v>
      </c>
      <c r="F1823" s="4" t="str">
        <f>HYPERLINK("http://141.218.60.56/~jnz1568/getInfo.php?workbook=18_15.xlsx&amp;sheet=U0&amp;row=1823&amp;col=6&amp;number=4.9&amp;sourceID=14","4.9")</f>
        <v>4.9</v>
      </c>
      <c r="G1823" s="4" t="str">
        <f>HYPERLINK("http://141.218.60.56/~jnz1568/getInfo.php?workbook=18_15.xlsx&amp;sheet=U0&amp;row=1823&amp;col=7&amp;number=0.22&amp;sourceID=14","0.22")</f>
        <v>0.22</v>
      </c>
    </row>
    <row r="1824" spans="1:7">
      <c r="A1824" s="3">
        <v>18</v>
      </c>
      <c r="B1824" s="3">
        <v>15</v>
      </c>
      <c r="C1824" s="3">
        <v>4</v>
      </c>
      <c r="D1824" s="3">
        <v>13</v>
      </c>
      <c r="E1824" s="3">
        <v>1</v>
      </c>
      <c r="F1824" s="4" t="str">
        <f>HYPERLINK("http://141.218.60.56/~jnz1568/getInfo.php?workbook=18_15.xlsx&amp;sheet=U0&amp;row=1824&amp;col=6&amp;number=3&amp;sourceID=14","3")</f>
        <v>3</v>
      </c>
      <c r="G1824" s="4" t="str">
        <f>HYPERLINK("http://141.218.60.56/~jnz1568/getInfo.php?workbook=18_15.xlsx&amp;sheet=U0&amp;row=1824&amp;col=7&amp;number=0.506&amp;sourceID=14","0.506")</f>
        <v>0.506</v>
      </c>
    </row>
    <row r="1825" spans="1:7">
      <c r="A1825" s="3"/>
      <c r="B1825" s="3"/>
      <c r="C1825" s="3"/>
      <c r="D1825" s="3"/>
      <c r="E1825" s="3">
        <v>2</v>
      </c>
      <c r="F1825" s="4" t="str">
        <f>HYPERLINK("http://141.218.60.56/~jnz1568/getInfo.php?workbook=18_15.xlsx&amp;sheet=U0&amp;row=1825&amp;col=6&amp;number=3.1&amp;sourceID=14","3.1")</f>
        <v>3.1</v>
      </c>
      <c r="G1825" s="4" t="str">
        <f>HYPERLINK("http://141.218.60.56/~jnz1568/getInfo.php?workbook=18_15.xlsx&amp;sheet=U0&amp;row=1825&amp;col=7&amp;number=0.51&amp;sourceID=14","0.51")</f>
        <v>0.51</v>
      </c>
    </row>
    <row r="1826" spans="1:7">
      <c r="A1826" s="3"/>
      <c r="B1826" s="3"/>
      <c r="C1826" s="3"/>
      <c r="D1826" s="3"/>
      <c r="E1826" s="3">
        <v>3</v>
      </c>
      <c r="F1826" s="4" t="str">
        <f>HYPERLINK("http://141.218.60.56/~jnz1568/getInfo.php?workbook=18_15.xlsx&amp;sheet=U0&amp;row=1826&amp;col=6&amp;number=3.2&amp;sourceID=14","3.2")</f>
        <v>3.2</v>
      </c>
      <c r="G1826" s="4" t="str">
        <f>HYPERLINK("http://141.218.60.56/~jnz1568/getInfo.php?workbook=18_15.xlsx&amp;sheet=U0&amp;row=1826&amp;col=7&amp;number=0.515&amp;sourceID=14","0.515")</f>
        <v>0.515</v>
      </c>
    </row>
    <row r="1827" spans="1:7">
      <c r="A1827" s="3"/>
      <c r="B1827" s="3"/>
      <c r="C1827" s="3"/>
      <c r="D1827" s="3"/>
      <c r="E1827" s="3">
        <v>4</v>
      </c>
      <c r="F1827" s="4" t="str">
        <f>HYPERLINK("http://141.218.60.56/~jnz1568/getInfo.php?workbook=18_15.xlsx&amp;sheet=U0&amp;row=1827&amp;col=6&amp;number=3.3&amp;sourceID=14","3.3")</f>
        <v>3.3</v>
      </c>
      <c r="G1827" s="4" t="str">
        <f>HYPERLINK("http://141.218.60.56/~jnz1568/getInfo.php?workbook=18_15.xlsx&amp;sheet=U0&amp;row=1827&amp;col=7&amp;number=0.521&amp;sourceID=14","0.521")</f>
        <v>0.521</v>
      </c>
    </row>
    <row r="1828" spans="1:7">
      <c r="A1828" s="3"/>
      <c r="B1828" s="3"/>
      <c r="C1828" s="3"/>
      <c r="D1828" s="3"/>
      <c r="E1828" s="3">
        <v>5</v>
      </c>
      <c r="F1828" s="4" t="str">
        <f>HYPERLINK("http://141.218.60.56/~jnz1568/getInfo.php?workbook=18_15.xlsx&amp;sheet=U0&amp;row=1828&amp;col=6&amp;number=3.4&amp;sourceID=14","3.4")</f>
        <v>3.4</v>
      </c>
      <c r="G1828" s="4" t="str">
        <f>HYPERLINK("http://141.218.60.56/~jnz1568/getInfo.php?workbook=18_15.xlsx&amp;sheet=U0&amp;row=1828&amp;col=7&amp;number=0.528&amp;sourceID=14","0.528")</f>
        <v>0.528</v>
      </c>
    </row>
    <row r="1829" spans="1:7">
      <c r="A1829" s="3"/>
      <c r="B1829" s="3"/>
      <c r="C1829" s="3"/>
      <c r="D1829" s="3"/>
      <c r="E1829" s="3">
        <v>6</v>
      </c>
      <c r="F1829" s="4" t="str">
        <f>HYPERLINK("http://141.218.60.56/~jnz1568/getInfo.php?workbook=18_15.xlsx&amp;sheet=U0&amp;row=1829&amp;col=6&amp;number=3.5&amp;sourceID=14","3.5")</f>
        <v>3.5</v>
      </c>
      <c r="G1829" s="4" t="str">
        <f>HYPERLINK("http://141.218.60.56/~jnz1568/getInfo.php?workbook=18_15.xlsx&amp;sheet=U0&amp;row=1829&amp;col=7&amp;number=0.536&amp;sourceID=14","0.536")</f>
        <v>0.536</v>
      </c>
    </row>
    <row r="1830" spans="1:7">
      <c r="A1830" s="3"/>
      <c r="B1830" s="3"/>
      <c r="C1830" s="3"/>
      <c r="D1830" s="3"/>
      <c r="E1830" s="3">
        <v>7</v>
      </c>
      <c r="F1830" s="4" t="str">
        <f>HYPERLINK("http://141.218.60.56/~jnz1568/getInfo.php?workbook=18_15.xlsx&amp;sheet=U0&amp;row=1830&amp;col=6&amp;number=3.6&amp;sourceID=14","3.6")</f>
        <v>3.6</v>
      </c>
      <c r="G1830" s="4" t="str">
        <f>HYPERLINK("http://141.218.60.56/~jnz1568/getInfo.php?workbook=18_15.xlsx&amp;sheet=U0&amp;row=1830&amp;col=7&amp;number=0.547&amp;sourceID=14","0.547")</f>
        <v>0.547</v>
      </c>
    </row>
    <row r="1831" spans="1:7">
      <c r="A1831" s="3"/>
      <c r="B1831" s="3"/>
      <c r="C1831" s="3"/>
      <c r="D1831" s="3"/>
      <c r="E1831" s="3">
        <v>8</v>
      </c>
      <c r="F1831" s="4" t="str">
        <f>HYPERLINK("http://141.218.60.56/~jnz1568/getInfo.php?workbook=18_15.xlsx&amp;sheet=U0&amp;row=1831&amp;col=6&amp;number=3.7&amp;sourceID=14","3.7")</f>
        <v>3.7</v>
      </c>
      <c r="G1831" s="4" t="str">
        <f>HYPERLINK("http://141.218.60.56/~jnz1568/getInfo.php?workbook=18_15.xlsx&amp;sheet=U0&amp;row=1831&amp;col=7&amp;number=0.559&amp;sourceID=14","0.559")</f>
        <v>0.559</v>
      </c>
    </row>
    <row r="1832" spans="1:7">
      <c r="A1832" s="3"/>
      <c r="B1832" s="3"/>
      <c r="C1832" s="3"/>
      <c r="D1832" s="3"/>
      <c r="E1832" s="3">
        <v>9</v>
      </c>
      <c r="F1832" s="4" t="str">
        <f>HYPERLINK("http://141.218.60.56/~jnz1568/getInfo.php?workbook=18_15.xlsx&amp;sheet=U0&amp;row=1832&amp;col=6&amp;number=3.8&amp;sourceID=14","3.8")</f>
        <v>3.8</v>
      </c>
      <c r="G1832" s="4" t="str">
        <f>HYPERLINK("http://141.218.60.56/~jnz1568/getInfo.php?workbook=18_15.xlsx&amp;sheet=U0&amp;row=1832&amp;col=7&amp;number=0.573&amp;sourceID=14","0.573")</f>
        <v>0.573</v>
      </c>
    </row>
    <row r="1833" spans="1:7">
      <c r="A1833" s="3"/>
      <c r="B1833" s="3"/>
      <c r="C1833" s="3"/>
      <c r="D1833" s="3"/>
      <c r="E1833" s="3">
        <v>10</v>
      </c>
      <c r="F1833" s="4" t="str">
        <f>HYPERLINK("http://141.218.60.56/~jnz1568/getInfo.php?workbook=18_15.xlsx&amp;sheet=U0&amp;row=1833&amp;col=6&amp;number=3.9&amp;sourceID=14","3.9")</f>
        <v>3.9</v>
      </c>
      <c r="G1833" s="4" t="str">
        <f>HYPERLINK("http://141.218.60.56/~jnz1568/getInfo.php?workbook=18_15.xlsx&amp;sheet=U0&amp;row=1833&amp;col=7&amp;number=0.588&amp;sourceID=14","0.588")</f>
        <v>0.588</v>
      </c>
    </row>
    <row r="1834" spans="1:7">
      <c r="A1834" s="3"/>
      <c r="B1834" s="3"/>
      <c r="C1834" s="3"/>
      <c r="D1834" s="3"/>
      <c r="E1834" s="3">
        <v>11</v>
      </c>
      <c r="F1834" s="4" t="str">
        <f>HYPERLINK("http://141.218.60.56/~jnz1568/getInfo.php?workbook=18_15.xlsx&amp;sheet=U0&amp;row=1834&amp;col=6&amp;number=4&amp;sourceID=14","4")</f>
        <v>4</v>
      </c>
      <c r="G1834" s="4" t="str">
        <f>HYPERLINK("http://141.218.60.56/~jnz1568/getInfo.php?workbook=18_15.xlsx&amp;sheet=U0&amp;row=1834&amp;col=7&amp;number=0.604&amp;sourceID=14","0.604")</f>
        <v>0.604</v>
      </c>
    </row>
    <row r="1835" spans="1:7">
      <c r="A1835" s="3"/>
      <c r="B1835" s="3"/>
      <c r="C1835" s="3"/>
      <c r="D1835" s="3"/>
      <c r="E1835" s="3">
        <v>12</v>
      </c>
      <c r="F1835" s="4" t="str">
        <f>HYPERLINK("http://141.218.60.56/~jnz1568/getInfo.php?workbook=18_15.xlsx&amp;sheet=U0&amp;row=1835&amp;col=6&amp;number=4.1&amp;sourceID=14","4.1")</f>
        <v>4.1</v>
      </c>
      <c r="G1835" s="4" t="str">
        <f>HYPERLINK("http://141.218.60.56/~jnz1568/getInfo.php?workbook=18_15.xlsx&amp;sheet=U0&amp;row=1835&amp;col=7&amp;number=0.618&amp;sourceID=14","0.618")</f>
        <v>0.618</v>
      </c>
    </row>
    <row r="1836" spans="1:7">
      <c r="A1836" s="3"/>
      <c r="B1836" s="3"/>
      <c r="C1836" s="3"/>
      <c r="D1836" s="3"/>
      <c r="E1836" s="3">
        <v>13</v>
      </c>
      <c r="F1836" s="4" t="str">
        <f>HYPERLINK("http://141.218.60.56/~jnz1568/getInfo.php?workbook=18_15.xlsx&amp;sheet=U0&amp;row=1836&amp;col=6&amp;number=4.2&amp;sourceID=14","4.2")</f>
        <v>4.2</v>
      </c>
      <c r="G1836" s="4" t="str">
        <f>HYPERLINK("http://141.218.60.56/~jnz1568/getInfo.php?workbook=18_15.xlsx&amp;sheet=U0&amp;row=1836&amp;col=7&amp;number=0.626&amp;sourceID=14","0.626")</f>
        <v>0.626</v>
      </c>
    </row>
    <row r="1837" spans="1:7">
      <c r="A1837" s="3"/>
      <c r="B1837" s="3"/>
      <c r="C1837" s="3"/>
      <c r="D1837" s="3"/>
      <c r="E1837" s="3">
        <v>14</v>
      </c>
      <c r="F1837" s="4" t="str">
        <f>HYPERLINK("http://141.218.60.56/~jnz1568/getInfo.php?workbook=18_15.xlsx&amp;sheet=U0&amp;row=1837&amp;col=6&amp;number=4.3&amp;sourceID=14","4.3")</f>
        <v>4.3</v>
      </c>
      <c r="G1837" s="4" t="str">
        <f>HYPERLINK("http://141.218.60.56/~jnz1568/getInfo.php?workbook=18_15.xlsx&amp;sheet=U0&amp;row=1837&amp;col=7&amp;number=0.624&amp;sourceID=14","0.624")</f>
        <v>0.624</v>
      </c>
    </row>
    <row r="1838" spans="1:7">
      <c r="A1838" s="3"/>
      <c r="B1838" s="3"/>
      <c r="C1838" s="3"/>
      <c r="D1838" s="3"/>
      <c r="E1838" s="3">
        <v>15</v>
      </c>
      <c r="F1838" s="4" t="str">
        <f>HYPERLINK("http://141.218.60.56/~jnz1568/getInfo.php?workbook=18_15.xlsx&amp;sheet=U0&amp;row=1838&amp;col=6&amp;number=4.4&amp;sourceID=14","4.4")</f>
        <v>4.4</v>
      </c>
      <c r="G1838" s="4" t="str">
        <f>HYPERLINK("http://141.218.60.56/~jnz1568/getInfo.php?workbook=18_15.xlsx&amp;sheet=U0&amp;row=1838&amp;col=7&amp;number=0.615&amp;sourceID=14","0.615")</f>
        <v>0.615</v>
      </c>
    </row>
    <row r="1839" spans="1:7">
      <c r="A1839" s="3"/>
      <c r="B1839" s="3"/>
      <c r="C1839" s="3"/>
      <c r="D1839" s="3"/>
      <c r="E1839" s="3">
        <v>16</v>
      </c>
      <c r="F1839" s="4" t="str">
        <f>HYPERLINK("http://141.218.60.56/~jnz1568/getInfo.php?workbook=18_15.xlsx&amp;sheet=U0&amp;row=1839&amp;col=6&amp;number=4.5&amp;sourceID=14","4.5")</f>
        <v>4.5</v>
      </c>
      <c r="G1839" s="4" t="str">
        <f>HYPERLINK("http://141.218.60.56/~jnz1568/getInfo.php?workbook=18_15.xlsx&amp;sheet=U0&amp;row=1839&amp;col=7&amp;number=0.604&amp;sourceID=14","0.604")</f>
        <v>0.604</v>
      </c>
    </row>
    <row r="1840" spans="1:7">
      <c r="A1840" s="3"/>
      <c r="B1840" s="3"/>
      <c r="C1840" s="3"/>
      <c r="D1840" s="3"/>
      <c r="E1840" s="3">
        <v>17</v>
      </c>
      <c r="F1840" s="4" t="str">
        <f>HYPERLINK("http://141.218.60.56/~jnz1568/getInfo.php?workbook=18_15.xlsx&amp;sheet=U0&amp;row=1840&amp;col=6&amp;number=4.6&amp;sourceID=14","4.6")</f>
        <v>4.6</v>
      </c>
      <c r="G1840" s="4" t="str">
        <f>HYPERLINK("http://141.218.60.56/~jnz1568/getInfo.php?workbook=18_15.xlsx&amp;sheet=U0&amp;row=1840&amp;col=7&amp;number=0.594&amp;sourceID=14","0.594")</f>
        <v>0.594</v>
      </c>
    </row>
    <row r="1841" spans="1:7">
      <c r="A1841" s="3"/>
      <c r="B1841" s="3"/>
      <c r="C1841" s="3"/>
      <c r="D1841" s="3"/>
      <c r="E1841" s="3">
        <v>18</v>
      </c>
      <c r="F1841" s="4" t="str">
        <f>HYPERLINK("http://141.218.60.56/~jnz1568/getInfo.php?workbook=18_15.xlsx&amp;sheet=U0&amp;row=1841&amp;col=6&amp;number=4.7&amp;sourceID=14","4.7")</f>
        <v>4.7</v>
      </c>
      <c r="G1841" s="4" t="str">
        <f>HYPERLINK("http://141.218.60.56/~jnz1568/getInfo.php?workbook=18_15.xlsx&amp;sheet=U0&amp;row=1841&amp;col=7&amp;number=0.585&amp;sourceID=14","0.585")</f>
        <v>0.585</v>
      </c>
    </row>
    <row r="1842" spans="1:7">
      <c r="A1842" s="3"/>
      <c r="B1842" s="3"/>
      <c r="C1842" s="3"/>
      <c r="D1842" s="3"/>
      <c r="E1842" s="3">
        <v>19</v>
      </c>
      <c r="F1842" s="4" t="str">
        <f>HYPERLINK("http://141.218.60.56/~jnz1568/getInfo.php?workbook=18_15.xlsx&amp;sheet=U0&amp;row=1842&amp;col=6&amp;number=4.8&amp;sourceID=14","4.8")</f>
        <v>4.8</v>
      </c>
      <c r="G1842" s="4" t="str">
        <f>HYPERLINK("http://141.218.60.56/~jnz1568/getInfo.php?workbook=18_15.xlsx&amp;sheet=U0&amp;row=1842&amp;col=7&amp;number=0.576&amp;sourceID=14","0.576")</f>
        <v>0.576</v>
      </c>
    </row>
    <row r="1843" spans="1:7">
      <c r="A1843" s="3"/>
      <c r="B1843" s="3"/>
      <c r="C1843" s="3"/>
      <c r="D1843" s="3"/>
      <c r="E1843" s="3">
        <v>20</v>
      </c>
      <c r="F1843" s="4" t="str">
        <f>HYPERLINK("http://141.218.60.56/~jnz1568/getInfo.php?workbook=18_15.xlsx&amp;sheet=U0&amp;row=1843&amp;col=6&amp;number=4.9&amp;sourceID=14","4.9")</f>
        <v>4.9</v>
      </c>
      <c r="G1843" s="4" t="str">
        <f>HYPERLINK("http://141.218.60.56/~jnz1568/getInfo.php?workbook=18_15.xlsx&amp;sheet=U0&amp;row=1843&amp;col=7&amp;number=0.571&amp;sourceID=14","0.571")</f>
        <v>0.571</v>
      </c>
    </row>
    <row r="1844" spans="1:7">
      <c r="A1844" s="3">
        <v>18</v>
      </c>
      <c r="B1844" s="3">
        <v>15</v>
      </c>
      <c r="C1844" s="3">
        <v>4</v>
      </c>
      <c r="D1844" s="3">
        <v>14</v>
      </c>
      <c r="E1844" s="3">
        <v>1</v>
      </c>
      <c r="F1844" s="4" t="str">
        <f>HYPERLINK("http://141.218.60.56/~jnz1568/getInfo.php?workbook=18_15.xlsx&amp;sheet=U0&amp;row=1844&amp;col=6&amp;number=3&amp;sourceID=14","3")</f>
        <v>3</v>
      </c>
      <c r="G1844" s="4" t="str">
        <f>HYPERLINK("http://141.218.60.56/~jnz1568/getInfo.php?workbook=18_15.xlsx&amp;sheet=U0&amp;row=1844&amp;col=7&amp;number=0.254&amp;sourceID=14","0.254")</f>
        <v>0.254</v>
      </c>
    </row>
    <row r="1845" spans="1:7">
      <c r="A1845" s="3"/>
      <c r="B1845" s="3"/>
      <c r="C1845" s="3"/>
      <c r="D1845" s="3"/>
      <c r="E1845" s="3">
        <v>2</v>
      </c>
      <c r="F1845" s="4" t="str">
        <f>HYPERLINK("http://141.218.60.56/~jnz1568/getInfo.php?workbook=18_15.xlsx&amp;sheet=U0&amp;row=1845&amp;col=6&amp;number=3.1&amp;sourceID=14","3.1")</f>
        <v>3.1</v>
      </c>
      <c r="G1845" s="4" t="str">
        <f>HYPERLINK("http://141.218.60.56/~jnz1568/getInfo.php?workbook=18_15.xlsx&amp;sheet=U0&amp;row=1845&amp;col=7&amp;number=0.253&amp;sourceID=14","0.253")</f>
        <v>0.253</v>
      </c>
    </row>
    <row r="1846" spans="1:7">
      <c r="A1846" s="3"/>
      <c r="B1846" s="3"/>
      <c r="C1846" s="3"/>
      <c r="D1846" s="3"/>
      <c r="E1846" s="3">
        <v>3</v>
      </c>
      <c r="F1846" s="4" t="str">
        <f>HYPERLINK("http://141.218.60.56/~jnz1568/getInfo.php?workbook=18_15.xlsx&amp;sheet=U0&amp;row=1846&amp;col=6&amp;number=3.2&amp;sourceID=14","3.2")</f>
        <v>3.2</v>
      </c>
      <c r="G1846" s="4" t="str">
        <f>HYPERLINK("http://141.218.60.56/~jnz1568/getInfo.php?workbook=18_15.xlsx&amp;sheet=U0&amp;row=1846&amp;col=7&amp;number=0.253&amp;sourceID=14","0.253")</f>
        <v>0.253</v>
      </c>
    </row>
    <row r="1847" spans="1:7">
      <c r="A1847" s="3"/>
      <c r="B1847" s="3"/>
      <c r="C1847" s="3"/>
      <c r="D1847" s="3"/>
      <c r="E1847" s="3">
        <v>4</v>
      </c>
      <c r="F1847" s="4" t="str">
        <f>HYPERLINK("http://141.218.60.56/~jnz1568/getInfo.php?workbook=18_15.xlsx&amp;sheet=U0&amp;row=1847&amp;col=6&amp;number=3.3&amp;sourceID=14","3.3")</f>
        <v>3.3</v>
      </c>
      <c r="G1847" s="4" t="str">
        <f>HYPERLINK("http://141.218.60.56/~jnz1568/getInfo.php?workbook=18_15.xlsx&amp;sheet=U0&amp;row=1847&amp;col=7&amp;number=0.252&amp;sourceID=14","0.252")</f>
        <v>0.252</v>
      </c>
    </row>
    <row r="1848" spans="1:7">
      <c r="A1848" s="3"/>
      <c r="B1848" s="3"/>
      <c r="C1848" s="3"/>
      <c r="D1848" s="3"/>
      <c r="E1848" s="3">
        <v>5</v>
      </c>
      <c r="F1848" s="4" t="str">
        <f>HYPERLINK("http://141.218.60.56/~jnz1568/getInfo.php?workbook=18_15.xlsx&amp;sheet=U0&amp;row=1848&amp;col=6&amp;number=3.4&amp;sourceID=14","3.4")</f>
        <v>3.4</v>
      </c>
      <c r="G1848" s="4" t="str">
        <f>HYPERLINK("http://141.218.60.56/~jnz1568/getInfo.php?workbook=18_15.xlsx&amp;sheet=U0&amp;row=1848&amp;col=7&amp;number=0.251&amp;sourceID=14","0.251")</f>
        <v>0.251</v>
      </c>
    </row>
    <row r="1849" spans="1:7">
      <c r="A1849" s="3"/>
      <c r="B1849" s="3"/>
      <c r="C1849" s="3"/>
      <c r="D1849" s="3"/>
      <c r="E1849" s="3">
        <v>6</v>
      </c>
      <c r="F1849" s="4" t="str">
        <f>HYPERLINK("http://141.218.60.56/~jnz1568/getInfo.php?workbook=18_15.xlsx&amp;sheet=U0&amp;row=1849&amp;col=6&amp;number=3.5&amp;sourceID=14","3.5")</f>
        <v>3.5</v>
      </c>
      <c r="G1849" s="4" t="str">
        <f>HYPERLINK("http://141.218.60.56/~jnz1568/getInfo.php?workbook=18_15.xlsx&amp;sheet=U0&amp;row=1849&amp;col=7&amp;number=0.25&amp;sourceID=14","0.25")</f>
        <v>0.25</v>
      </c>
    </row>
    <row r="1850" spans="1:7">
      <c r="A1850" s="3"/>
      <c r="B1850" s="3"/>
      <c r="C1850" s="3"/>
      <c r="D1850" s="3"/>
      <c r="E1850" s="3">
        <v>7</v>
      </c>
      <c r="F1850" s="4" t="str">
        <f>HYPERLINK("http://141.218.60.56/~jnz1568/getInfo.php?workbook=18_15.xlsx&amp;sheet=U0&amp;row=1850&amp;col=6&amp;number=3.6&amp;sourceID=14","3.6")</f>
        <v>3.6</v>
      </c>
      <c r="G1850" s="4" t="str">
        <f>HYPERLINK("http://141.218.60.56/~jnz1568/getInfo.php?workbook=18_15.xlsx&amp;sheet=U0&amp;row=1850&amp;col=7&amp;number=0.248&amp;sourceID=14","0.248")</f>
        <v>0.248</v>
      </c>
    </row>
    <row r="1851" spans="1:7">
      <c r="A1851" s="3"/>
      <c r="B1851" s="3"/>
      <c r="C1851" s="3"/>
      <c r="D1851" s="3"/>
      <c r="E1851" s="3">
        <v>8</v>
      </c>
      <c r="F1851" s="4" t="str">
        <f>HYPERLINK("http://141.218.60.56/~jnz1568/getInfo.php?workbook=18_15.xlsx&amp;sheet=U0&amp;row=1851&amp;col=6&amp;number=3.7&amp;sourceID=14","3.7")</f>
        <v>3.7</v>
      </c>
      <c r="G1851" s="4" t="str">
        <f>HYPERLINK("http://141.218.60.56/~jnz1568/getInfo.php?workbook=18_15.xlsx&amp;sheet=U0&amp;row=1851&amp;col=7&amp;number=0.247&amp;sourceID=14","0.247")</f>
        <v>0.247</v>
      </c>
    </row>
    <row r="1852" spans="1:7">
      <c r="A1852" s="3"/>
      <c r="B1852" s="3"/>
      <c r="C1852" s="3"/>
      <c r="D1852" s="3"/>
      <c r="E1852" s="3">
        <v>9</v>
      </c>
      <c r="F1852" s="4" t="str">
        <f>HYPERLINK("http://141.218.60.56/~jnz1568/getInfo.php?workbook=18_15.xlsx&amp;sheet=U0&amp;row=1852&amp;col=6&amp;number=3.8&amp;sourceID=14","3.8")</f>
        <v>3.8</v>
      </c>
      <c r="G1852" s="4" t="str">
        <f>HYPERLINK("http://141.218.60.56/~jnz1568/getInfo.php?workbook=18_15.xlsx&amp;sheet=U0&amp;row=1852&amp;col=7&amp;number=0.244&amp;sourceID=14","0.244")</f>
        <v>0.244</v>
      </c>
    </row>
    <row r="1853" spans="1:7">
      <c r="A1853" s="3"/>
      <c r="B1853" s="3"/>
      <c r="C1853" s="3"/>
      <c r="D1853" s="3"/>
      <c r="E1853" s="3">
        <v>10</v>
      </c>
      <c r="F1853" s="4" t="str">
        <f>HYPERLINK("http://141.218.60.56/~jnz1568/getInfo.php?workbook=18_15.xlsx&amp;sheet=U0&amp;row=1853&amp;col=6&amp;number=3.9&amp;sourceID=14","3.9")</f>
        <v>3.9</v>
      </c>
      <c r="G1853" s="4" t="str">
        <f>HYPERLINK("http://141.218.60.56/~jnz1568/getInfo.php?workbook=18_15.xlsx&amp;sheet=U0&amp;row=1853&amp;col=7&amp;number=0.24&amp;sourceID=14","0.24")</f>
        <v>0.24</v>
      </c>
    </row>
    <row r="1854" spans="1:7">
      <c r="A1854" s="3"/>
      <c r="B1854" s="3"/>
      <c r="C1854" s="3"/>
      <c r="D1854" s="3"/>
      <c r="E1854" s="3">
        <v>11</v>
      </c>
      <c r="F1854" s="4" t="str">
        <f>HYPERLINK("http://141.218.60.56/~jnz1568/getInfo.php?workbook=18_15.xlsx&amp;sheet=U0&amp;row=1854&amp;col=6&amp;number=4&amp;sourceID=14","4")</f>
        <v>4</v>
      </c>
      <c r="G1854" s="4" t="str">
        <f>HYPERLINK("http://141.218.60.56/~jnz1568/getInfo.php?workbook=18_15.xlsx&amp;sheet=U0&amp;row=1854&amp;col=7&amp;number=0.236&amp;sourceID=14","0.236")</f>
        <v>0.236</v>
      </c>
    </row>
    <row r="1855" spans="1:7">
      <c r="A1855" s="3"/>
      <c r="B1855" s="3"/>
      <c r="C1855" s="3"/>
      <c r="D1855" s="3"/>
      <c r="E1855" s="3">
        <v>12</v>
      </c>
      <c r="F1855" s="4" t="str">
        <f>HYPERLINK("http://141.218.60.56/~jnz1568/getInfo.php?workbook=18_15.xlsx&amp;sheet=U0&amp;row=1855&amp;col=6&amp;number=4.1&amp;sourceID=14","4.1")</f>
        <v>4.1</v>
      </c>
      <c r="G1855" s="4" t="str">
        <f>HYPERLINK("http://141.218.60.56/~jnz1568/getInfo.php?workbook=18_15.xlsx&amp;sheet=U0&amp;row=1855&amp;col=7&amp;number=0.229&amp;sourceID=14","0.229")</f>
        <v>0.229</v>
      </c>
    </row>
    <row r="1856" spans="1:7">
      <c r="A1856" s="3"/>
      <c r="B1856" s="3"/>
      <c r="C1856" s="3"/>
      <c r="D1856" s="3"/>
      <c r="E1856" s="3">
        <v>13</v>
      </c>
      <c r="F1856" s="4" t="str">
        <f>HYPERLINK("http://141.218.60.56/~jnz1568/getInfo.php?workbook=18_15.xlsx&amp;sheet=U0&amp;row=1856&amp;col=6&amp;number=4.2&amp;sourceID=14","4.2")</f>
        <v>4.2</v>
      </c>
      <c r="G1856" s="4" t="str">
        <f>HYPERLINK("http://141.218.60.56/~jnz1568/getInfo.php?workbook=18_15.xlsx&amp;sheet=U0&amp;row=1856&amp;col=7&amp;number=0.221&amp;sourceID=14","0.221")</f>
        <v>0.221</v>
      </c>
    </row>
    <row r="1857" spans="1:7">
      <c r="A1857" s="3"/>
      <c r="B1857" s="3"/>
      <c r="C1857" s="3"/>
      <c r="D1857" s="3"/>
      <c r="E1857" s="3">
        <v>14</v>
      </c>
      <c r="F1857" s="4" t="str">
        <f>HYPERLINK("http://141.218.60.56/~jnz1568/getInfo.php?workbook=18_15.xlsx&amp;sheet=U0&amp;row=1857&amp;col=6&amp;number=4.3&amp;sourceID=14","4.3")</f>
        <v>4.3</v>
      </c>
      <c r="G1857" s="4" t="str">
        <f>HYPERLINK("http://141.218.60.56/~jnz1568/getInfo.php?workbook=18_15.xlsx&amp;sheet=U0&amp;row=1857&amp;col=7&amp;number=0.211&amp;sourceID=14","0.211")</f>
        <v>0.211</v>
      </c>
    </row>
    <row r="1858" spans="1:7">
      <c r="A1858" s="3"/>
      <c r="B1858" s="3"/>
      <c r="C1858" s="3"/>
      <c r="D1858" s="3"/>
      <c r="E1858" s="3">
        <v>15</v>
      </c>
      <c r="F1858" s="4" t="str">
        <f>HYPERLINK("http://141.218.60.56/~jnz1568/getInfo.php?workbook=18_15.xlsx&amp;sheet=U0&amp;row=1858&amp;col=6&amp;number=4.4&amp;sourceID=14","4.4")</f>
        <v>4.4</v>
      </c>
      <c r="G1858" s="4" t="str">
        <f>HYPERLINK("http://141.218.60.56/~jnz1568/getInfo.php?workbook=18_15.xlsx&amp;sheet=U0&amp;row=1858&amp;col=7&amp;number=0.202&amp;sourceID=14","0.202")</f>
        <v>0.202</v>
      </c>
    </row>
    <row r="1859" spans="1:7">
      <c r="A1859" s="3"/>
      <c r="B1859" s="3"/>
      <c r="C1859" s="3"/>
      <c r="D1859" s="3"/>
      <c r="E1859" s="3">
        <v>16</v>
      </c>
      <c r="F1859" s="4" t="str">
        <f>HYPERLINK("http://141.218.60.56/~jnz1568/getInfo.php?workbook=18_15.xlsx&amp;sheet=U0&amp;row=1859&amp;col=6&amp;number=4.5&amp;sourceID=14","4.5")</f>
        <v>4.5</v>
      </c>
      <c r="G1859" s="4" t="str">
        <f>HYPERLINK("http://141.218.60.56/~jnz1568/getInfo.php?workbook=18_15.xlsx&amp;sheet=U0&amp;row=1859&amp;col=7&amp;number=0.193&amp;sourceID=14","0.193")</f>
        <v>0.193</v>
      </c>
    </row>
    <row r="1860" spans="1:7">
      <c r="A1860" s="3"/>
      <c r="B1860" s="3"/>
      <c r="C1860" s="3"/>
      <c r="D1860" s="3"/>
      <c r="E1860" s="3">
        <v>17</v>
      </c>
      <c r="F1860" s="4" t="str">
        <f>HYPERLINK("http://141.218.60.56/~jnz1568/getInfo.php?workbook=18_15.xlsx&amp;sheet=U0&amp;row=1860&amp;col=6&amp;number=4.6&amp;sourceID=14","4.6")</f>
        <v>4.6</v>
      </c>
      <c r="G1860" s="4" t="str">
        <f>HYPERLINK("http://141.218.60.56/~jnz1568/getInfo.php?workbook=18_15.xlsx&amp;sheet=U0&amp;row=1860&amp;col=7&amp;number=0.185&amp;sourceID=14","0.185")</f>
        <v>0.185</v>
      </c>
    </row>
    <row r="1861" spans="1:7">
      <c r="A1861" s="3"/>
      <c r="B1861" s="3"/>
      <c r="C1861" s="3"/>
      <c r="D1861" s="3"/>
      <c r="E1861" s="3">
        <v>18</v>
      </c>
      <c r="F1861" s="4" t="str">
        <f>HYPERLINK("http://141.218.60.56/~jnz1568/getInfo.php?workbook=18_15.xlsx&amp;sheet=U0&amp;row=1861&amp;col=6&amp;number=4.7&amp;sourceID=14","4.7")</f>
        <v>4.7</v>
      </c>
      <c r="G1861" s="4" t="str">
        <f>HYPERLINK("http://141.218.60.56/~jnz1568/getInfo.php?workbook=18_15.xlsx&amp;sheet=U0&amp;row=1861&amp;col=7&amp;number=0.177&amp;sourceID=14","0.177")</f>
        <v>0.177</v>
      </c>
    </row>
    <row r="1862" spans="1:7">
      <c r="A1862" s="3"/>
      <c r="B1862" s="3"/>
      <c r="C1862" s="3"/>
      <c r="D1862" s="3"/>
      <c r="E1862" s="3">
        <v>19</v>
      </c>
      <c r="F1862" s="4" t="str">
        <f>HYPERLINK("http://141.218.60.56/~jnz1568/getInfo.php?workbook=18_15.xlsx&amp;sheet=U0&amp;row=1862&amp;col=6&amp;number=4.8&amp;sourceID=14","4.8")</f>
        <v>4.8</v>
      </c>
      <c r="G1862" s="4" t="str">
        <f>HYPERLINK("http://141.218.60.56/~jnz1568/getInfo.php?workbook=18_15.xlsx&amp;sheet=U0&amp;row=1862&amp;col=7&amp;number=0.17&amp;sourceID=14","0.17")</f>
        <v>0.17</v>
      </c>
    </row>
    <row r="1863" spans="1:7">
      <c r="A1863" s="3"/>
      <c r="B1863" s="3"/>
      <c r="C1863" s="3"/>
      <c r="D1863" s="3"/>
      <c r="E1863" s="3">
        <v>20</v>
      </c>
      <c r="F1863" s="4" t="str">
        <f>HYPERLINK("http://141.218.60.56/~jnz1568/getInfo.php?workbook=18_15.xlsx&amp;sheet=U0&amp;row=1863&amp;col=6&amp;number=4.9&amp;sourceID=14","4.9")</f>
        <v>4.9</v>
      </c>
      <c r="G1863" s="4" t="str">
        <f>HYPERLINK("http://141.218.60.56/~jnz1568/getInfo.php?workbook=18_15.xlsx&amp;sheet=U0&amp;row=1863&amp;col=7&amp;number=0.164&amp;sourceID=14","0.164")</f>
        <v>0.164</v>
      </c>
    </row>
    <row r="1864" spans="1:7">
      <c r="A1864" s="3">
        <v>18</v>
      </c>
      <c r="B1864" s="3">
        <v>15</v>
      </c>
      <c r="C1864" s="3">
        <v>4</v>
      </c>
      <c r="D1864" s="3">
        <v>15</v>
      </c>
      <c r="E1864" s="3">
        <v>1</v>
      </c>
      <c r="F1864" s="4" t="str">
        <f>HYPERLINK("http://141.218.60.56/~jnz1568/getInfo.php?workbook=18_15.xlsx&amp;sheet=U0&amp;row=1864&amp;col=6&amp;number=3&amp;sourceID=14","3")</f>
        <v>3</v>
      </c>
      <c r="G1864" s="4" t="str">
        <f>HYPERLINK("http://141.218.60.56/~jnz1568/getInfo.php?workbook=18_15.xlsx&amp;sheet=U0&amp;row=1864&amp;col=7&amp;number=0.326&amp;sourceID=14","0.326")</f>
        <v>0.326</v>
      </c>
    </row>
    <row r="1865" spans="1:7">
      <c r="A1865" s="3"/>
      <c r="B1865" s="3"/>
      <c r="C1865" s="3"/>
      <c r="D1865" s="3"/>
      <c r="E1865" s="3">
        <v>2</v>
      </c>
      <c r="F1865" s="4" t="str">
        <f>HYPERLINK("http://141.218.60.56/~jnz1568/getInfo.php?workbook=18_15.xlsx&amp;sheet=U0&amp;row=1865&amp;col=6&amp;number=3.1&amp;sourceID=14","3.1")</f>
        <v>3.1</v>
      </c>
      <c r="G1865" s="4" t="str">
        <f>HYPERLINK("http://141.218.60.56/~jnz1568/getInfo.php?workbook=18_15.xlsx&amp;sheet=U0&amp;row=1865&amp;col=7&amp;number=0.326&amp;sourceID=14","0.326")</f>
        <v>0.326</v>
      </c>
    </row>
    <row r="1866" spans="1:7">
      <c r="A1866" s="3"/>
      <c r="B1866" s="3"/>
      <c r="C1866" s="3"/>
      <c r="D1866" s="3"/>
      <c r="E1866" s="3">
        <v>3</v>
      </c>
      <c r="F1866" s="4" t="str">
        <f>HYPERLINK("http://141.218.60.56/~jnz1568/getInfo.php?workbook=18_15.xlsx&amp;sheet=U0&amp;row=1866&amp;col=6&amp;number=3.2&amp;sourceID=14","3.2")</f>
        <v>3.2</v>
      </c>
      <c r="G1866" s="4" t="str">
        <f>HYPERLINK("http://141.218.60.56/~jnz1568/getInfo.php?workbook=18_15.xlsx&amp;sheet=U0&amp;row=1866&amp;col=7&amp;number=0.325&amp;sourceID=14","0.325")</f>
        <v>0.325</v>
      </c>
    </row>
    <row r="1867" spans="1:7">
      <c r="A1867" s="3"/>
      <c r="B1867" s="3"/>
      <c r="C1867" s="3"/>
      <c r="D1867" s="3"/>
      <c r="E1867" s="3">
        <v>4</v>
      </c>
      <c r="F1867" s="4" t="str">
        <f>HYPERLINK("http://141.218.60.56/~jnz1568/getInfo.php?workbook=18_15.xlsx&amp;sheet=U0&amp;row=1867&amp;col=6&amp;number=3.3&amp;sourceID=14","3.3")</f>
        <v>3.3</v>
      </c>
      <c r="G1867" s="4" t="str">
        <f>HYPERLINK("http://141.218.60.56/~jnz1568/getInfo.php?workbook=18_15.xlsx&amp;sheet=U0&amp;row=1867&amp;col=7&amp;number=0.324&amp;sourceID=14","0.324")</f>
        <v>0.324</v>
      </c>
    </row>
    <row r="1868" spans="1:7">
      <c r="A1868" s="3"/>
      <c r="B1868" s="3"/>
      <c r="C1868" s="3"/>
      <c r="D1868" s="3"/>
      <c r="E1868" s="3">
        <v>5</v>
      </c>
      <c r="F1868" s="4" t="str">
        <f>HYPERLINK("http://141.218.60.56/~jnz1568/getInfo.php?workbook=18_15.xlsx&amp;sheet=U0&amp;row=1868&amp;col=6&amp;number=3.4&amp;sourceID=14","3.4")</f>
        <v>3.4</v>
      </c>
      <c r="G1868" s="4" t="str">
        <f>HYPERLINK("http://141.218.60.56/~jnz1568/getInfo.php?workbook=18_15.xlsx&amp;sheet=U0&amp;row=1868&amp;col=7&amp;number=0.323&amp;sourceID=14","0.323")</f>
        <v>0.323</v>
      </c>
    </row>
    <row r="1869" spans="1:7">
      <c r="A1869" s="3"/>
      <c r="B1869" s="3"/>
      <c r="C1869" s="3"/>
      <c r="D1869" s="3"/>
      <c r="E1869" s="3">
        <v>6</v>
      </c>
      <c r="F1869" s="4" t="str">
        <f>HYPERLINK("http://141.218.60.56/~jnz1568/getInfo.php?workbook=18_15.xlsx&amp;sheet=U0&amp;row=1869&amp;col=6&amp;number=3.5&amp;sourceID=14","3.5")</f>
        <v>3.5</v>
      </c>
      <c r="G1869" s="4" t="str">
        <f>HYPERLINK("http://141.218.60.56/~jnz1568/getInfo.php?workbook=18_15.xlsx&amp;sheet=U0&amp;row=1869&amp;col=7&amp;number=0.322&amp;sourceID=14","0.322")</f>
        <v>0.322</v>
      </c>
    </row>
    <row r="1870" spans="1:7">
      <c r="A1870" s="3"/>
      <c r="B1870" s="3"/>
      <c r="C1870" s="3"/>
      <c r="D1870" s="3"/>
      <c r="E1870" s="3">
        <v>7</v>
      </c>
      <c r="F1870" s="4" t="str">
        <f>HYPERLINK("http://141.218.60.56/~jnz1568/getInfo.php?workbook=18_15.xlsx&amp;sheet=U0&amp;row=1870&amp;col=6&amp;number=3.6&amp;sourceID=14","3.6")</f>
        <v>3.6</v>
      </c>
      <c r="G1870" s="4" t="str">
        <f>HYPERLINK("http://141.218.60.56/~jnz1568/getInfo.php?workbook=18_15.xlsx&amp;sheet=U0&amp;row=1870&amp;col=7&amp;number=0.32&amp;sourceID=14","0.32")</f>
        <v>0.32</v>
      </c>
    </row>
    <row r="1871" spans="1:7">
      <c r="A1871" s="3"/>
      <c r="B1871" s="3"/>
      <c r="C1871" s="3"/>
      <c r="D1871" s="3"/>
      <c r="E1871" s="3">
        <v>8</v>
      </c>
      <c r="F1871" s="4" t="str">
        <f>HYPERLINK("http://141.218.60.56/~jnz1568/getInfo.php?workbook=18_15.xlsx&amp;sheet=U0&amp;row=1871&amp;col=6&amp;number=3.7&amp;sourceID=14","3.7")</f>
        <v>3.7</v>
      </c>
      <c r="G1871" s="4" t="str">
        <f>HYPERLINK("http://141.218.60.56/~jnz1568/getInfo.php?workbook=18_15.xlsx&amp;sheet=U0&amp;row=1871&amp;col=7&amp;number=0.318&amp;sourceID=14","0.318")</f>
        <v>0.318</v>
      </c>
    </row>
    <row r="1872" spans="1:7">
      <c r="A1872" s="3"/>
      <c r="B1872" s="3"/>
      <c r="C1872" s="3"/>
      <c r="D1872" s="3"/>
      <c r="E1872" s="3">
        <v>9</v>
      </c>
      <c r="F1872" s="4" t="str">
        <f>HYPERLINK("http://141.218.60.56/~jnz1568/getInfo.php?workbook=18_15.xlsx&amp;sheet=U0&amp;row=1872&amp;col=6&amp;number=3.8&amp;sourceID=14","3.8")</f>
        <v>3.8</v>
      </c>
      <c r="G1872" s="4" t="str">
        <f>HYPERLINK("http://141.218.60.56/~jnz1568/getInfo.php?workbook=18_15.xlsx&amp;sheet=U0&amp;row=1872&amp;col=7&amp;number=0.314&amp;sourceID=14","0.314")</f>
        <v>0.314</v>
      </c>
    </row>
    <row r="1873" spans="1:7">
      <c r="A1873" s="3"/>
      <c r="B1873" s="3"/>
      <c r="C1873" s="3"/>
      <c r="D1873" s="3"/>
      <c r="E1873" s="3">
        <v>10</v>
      </c>
      <c r="F1873" s="4" t="str">
        <f>HYPERLINK("http://141.218.60.56/~jnz1568/getInfo.php?workbook=18_15.xlsx&amp;sheet=U0&amp;row=1873&amp;col=6&amp;number=3.9&amp;sourceID=14","3.9")</f>
        <v>3.9</v>
      </c>
      <c r="G1873" s="4" t="str">
        <f>HYPERLINK("http://141.218.60.56/~jnz1568/getInfo.php?workbook=18_15.xlsx&amp;sheet=U0&amp;row=1873&amp;col=7&amp;number=0.31&amp;sourceID=14","0.31")</f>
        <v>0.31</v>
      </c>
    </row>
    <row r="1874" spans="1:7">
      <c r="A1874" s="3"/>
      <c r="B1874" s="3"/>
      <c r="C1874" s="3"/>
      <c r="D1874" s="3"/>
      <c r="E1874" s="3">
        <v>11</v>
      </c>
      <c r="F1874" s="4" t="str">
        <f>HYPERLINK("http://141.218.60.56/~jnz1568/getInfo.php?workbook=18_15.xlsx&amp;sheet=U0&amp;row=1874&amp;col=6&amp;number=4&amp;sourceID=14","4")</f>
        <v>4</v>
      </c>
      <c r="G1874" s="4" t="str">
        <f>HYPERLINK("http://141.218.60.56/~jnz1568/getInfo.php?workbook=18_15.xlsx&amp;sheet=U0&amp;row=1874&amp;col=7&amp;number=0.304&amp;sourceID=14","0.304")</f>
        <v>0.304</v>
      </c>
    </row>
    <row r="1875" spans="1:7">
      <c r="A1875" s="3"/>
      <c r="B1875" s="3"/>
      <c r="C1875" s="3"/>
      <c r="D1875" s="3"/>
      <c r="E1875" s="3">
        <v>12</v>
      </c>
      <c r="F1875" s="4" t="str">
        <f>HYPERLINK("http://141.218.60.56/~jnz1568/getInfo.php?workbook=18_15.xlsx&amp;sheet=U0&amp;row=1875&amp;col=6&amp;number=4.1&amp;sourceID=14","4.1")</f>
        <v>4.1</v>
      </c>
      <c r="G1875" s="4" t="str">
        <f>HYPERLINK("http://141.218.60.56/~jnz1568/getInfo.php?workbook=18_15.xlsx&amp;sheet=U0&amp;row=1875&amp;col=7&amp;number=0.295&amp;sourceID=14","0.295")</f>
        <v>0.295</v>
      </c>
    </row>
    <row r="1876" spans="1:7">
      <c r="A1876" s="3"/>
      <c r="B1876" s="3"/>
      <c r="C1876" s="3"/>
      <c r="D1876" s="3"/>
      <c r="E1876" s="3">
        <v>13</v>
      </c>
      <c r="F1876" s="4" t="str">
        <f>HYPERLINK("http://141.218.60.56/~jnz1568/getInfo.php?workbook=18_15.xlsx&amp;sheet=U0&amp;row=1876&amp;col=6&amp;number=4.2&amp;sourceID=14","4.2")</f>
        <v>4.2</v>
      </c>
      <c r="G1876" s="4" t="str">
        <f>HYPERLINK("http://141.218.60.56/~jnz1568/getInfo.php?workbook=18_15.xlsx&amp;sheet=U0&amp;row=1876&amp;col=7&amp;number=0.284&amp;sourceID=14","0.284")</f>
        <v>0.284</v>
      </c>
    </row>
    <row r="1877" spans="1:7">
      <c r="A1877" s="3"/>
      <c r="B1877" s="3"/>
      <c r="C1877" s="3"/>
      <c r="D1877" s="3"/>
      <c r="E1877" s="3">
        <v>14</v>
      </c>
      <c r="F1877" s="4" t="str">
        <f>HYPERLINK("http://141.218.60.56/~jnz1568/getInfo.php?workbook=18_15.xlsx&amp;sheet=U0&amp;row=1877&amp;col=6&amp;number=4.3&amp;sourceID=14","4.3")</f>
        <v>4.3</v>
      </c>
      <c r="G1877" s="4" t="str">
        <f>HYPERLINK("http://141.218.60.56/~jnz1568/getInfo.php?workbook=18_15.xlsx&amp;sheet=U0&amp;row=1877&amp;col=7&amp;number=0.271&amp;sourceID=14","0.271")</f>
        <v>0.271</v>
      </c>
    </row>
    <row r="1878" spans="1:7">
      <c r="A1878" s="3"/>
      <c r="B1878" s="3"/>
      <c r="C1878" s="3"/>
      <c r="D1878" s="3"/>
      <c r="E1878" s="3">
        <v>15</v>
      </c>
      <c r="F1878" s="4" t="str">
        <f>HYPERLINK("http://141.218.60.56/~jnz1568/getInfo.php?workbook=18_15.xlsx&amp;sheet=U0&amp;row=1878&amp;col=6&amp;number=4.4&amp;sourceID=14","4.4")</f>
        <v>4.4</v>
      </c>
      <c r="G1878" s="4" t="str">
        <f>HYPERLINK("http://141.218.60.56/~jnz1568/getInfo.php?workbook=18_15.xlsx&amp;sheet=U0&amp;row=1878&amp;col=7&amp;number=0.258&amp;sourceID=14","0.258")</f>
        <v>0.258</v>
      </c>
    </row>
    <row r="1879" spans="1:7">
      <c r="A1879" s="3"/>
      <c r="B1879" s="3"/>
      <c r="C1879" s="3"/>
      <c r="D1879" s="3"/>
      <c r="E1879" s="3">
        <v>16</v>
      </c>
      <c r="F1879" s="4" t="str">
        <f>HYPERLINK("http://141.218.60.56/~jnz1568/getInfo.php?workbook=18_15.xlsx&amp;sheet=U0&amp;row=1879&amp;col=6&amp;number=4.5&amp;sourceID=14","4.5")</f>
        <v>4.5</v>
      </c>
      <c r="G1879" s="4" t="str">
        <f>HYPERLINK("http://141.218.60.56/~jnz1568/getInfo.php?workbook=18_15.xlsx&amp;sheet=U0&amp;row=1879&amp;col=7&amp;number=0.246&amp;sourceID=14","0.246")</f>
        <v>0.246</v>
      </c>
    </row>
    <row r="1880" spans="1:7">
      <c r="A1880" s="3"/>
      <c r="B1880" s="3"/>
      <c r="C1880" s="3"/>
      <c r="D1880" s="3"/>
      <c r="E1880" s="3">
        <v>17</v>
      </c>
      <c r="F1880" s="4" t="str">
        <f>HYPERLINK("http://141.218.60.56/~jnz1568/getInfo.php?workbook=18_15.xlsx&amp;sheet=U0&amp;row=1880&amp;col=6&amp;number=4.6&amp;sourceID=14","4.6")</f>
        <v>4.6</v>
      </c>
      <c r="G1880" s="4" t="str">
        <f>HYPERLINK("http://141.218.60.56/~jnz1568/getInfo.php?workbook=18_15.xlsx&amp;sheet=U0&amp;row=1880&amp;col=7&amp;number=0.233&amp;sourceID=14","0.233")</f>
        <v>0.233</v>
      </c>
    </row>
    <row r="1881" spans="1:7">
      <c r="A1881" s="3"/>
      <c r="B1881" s="3"/>
      <c r="C1881" s="3"/>
      <c r="D1881" s="3"/>
      <c r="E1881" s="3">
        <v>18</v>
      </c>
      <c r="F1881" s="4" t="str">
        <f>HYPERLINK("http://141.218.60.56/~jnz1568/getInfo.php?workbook=18_15.xlsx&amp;sheet=U0&amp;row=1881&amp;col=6&amp;number=4.7&amp;sourceID=14","4.7")</f>
        <v>4.7</v>
      </c>
      <c r="G1881" s="4" t="str">
        <f>HYPERLINK("http://141.218.60.56/~jnz1568/getInfo.php?workbook=18_15.xlsx&amp;sheet=U0&amp;row=1881&amp;col=7&amp;number=0.22&amp;sourceID=14","0.22")</f>
        <v>0.22</v>
      </c>
    </row>
    <row r="1882" spans="1:7">
      <c r="A1882" s="3"/>
      <c r="B1882" s="3"/>
      <c r="C1882" s="3"/>
      <c r="D1882" s="3"/>
      <c r="E1882" s="3">
        <v>19</v>
      </c>
      <c r="F1882" s="4" t="str">
        <f>HYPERLINK("http://141.218.60.56/~jnz1568/getInfo.php?workbook=18_15.xlsx&amp;sheet=U0&amp;row=1882&amp;col=6&amp;number=4.8&amp;sourceID=14","4.8")</f>
        <v>4.8</v>
      </c>
      <c r="G1882" s="4" t="str">
        <f>HYPERLINK("http://141.218.60.56/~jnz1568/getInfo.php?workbook=18_15.xlsx&amp;sheet=U0&amp;row=1882&amp;col=7&amp;number=0.207&amp;sourceID=14","0.207")</f>
        <v>0.207</v>
      </c>
    </row>
    <row r="1883" spans="1:7">
      <c r="A1883" s="3"/>
      <c r="B1883" s="3"/>
      <c r="C1883" s="3"/>
      <c r="D1883" s="3"/>
      <c r="E1883" s="3">
        <v>20</v>
      </c>
      <c r="F1883" s="4" t="str">
        <f>HYPERLINK("http://141.218.60.56/~jnz1568/getInfo.php?workbook=18_15.xlsx&amp;sheet=U0&amp;row=1883&amp;col=6&amp;number=4.9&amp;sourceID=14","4.9")</f>
        <v>4.9</v>
      </c>
      <c r="G1883" s="4" t="str">
        <f>HYPERLINK("http://141.218.60.56/~jnz1568/getInfo.php?workbook=18_15.xlsx&amp;sheet=U0&amp;row=1883&amp;col=7&amp;number=0.196&amp;sourceID=14","0.196")</f>
        <v>0.196</v>
      </c>
    </row>
    <row r="1884" spans="1:7">
      <c r="A1884" s="3">
        <v>18</v>
      </c>
      <c r="B1884" s="3">
        <v>15</v>
      </c>
      <c r="C1884" s="3">
        <v>4</v>
      </c>
      <c r="D1884" s="3">
        <v>16</v>
      </c>
      <c r="E1884" s="3">
        <v>1</v>
      </c>
      <c r="F1884" s="4" t="str">
        <f>HYPERLINK("http://141.218.60.56/~jnz1568/getInfo.php?workbook=18_15.xlsx&amp;sheet=U0&amp;row=1884&amp;col=6&amp;number=3&amp;sourceID=14","3")</f>
        <v>3</v>
      </c>
      <c r="G1884" s="4" t="str">
        <f>HYPERLINK("http://141.218.60.56/~jnz1568/getInfo.php?workbook=18_15.xlsx&amp;sheet=U0&amp;row=1884&amp;col=7&amp;number=0.333&amp;sourceID=14","0.333")</f>
        <v>0.333</v>
      </c>
    </row>
    <row r="1885" spans="1:7">
      <c r="A1885" s="3"/>
      <c r="B1885" s="3"/>
      <c r="C1885" s="3"/>
      <c r="D1885" s="3"/>
      <c r="E1885" s="3">
        <v>2</v>
      </c>
      <c r="F1885" s="4" t="str">
        <f>HYPERLINK("http://141.218.60.56/~jnz1568/getInfo.php?workbook=18_15.xlsx&amp;sheet=U0&amp;row=1885&amp;col=6&amp;number=3.1&amp;sourceID=14","3.1")</f>
        <v>3.1</v>
      </c>
      <c r="G1885" s="4" t="str">
        <f>HYPERLINK("http://141.218.60.56/~jnz1568/getInfo.php?workbook=18_15.xlsx&amp;sheet=U0&amp;row=1885&amp;col=7&amp;number=0.333&amp;sourceID=14","0.333")</f>
        <v>0.333</v>
      </c>
    </row>
    <row r="1886" spans="1:7">
      <c r="A1886" s="3"/>
      <c r="B1886" s="3"/>
      <c r="C1886" s="3"/>
      <c r="D1886" s="3"/>
      <c r="E1886" s="3">
        <v>3</v>
      </c>
      <c r="F1886" s="4" t="str">
        <f>HYPERLINK("http://141.218.60.56/~jnz1568/getInfo.php?workbook=18_15.xlsx&amp;sheet=U0&amp;row=1886&amp;col=6&amp;number=3.2&amp;sourceID=14","3.2")</f>
        <v>3.2</v>
      </c>
      <c r="G1886" s="4" t="str">
        <f>HYPERLINK("http://141.218.60.56/~jnz1568/getInfo.php?workbook=18_15.xlsx&amp;sheet=U0&amp;row=1886&amp;col=7&amp;number=0.332&amp;sourceID=14","0.332")</f>
        <v>0.332</v>
      </c>
    </row>
    <row r="1887" spans="1:7">
      <c r="A1887" s="3"/>
      <c r="B1887" s="3"/>
      <c r="C1887" s="3"/>
      <c r="D1887" s="3"/>
      <c r="E1887" s="3">
        <v>4</v>
      </c>
      <c r="F1887" s="4" t="str">
        <f>HYPERLINK("http://141.218.60.56/~jnz1568/getInfo.php?workbook=18_15.xlsx&amp;sheet=U0&amp;row=1887&amp;col=6&amp;number=3.3&amp;sourceID=14","3.3")</f>
        <v>3.3</v>
      </c>
      <c r="G1887" s="4" t="str">
        <f>HYPERLINK("http://141.218.60.56/~jnz1568/getInfo.php?workbook=18_15.xlsx&amp;sheet=U0&amp;row=1887&amp;col=7&amp;number=0.332&amp;sourceID=14","0.332")</f>
        <v>0.332</v>
      </c>
    </row>
    <row r="1888" spans="1:7">
      <c r="A1888" s="3"/>
      <c r="B1888" s="3"/>
      <c r="C1888" s="3"/>
      <c r="D1888" s="3"/>
      <c r="E1888" s="3">
        <v>5</v>
      </c>
      <c r="F1888" s="4" t="str">
        <f>HYPERLINK("http://141.218.60.56/~jnz1568/getInfo.php?workbook=18_15.xlsx&amp;sheet=U0&amp;row=1888&amp;col=6&amp;number=3.4&amp;sourceID=14","3.4")</f>
        <v>3.4</v>
      </c>
      <c r="G1888" s="4" t="str">
        <f>HYPERLINK("http://141.218.60.56/~jnz1568/getInfo.php?workbook=18_15.xlsx&amp;sheet=U0&amp;row=1888&amp;col=7&amp;number=0.331&amp;sourceID=14","0.331")</f>
        <v>0.331</v>
      </c>
    </row>
    <row r="1889" spans="1:7">
      <c r="A1889" s="3"/>
      <c r="B1889" s="3"/>
      <c r="C1889" s="3"/>
      <c r="D1889" s="3"/>
      <c r="E1889" s="3">
        <v>6</v>
      </c>
      <c r="F1889" s="4" t="str">
        <f>HYPERLINK("http://141.218.60.56/~jnz1568/getInfo.php?workbook=18_15.xlsx&amp;sheet=U0&amp;row=1889&amp;col=6&amp;number=3.5&amp;sourceID=14","3.5")</f>
        <v>3.5</v>
      </c>
      <c r="G1889" s="4" t="str">
        <f>HYPERLINK("http://141.218.60.56/~jnz1568/getInfo.php?workbook=18_15.xlsx&amp;sheet=U0&amp;row=1889&amp;col=7&amp;number=0.33&amp;sourceID=14","0.33")</f>
        <v>0.33</v>
      </c>
    </row>
    <row r="1890" spans="1:7">
      <c r="A1890" s="3"/>
      <c r="B1890" s="3"/>
      <c r="C1890" s="3"/>
      <c r="D1890" s="3"/>
      <c r="E1890" s="3">
        <v>7</v>
      </c>
      <c r="F1890" s="4" t="str">
        <f>HYPERLINK("http://141.218.60.56/~jnz1568/getInfo.php?workbook=18_15.xlsx&amp;sheet=U0&amp;row=1890&amp;col=6&amp;number=3.6&amp;sourceID=14","3.6")</f>
        <v>3.6</v>
      </c>
      <c r="G1890" s="4" t="str">
        <f>HYPERLINK("http://141.218.60.56/~jnz1568/getInfo.php?workbook=18_15.xlsx&amp;sheet=U0&amp;row=1890&amp;col=7&amp;number=0.328&amp;sourceID=14","0.328")</f>
        <v>0.328</v>
      </c>
    </row>
    <row r="1891" spans="1:7">
      <c r="A1891" s="3"/>
      <c r="B1891" s="3"/>
      <c r="C1891" s="3"/>
      <c r="D1891" s="3"/>
      <c r="E1891" s="3">
        <v>8</v>
      </c>
      <c r="F1891" s="4" t="str">
        <f>HYPERLINK("http://141.218.60.56/~jnz1568/getInfo.php?workbook=18_15.xlsx&amp;sheet=U0&amp;row=1891&amp;col=6&amp;number=3.7&amp;sourceID=14","3.7")</f>
        <v>3.7</v>
      </c>
      <c r="G1891" s="4" t="str">
        <f>HYPERLINK("http://141.218.60.56/~jnz1568/getInfo.php?workbook=18_15.xlsx&amp;sheet=U0&amp;row=1891&amp;col=7&amp;number=0.326&amp;sourceID=14","0.326")</f>
        <v>0.326</v>
      </c>
    </row>
    <row r="1892" spans="1:7">
      <c r="A1892" s="3"/>
      <c r="B1892" s="3"/>
      <c r="C1892" s="3"/>
      <c r="D1892" s="3"/>
      <c r="E1892" s="3">
        <v>9</v>
      </c>
      <c r="F1892" s="4" t="str">
        <f>HYPERLINK("http://141.218.60.56/~jnz1568/getInfo.php?workbook=18_15.xlsx&amp;sheet=U0&amp;row=1892&amp;col=6&amp;number=3.8&amp;sourceID=14","3.8")</f>
        <v>3.8</v>
      </c>
      <c r="G1892" s="4" t="str">
        <f>HYPERLINK("http://141.218.60.56/~jnz1568/getInfo.php?workbook=18_15.xlsx&amp;sheet=U0&amp;row=1892&amp;col=7&amp;number=0.323&amp;sourceID=14","0.323")</f>
        <v>0.323</v>
      </c>
    </row>
    <row r="1893" spans="1:7">
      <c r="A1893" s="3"/>
      <c r="B1893" s="3"/>
      <c r="C1893" s="3"/>
      <c r="D1893" s="3"/>
      <c r="E1893" s="3">
        <v>10</v>
      </c>
      <c r="F1893" s="4" t="str">
        <f>HYPERLINK("http://141.218.60.56/~jnz1568/getInfo.php?workbook=18_15.xlsx&amp;sheet=U0&amp;row=1893&amp;col=6&amp;number=3.9&amp;sourceID=14","3.9")</f>
        <v>3.9</v>
      </c>
      <c r="G1893" s="4" t="str">
        <f>HYPERLINK("http://141.218.60.56/~jnz1568/getInfo.php?workbook=18_15.xlsx&amp;sheet=U0&amp;row=1893&amp;col=7&amp;number=0.319&amp;sourceID=14","0.319")</f>
        <v>0.319</v>
      </c>
    </row>
    <row r="1894" spans="1:7">
      <c r="A1894" s="3"/>
      <c r="B1894" s="3"/>
      <c r="C1894" s="3"/>
      <c r="D1894" s="3"/>
      <c r="E1894" s="3">
        <v>11</v>
      </c>
      <c r="F1894" s="4" t="str">
        <f>HYPERLINK("http://141.218.60.56/~jnz1568/getInfo.php?workbook=18_15.xlsx&amp;sheet=U0&amp;row=1894&amp;col=6&amp;number=4&amp;sourceID=14","4")</f>
        <v>4</v>
      </c>
      <c r="G1894" s="4" t="str">
        <f>HYPERLINK("http://141.218.60.56/~jnz1568/getInfo.php?workbook=18_15.xlsx&amp;sheet=U0&amp;row=1894&amp;col=7&amp;number=0.313&amp;sourceID=14","0.313")</f>
        <v>0.313</v>
      </c>
    </row>
    <row r="1895" spans="1:7">
      <c r="A1895" s="3"/>
      <c r="B1895" s="3"/>
      <c r="C1895" s="3"/>
      <c r="D1895" s="3"/>
      <c r="E1895" s="3">
        <v>12</v>
      </c>
      <c r="F1895" s="4" t="str">
        <f>HYPERLINK("http://141.218.60.56/~jnz1568/getInfo.php?workbook=18_15.xlsx&amp;sheet=U0&amp;row=1895&amp;col=6&amp;number=4.1&amp;sourceID=14","4.1")</f>
        <v>4.1</v>
      </c>
      <c r="G1895" s="4" t="str">
        <f>HYPERLINK("http://141.218.60.56/~jnz1568/getInfo.php?workbook=18_15.xlsx&amp;sheet=U0&amp;row=1895&amp;col=7&amp;number=0.304&amp;sourceID=14","0.304")</f>
        <v>0.304</v>
      </c>
    </row>
    <row r="1896" spans="1:7">
      <c r="A1896" s="3"/>
      <c r="B1896" s="3"/>
      <c r="C1896" s="3"/>
      <c r="D1896" s="3"/>
      <c r="E1896" s="3">
        <v>13</v>
      </c>
      <c r="F1896" s="4" t="str">
        <f>HYPERLINK("http://141.218.60.56/~jnz1568/getInfo.php?workbook=18_15.xlsx&amp;sheet=U0&amp;row=1896&amp;col=6&amp;number=4.2&amp;sourceID=14","4.2")</f>
        <v>4.2</v>
      </c>
      <c r="G1896" s="4" t="str">
        <f>HYPERLINK("http://141.218.60.56/~jnz1568/getInfo.php?workbook=18_15.xlsx&amp;sheet=U0&amp;row=1896&amp;col=7&amp;number=0.292&amp;sourceID=14","0.292")</f>
        <v>0.292</v>
      </c>
    </row>
    <row r="1897" spans="1:7">
      <c r="A1897" s="3"/>
      <c r="B1897" s="3"/>
      <c r="C1897" s="3"/>
      <c r="D1897" s="3"/>
      <c r="E1897" s="3">
        <v>14</v>
      </c>
      <c r="F1897" s="4" t="str">
        <f>HYPERLINK("http://141.218.60.56/~jnz1568/getInfo.php?workbook=18_15.xlsx&amp;sheet=U0&amp;row=1897&amp;col=6&amp;number=4.3&amp;sourceID=14","4.3")</f>
        <v>4.3</v>
      </c>
      <c r="G1897" s="4" t="str">
        <f>HYPERLINK("http://141.218.60.56/~jnz1568/getInfo.php?workbook=18_15.xlsx&amp;sheet=U0&amp;row=1897&amp;col=7&amp;number=0.278&amp;sourceID=14","0.278")</f>
        <v>0.278</v>
      </c>
    </row>
    <row r="1898" spans="1:7">
      <c r="A1898" s="3"/>
      <c r="B1898" s="3"/>
      <c r="C1898" s="3"/>
      <c r="D1898" s="3"/>
      <c r="E1898" s="3">
        <v>15</v>
      </c>
      <c r="F1898" s="4" t="str">
        <f>HYPERLINK("http://141.218.60.56/~jnz1568/getInfo.php?workbook=18_15.xlsx&amp;sheet=U0&amp;row=1898&amp;col=6&amp;number=4.4&amp;sourceID=14","4.4")</f>
        <v>4.4</v>
      </c>
      <c r="G1898" s="4" t="str">
        <f>HYPERLINK("http://141.218.60.56/~jnz1568/getInfo.php?workbook=18_15.xlsx&amp;sheet=U0&amp;row=1898&amp;col=7&amp;number=0.264&amp;sourceID=14","0.264")</f>
        <v>0.264</v>
      </c>
    </row>
    <row r="1899" spans="1:7">
      <c r="A1899" s="3"/>
      <c r="B1899" s="3"/>
      <c r="C1899" s="3"/>
      <c r="D1899" s="3"/>
      <c r="E1899" s="3">
        <v>16</v>
      </c>
      <c r="F1899" s="4" t="str">
        <f>HYPERLINK("http://141.218.60.56/~jnz1568/getInfo.php?workbook=18_15.xlsx&amp;sheet=U0&amp;row=1899&amp;col=6&amp;number=4.5&amp;sourceID=14","4.5")</f>
        <v>4.5</v>
      </c>
      <c r="G1899" s="4" t="str">
        <f>HYPERLINK("http://141.218.60.56/~jnz1568/getInfo.php?workbook=18_15.xlsx&amp;sheet=U0&amp;row=1899&amp;col=7&amp;number=0.25&amp;sourceID=14","0.25")</f>
        <v>0.25</v>
      </c>
    </row>
    <row r="1900" spans="1:7">
      <c r="A1900" s="3"/>
      <c r="B1900" s="3"/>
      <c r="C1900" s="3"/>
      <c r="D1900" s="3"/>
      <c r="E1900" s="3">
        <v>17</v>
      </c>
      <c r="F1900" s="4" t="str">
        <f>HYPERLINK("http://141.218.60.56/~jnz1568/getInfo.php?workbook=18_15.xlsx&amp;sheet=U0&amp;row=1900&amp;col=6&amp;number=4.6&amp;sourceID=14","4.6")</f>
        <v>4.6</v>
      </c>
      <c r="G1900" s="4" t="str">
        <f>HYPERLINK("http://141.218.60.56/~jnz1568/getInfo.php?workbook=18_15.xlsx&amp;sheet=U0&amp;row=1900&amp;col=7&amp;number=0.237&amp;sourceID=14","0.237")</f>
        <v>0.237</v>
      </c>
    </row>
    <row r="1901" spans="1:7">
      <c r="A1901" s="3"/>
      <c r="B1901" s="3"/>
      <c r="C1901" s="3"/>
      <c r="D1901" s="3"/>
      <c r="E1901" s="3">
        <v>18</v>
      </c>
      <c r="F1901" s="4" t="str">
        <f>HYPERLINK("http://141.218.60.56/~jnz1568/getInfo.php?workbook=18_15.xlsx&amp;sheet=U0&amp;row=1901&amp;col=6&amp;number=4.7&amp;sourceID=14","4.7")</f>
        <v>4.7</v>
      </c>
      <c r="G1901" s="4" t="str">
        <f>HYPERLINK("http://141.218.60.56/~jnz1568/getInfo.php?workbook=18_15.xlsx&amp;sheet=U0&amp;row=1901&amp;col=7&amp;number=0.223&amp;sourceID=14","0.223")</f>
        <v>0.223</v>
      </c>
    </row>
    <row r="1902" spans="1:7">
      <c r="A1902" s="3"/>
      <c r="B1902" s="3"/>
      <c r="C1902" s="3"/>
      <c r="D1902" s="3"/>
      <c r="E1902" s="3">
        <v>19</v>
      </c>
      <c r="F1902" s="4" t="str">
        <f>HYPERLINK("http://141.218.60.56/~jnz1568/getInfo.php?workbook=18_15.xlsx&amp;sheet=U0&amp;row=1902&amp;col=6&amp;number=4.8&amp;sourceID=14","4.8")</f>
        <v>4.8</v>
      </c>
      <c r="G1902" s="4" t="str">
        <f>HYPERLINK("http://141.218.60.56/~jnz1568/getInfo.php?workbook=18_15.xlsx&amp;sheet=U0&amp;row=1902&amp;col=7&amp;number=0.21&amp;sourceID=14","0.21")</f>
        <v>0.21</v>
      </c>
    </row>
    <row r="1903" spans="1:7">
      <c r="A1903" s="3"/>
      <c r="B1903" s="3"/>
      <c r="C1903" s="3"/>
      <c r="D1903" s="3"/>
      <c r="E1903" s="3">
        <v>20</v>
      </c>
      <c r="F1903" s="4" t="str">
        <f>HYPERLINK("http://141.218.60.56/~jnz1568/getInfo.php?workbook=18_15.xlsx&amp;sheet=U0&amp;row=1903&amp;col=6&amp;number=4.9&amp;sourceID=14","4.9")</f>
        <v>4.9</v>
      </c>
      <c r="G1903" s="4" t="str">
        <f>HYPERLINK("http://141.218.60.56/~jnz1568/getInfo.php?workbook=18_15.xlsx&amp;sheet=U0&amp;row=1903&amp;col=7&amp;number=0.199&amp;sourceID=14","0.199")</f>
        <v>0.199</v>
      </c>
    </row>
    <row r="1904" spans="1:7">
      <c r="A1904" s="3">
        <v>18</v>
      </c>
      <c r="B1904" s="3">
        <v>15</v>
      </c>
      <c r="C1904" s="3">
        <v>4</v>
      </c>
      <c r="D1904" s="3">
        <v>17</v>
      </c>
      <c r="E1904" s="3">
        <v>1</v>
      </c>
      <c r="F1904" s="4" t="str">
        <f>HYPERLINK("http://141.218.60.56/~jnz1568/getInfo.php?workbook=18_15.xlsx&amp;sheet=U0&amp;row=1904&amp;col=6&amp;number=3&amp;sourceID=14","3")</f>
        <v>3</v>
      </c>
      <c r="G1904" s="4" t="str">
        <f>HYPERLINK("http://141.218.60.56/~jnz1568/getInfo.php?workbook=18_15.xlsx&amp;sheet=U0&amp;row=1904&amp;col=7&amp;number=0.253&amp;sourceID=14","0.253")</f>
        <v>0.253</v>
      </c>
    </row>
    <row r="1905" spans="1:7">
      <c r="A1905" s="3"/>
      <c r="B1905" s="3"/>
      <c r="C1905" s="3"/>
      <c r="D1905" s="3"/>
      <c r="E1905" s="3">
        <v>2</v>
      </c>
      <c r="F1905" s="4" t="str">
        <f>HYPERLINK("http://141.218.60.56/~jnz1568/getInfo.php?workbook=18_15.xlsx&amp;sheet=U0&amp;row=1905&amp;col=6&amp;number=3.1&amp;sourceID=14","3.1")</f>
        <v>3.1</v>
      </c>
      <c r="G1905" s="4" t="str">
        <f>HYPERLINK("http://141.218.60.56/~jnz1568/getInfo.php?workbook=18_15.xlsx&amp;sheet=U0&amp;row=1905&amp;col=7&amp;number=0.253&amp;sourceID=14","0.253")</f>
        <v>0.253</v>
      </c>
    </row>
    <row r="1906" spans="1:7">
      <c r="A1906" s="3"/>
      <c r="B1906" s="3"/>
      <c r="C1906" s="3"/>
      <c r="D1906" s="3"/>
      <c r="E1906" s="3">
        <v>3</v>
      </c>
      <c r="F1906" s="4" t="str">
        <f>HYPERLINK("http://141.218.60.56/~jnz1568/getInfo.php?workbook=18_15.xlsx&amp;sheet=U0&amp;row=1906&amp;col=6&amp;number=3.2&amp;sourceID=14","3.2")</f>
        <v>3.2</v>
      </c>
      <c r="G1906" s="4" t="str">
        <f>HYPERLINK("http://141.218.60.56/~jnz1568/getInfo.php?workbook=18_15.xlsx&amp;sheet=U0&amp;row=1906&amp;col=7&amp;number=0.253&amp;sourceID=14","0.253")</f>
        <v>0.253</v>
      </c>
    </row>
    <row r="1907" spans="1:7">
      <c r="A1907" s="3"/>
      <c r="B1907" s="3"/>
      <c r="C1907" s="3"/>
      <c r="D1907" s="3"/>
      <c r="E1907" s="3">
        <v>4</v>
      </c>
      <c r="F1907" s="4" t="str">
        <f>HYPERLINK("http://141.218.60.56/~jnz1568/getInfo.php?workbook=18_15.xlsx&amp;sheet=U0&amp;row=1907&amp;col=6&amp;number=3.3&amp;sourceID=14","3.3")</f>
        <v>3.3</v>
      </c>
      <c r="G1907" s="4" t="str">
        <f>HYPERLINK("http://141.218.60.56/~jnz1568/getInfo.php?workbook=18_15.xlsx&amp;sheet=U0&amp;row=1907&amp;col=7&amp;number=0.253&amp;sourceID=14","0.253")</f>
        <v>0.253</v>
      </c>
    </row>
    <row r="1908" spans="1:7">
      <c r="A1908" s="3"/>
      <c r="B1908" s="3"/>
      <c r="C1908" s="3"/>
      <c r="D1908" s="3"/>
      <c r="E1908" s="3">
        <v>5</v>
      </c>
      <c r="F1908" s="4" t="str">
        <f>HYPERLINK("http://141.218.60.56/~jnz1568/getInfo.php?workbook=18_15.xlsx&amp;sheet=U0&amp;row=1908&amp;col=6&amp;number=3.4&amp;sourceID=14","3.4")</f>
        <v>3.4</v>
      </c>
      <c r="G1908" s="4" t="str">
        <f>HYPERLINK("http://141.218.60.56/~jnz1568/getInfo.php?workbook=18_15.xlsx&amp;sheet=U0&amp;row=1908&amp;col=7&amp;number=0.252&amp;sourceID=14","0.252")</f>
        <v>0.252</v>
      </c>
    </row>
    <row r="1909" spans="1:7">
      <c r="A1909" s="3"/>
      <c r="B1909" s="3"/>
      <c r="C1909" s="3"/>
      <c r="D1909" s="3"/>
      <c r="E1909" s="3">
        <v>6</v>
      </c>
      <c r="F1909" s="4" t="str">
        <f>HYPERLINK("http://141.218.60.56/~jnz1568/getInfo.php?workbook=18_15.xlsx&amp;sheet=U0&amp;row=1909&amp;col=6&amp;number=3.5&amp;sourceID=14","3.5")</f>
        <v>3.5</v>
      </c>
      <c r="G1909" s="4" t="str">
        <f>HYPERLINK("http://141.218.60.56/~jnz1568/getInfo.php?workbook=18_15.xlsx&amp;sheet=U0&amp;row=1909&amp;col=7&amp;number=0.252&amp;sourceID=14","0.252")</f>
        <v>0.252</v>
      </c>
    </row>
    <row r="1910" spans="1:7">
      <c r="A1910" s="3"/>
      <c r="B1910" s="3"/>
      <c r="C1910" s="3"/>
      <c r="D1910" s="3"/>
      <c r="E1910" s="3">
        <v>7</v>
      </c>
      <c r="F1910" s="4" t="str">
        <f>HYPERLINK("http://141.218.60.56/~jnz1568/getInfo.php?workbook=18_15.xlsx&amp;sheet=U0&amp;row=1910&amp;col=6&amp;number=3.6&amp;sourceID=14","3.6")</f>
        <v>3.6</v>
      </c>
      <c r="G1910" s="4" t="str">
        <f>HYPERLINK("http://141.218.60.56/~jnz1568/getInfo.php?workbook=18_15.xlsx&amp;sheet=U0&amp;row=1910&amp;col=7&amp;number=0.252&amp;sourceID=14","0.252")</f>
        <v>0.252</v>
      </c>
    </row>
    <row r="1911" spans="1:7">
      <c r="A1911" s="3"/>
      <c r="B1911" s="3"/>
      <c r="C1911" s="3"/>
      <c r="D1911" s="3"/>
      <c r="E1911" s="3">
        <v>8</v>
      </c>
      <c r="F1911" s="4" t="str">
        <f>HYPERLINK("http://141.218.60.56/~jnz1568/getInfo.php?workbook=18_15.xlsx&amp;sheet=U0&amp;row=1911&amp;col=6&amp;number=3.7&amp;sourceID=14","3.7")</f>
        <v>3.7</v>
      </c>
      <c r="G1911" s="4" t="str">
        <f>HYPERLINK("http://141.218.60.56/~jnz1568/getInfo.php?workbook=18_15.xlsx&amp;sheet=U0&amp;row=1911&amp;col=7&amp;number=0.251&amp;sourceID=14","0.251")</f>
        <v>0.251</v>
      </c>
    </row>
    <row r="1912" spans="1:7">
      <c r="A1912" s="3"/>
      <c r="B1912" s="3"/>
      <c r="C1912" s="3"/>
      <c r="D1912" s="3"/>
      <c r="E1912" s="3">
        <v>9</v>
      </c>
      <c r="F1912" s="4" t="str">
        <f>HYPERLINK("http://141.218.60.56/~jnz1568/getInfo.php?workbook=18_15.xlsx&amp;sheet=U0&amp;row=1912&amp;col=6&amp;number=3.8&amp;sourceID=14","3.8")</f>
        <v>3.8</v>
      </c>
      <c r="G1912" s="4" t="str">
        <f>HYPERLINK("http://141.218.60.56/~jnz1568/getInfo.php?workbook=18_15.xlsx&amp;sheet=U0&amp;row=1912&amp;col=7&amp;number=0.25&amp;sourceID=14","0.25")</f>
        <v>0.25</v>
      </c>
    </row>
    <row r="1913" spans="1:7">
      <c r="A1913" s="3"/>
      <c r="B1913" s="3"/>
      <c r="C1913" s="3"/>
      <c r="D1913" s="3"/>
      <c r="E1913" s="3">
        <v>10</v>
      </c>
      <c r="F1913" s="4" t="str">
        <f>HYPERLINK("http://141.218.60.56/~jnz1568/getInfo.php?workbook=18_15.xlsx&amp;sheet=U0&amp;row=1913&amp;col=6&amp;number=3.9&amp;sourceID=14","3.9")</f>
        <v>3.9</v>
      </c>
      <c r="G1913" s="4" t="str">
        <f>HYPERLINK("http://141.218.60.56/~jnz1568/getInfo.php?workbook=18_15.xlsx&amp;sheet=U0&amp;row=1913&amp;col=7&amp;number=0.247&amp;sourceID=14","0.247")</f>
        <v>0.247</v>
      </c>
    </row>
    <row r="1914" spans="1:7">
      <c r="A1914" s="3"/>
      <c r="B1914" s="3"/>
      <c r="C1914" s="3"/>
      <c r="D1914" s="3"/>
      <c r="E1914" s="3">
        <v>11</v>
      </c>
      <c r="F1914" s="4" t="str">
        <f>HYPERLINK("http://141.218.60.56/~jnz1568/getInfo.php?workbook=18_15.xlsx&amp;sheet=U0&amp;row=1914&amp;col=6&amp;number=4&amp;sourceID=14","4")</f>
        <v>4</v>
      </c>
      <c r="G1914" s="4" t="str">
        <f>HYPERLINK("http://141.218.60.56/~jnz1568/getInfo.php?workbook=18_15.xlsx&amp;sheet=U0&amp;row=1914&amp;col=7&amp;number=0.243&amp;sourceID=14","0.243")</f>
        <v>0.243</v>
      </c>
    </row>
    <row r="1915" spans="1:7">
      <c r="A1915" s="3"/>
      <c r="B1915" s="3"/>
      <c r="C1915" s="3"/>
      <c r="D1915" s="3"/>
      <c r="E1915" s="3">
        <v>12</v>
      </c>
      <c r="F1915" s="4" t="str">
        <f>HYPERLINK("http://141.218.60.56/~jnz1568/getInfo.php?workbook=18_15.xlsx&amp;sheet=U0&amp;row=1915&amp;col=6&amp;number=4.1&amp;sourceID=14","4.1")</f>
        <v>4.1</v>
      </c>
      <c r="G1915" s="4" t="str">
        <f>HYPERLINK("http://141.218.60.56/~jnz1568/getInfo.php?workbook=18_15.xlsx&amp;sheet=U0&amp;row=1915&amp;col=7&amp;number=0.235&amp;sourceID=14","0.235")</f>
        <v>0.235</v>
      </c>
    </row>
    <row r="1916" spans="1:7">
      <c r="A1916" s="3"/>
      <c r="B1916" s="3"/>
      <c r="C1916" s="3"/>
      <c r="D1916" s="3"/>
      <c r="E1916" s="3">
        <v>13</v>
      </c>
      <c r="F1916" s="4" t="str">
        <f>HYPERLINK("http://141.218.60.56/~jnz1568/getInfo.php?workbook=18_15.xlsx&amp;sheet=U0&amp;row=1916&amp;col=6&amp;number=4.2&amp;sourceID=14","4.2")</f>
        <v>4.2</v>
      </c>
      <c r="G1916" s="4" t="str">
        <f>HYPERLINK("http://141.218.60.56/~jnz1568/getInfo.php?workbook=18_15.xlsx&amp;sheet=U0&amp;row=1916&amp;col=7&amp;number=0.226&amp;sourceID=14","0.226")</f>
        <v>0.226</v>
      </c>
    </row>
    <row r="1917" spans="1:7">
      <c r="A1917" s="3"/>
      <c r="B1917" s="3"/>
      <c r="C1917" s="3"/>
      <c r="D1917" s="3"/>
      <c r="E1917" s="3">
        <v>14</v>
      </c>
      <c r="F1917" s="4" t="str">
        <f>HYPERLINK("http://141.218.60.56/~jnz1568/getInfo.php?workbook=18_15.xlsx&amp;sheet=U0&amp;row=1917&amp;col=6&amp;number=4.3&amp;sourceID=14","4.3")</f>
        <v>4.3</v>
      </c>
      <c r="G1917" s="4" t="str">
        <f>HYPERLINK("http://141.218.60.56/~jnz1568/getInfo.php?workbook=18_15.xlsx&amp;sheet=U0&amp;row=1917&amp;col=7&amp;number=0.214&amp;sourceID=14","0.214")</f>
        <v>0.214</v>
      </c>
    </row>
    <row r="1918" spans="1:7">
      <c r="A1918" s="3"/>
      <c r="B1918" s="3"/>
      <c r="C1918" s="3"/>
      <c r="D1918" s="3"/>
      <c r="E1918" s="3">
        <v>15</v>
      </c>
      <c r="F1918" s="4" t="str">
        <f>HYPERLINK("http://141.218.60.56/~jnz1568/getInfo.php?workbook=18_15.xlsx&amp;sheet=U0&amp;row=1918&amp;col=6&amp;number=4.4&amp;sourceID=14","4.4")</f>
        <v>4.4</v>
      </c>
      <c r="G1918" s="4" t="str">
        <f>HYPERLINK("http://141.218.60.56/~jnz1568/getInfo.php?workbook=18_15.xlsx&amp;sheet=U0&amp;row=1918&amp;col=7&amp;number=0.201&amp;sourceID=14","0.201")</f>
        <v>0.201</v>
      </c>
    </row>
    <row r="1919" spans="1:7">
      <c r="A1919" s="3"/>
      <c r="B1919" s="3"/>
      <c r="C1919" s="3"/>
      <c r="D1919" s="3"/>
      <c r="E1919" s="3">
        <v>16</v>
      </c>
      <c r="F1919" s="4" t="str">
        <f>HYPERLINK("http://141.218.60.56/~jnz1568/getInfo.php?workbook=18_15.xlsx&amp;sheet=U0&amp;row=1919&amp;col=6&amp;number=4.5&amp;sourceID=14","4.5")</f>
        <v>4.5</v>
      </c>
      <c r="G1919" s="4" t="str">
        <f>HYPERLINK("http://141.218.60.56/~jnz1568/getInfo.php?workbook=18_15.xlsx&amp;sheet=U0&amp;row=1919&amp;col=7&amp;number=0.19&amp;sourceID=14","0.19")</f>
        <v>0.19</v>
      </c>
    </row>
    <row r="1920" spans="1:7">
      <c r="A1920" s="3"/>
      <c r="B1920" s="3"/>
      <c r="C1920" s="3"/>
      <c r="D1920" s="3"/>
      <c r="E1920" s="3">
        <v>17</v>
      </c>
      <c r="F1920" s="4" t="str">
        <f>HYPERLINK("http://141.218.60.56/~jnz1568/getInfo.php?workbook=18_15.xlsx&amp;sheet=U0&amp;row=1920&amp;col=6&amp;number=4.6&amp;sourceID=14","4.6")</f>
        <v>4.6</v>
      </c>
      <c r="G1920" s="4" t="str">
        <f>HYPERLINK("http://141.218.60.56/~jnz1568/getInfo.php?workbook=18_15.xlsx&amp;sheet=U0&amp;row=1920&amp;col=7&amp;number=0.179&amp;sourceID=14","0.179")</f>
        <v>0.179</v>
      </c>
    </row>
    <row r="1921" spans="1:7">
      <c r="A1921" s="3"/>
      <c r="B1921" s="3"/>
      <c r="C1921" s="3"/>
      <c r="D1921" s="3"/>
      <c r="E1921" s="3">
        <v>18</v>
      </c>
      <c r="F1921" s="4" t="str">
        <f>HYPERLINK("http://141.218.60.56/~jnz1568/getInfo.php?workbook=18_15.xlsx&amp;sheet=U0&amp;row=1921&amp;col=6&amp;number=4.7&amp;sourceID=14","4.7")</f>
        <v>4.7</v>
      </c>
      <c r="G1921" s="4" t="str">
        <f>HYPERLINK("http://141.218.60.56/~jnz1568/getInfo.php?workbook=18_15.xlsx&amp;sheet=U0&amp;row=1921&amp;col=7&amp;number=0.168&amp;sourceID=14","0.168")</f>
        <v>0.168</v>
      </c>
    </row>
    <row r="1922" spans="1:7">
      <c r="A1922" s="3"/>
      <c r="B1922" s="3"/>
      <c r="C1922" s="3"/>
      <c r="D1922" s="3"/>
      <c r="E1922" s="3">
        <v>19</v>
      </c>
      <c r="F1922" s="4" t="str">
        <f>HYPERLINK("http://141.218.60.56/~jnz1568/getInfo.php?workbook=18_15.xlsx&amp;sheet=U0&amp;row=1922&amp;col=6&amp;number=4.8&amp;sourceID=14","4.8")</f>
        <v>4.8</v>
      </c>
      <c r="G1922" s="4" t="str">
        <f>HYPERLINK("http://141.218.60.56/~jnz1568/getInfo.php?workbook=18_15.xlsx&amp;sheet=U0&amp;row=1922&amp;col=7&amp;number=0.159&amp;sourceID=14","0.159")</f>
        <v>0.159</v>
      </c>
    </row>
    <row r="1923" spans="1:7">
      <c r="A1923" s="3"/>
      <c r="B1923" s="3"/>
      <c r="C1923" s="3"/>
      <c r="D1923" s="3"/>
      <c r="E1923" s="3">
        <v>20</v>
      </c>
      <c r="F1923" s="4" t="str">
        <f>HYPERLINK("http://141.218.60.56/~jnz1568/getInfo.php?workbook=18_15.xlsx&amp;sheet=U0&amp;row=1923&amp;col=6&amp;number=4.9&amp;sourceID=14","4.9")</f>
        <v>4.9</v>
      </c>
      <c r="G1923" s="4" t="str">
        <f>HYPERLINK("http://141.218.60.56/~jnz1568/getInfo.php?workbook=18_15.xlsx&amp;sheet=U0&amp;row=1923&amp;col=7&amp;number=0.152&amp;sourceID=14","0.152")</f>
        <v>0.152</v>
      </c>
    </row>
    <row r="1924" spans="1:7">
      <c r="A1924" s="3">
        <v>18</v>
      </c>
      <c r="B1924" s="3">
        <v>15</v>
      </c>
      <c r="C1924" s="3">
        <v>4</v>
      </c>
      <c r="D1924" s="3">
        <v>18</v>
      </c>
      <c r="E1924" s="3">
        <v>1</v>
      </c>
      <c r="F1924" s="4" t="str">
        <f>HYPERLINK("http://141.218.60.56/~jnz1568/getInfo.php?workbook=18_15.xlsx&amp;sheet=U0&amp;row=1924&amp;col=6&amp;number=3&amp;sourceID=14","3")</f>
        <v>3</v>
      </c>
      <c r="G1924" s="4" t="str">
        <f>HYPERLINK("http://141.218.60.56/~jnz1568/getInfo.php?workbook=18_15.xlsx&amp;sheet=U0&amp;row=1924&amp;col=7&amp;number=0.178&amp;sourceID=14","0.178")</f>
        <v>0.178</v>
      </c>
    </row>
    <row r="1925" spans="1:7">
      <c r="A1925" s="3"/>
      <c r="B1925" s="3"/>
      <c r="C1925" s="3"/>
      <c r="D1925" s="3"/>
      <c r="E1925" s="3">
        <v>2</v>
      </c>
      <c r="F1925" s="4" t="str">
        <f>HYPERLINK("http://141.218.60.56/~jnz1568/getInfo.php?workbook=18_15.xlsx&amp;sheet=U0&amp;row=1925&amp;col=6&amp;number=3.1&amp;sourceID=14","3.1")</f>
        <v>3.1</v>
      </c>
      <c r="G1925" s="4" t="str">
        <f>HYPERLINK("http://141.218.60.56/~jnz1568/getInfo.php?workbook=18_15.xlsx&amp;sheet=U0&amp;row=1925&amp;col=7&amp;number=0.178&amp;sourceID=14","0.178")</f>
        <v>0.178</v>
      </c>
    </row>
    <row r="1926" spans="1:7">
      <c r="A1926" s="3"/>
      <c r="B1926" s="3"/>
      <c r="C1926" s="3"/>
      <c r="D1926" s="3"/>
      <c r="E1926" s="3">
        <v>3</v>
      </c>
      <c r="F1926" s="4" t="str">
        <f>HYPERLINK("http://141.218.60.56/~jnz1568/getInfo.php?workbook=18_15.xlsx&amp;sheet=U0&amp;row=1926&amp;col=6&amp;number=3.2&amp;sourceID=14","3.2")</f>
        <v>3.2</v>
      </c>
      <c r="G1926" s="4" t="str">
        <f>HYPERLINK("http://141.218.60.56/~jnz1568/getInfo.php?workbook=18_15.xlsx&amp;sheet=U0&amp;row=1926&amp;col=7&amp;number=0.177&amp;sourceID=14","0.177")</f>
        <v>0.177</v>
      </c>
    </row>
    <row r="1927" spans="1:7">
      <c r="A1927" s="3"/>
      <c r="B1927" s="3"/>
      <c r="C1927" s="3"/>
      <c r="D1927" s="3"/>
      <c r="E1927" s="3">
        <v>4</v>
      </c>
      <c r="F1927" s="4" t="str">
        <f>HYPERLINK("http://141.218.60.56/~jnz1568/getInfo.php?workbook=18_15.xlsx&amp;sheet=U0&amp;row=1927&amp;col=6&amp;number=3.3&amp;sourceID=14","3.3")</f>
        <v>3.3</v>
      </c>
      <c r="G1927" s="4" t="str">
        <f>HYPERLINK("http://141.218.60.56/~jnz1568/getInfo.php?workbook=18_15.xlsx&amp;sheet=U0&amp;row=1927&amp;col=7&amp;number=0.175&amp;sourceID=14","0.175")</f>
        <v>0.175</v>
      </c>
    </row>
    <row r="1928" spans="1:7">
      <c r="A1928" s="3"/>
      <c r="B1928" s="3"/>
      <c r="C1928" s="3"/>
      <c r="D1928" s="3"/>
      <c r="E1928" s="3">
        <v>5</v>
      </c>
      <c r="F1928" s="4" t="str">
        <f>HYPERLINK("http://141.218.60.56/~jnz1568/getInfo.php?workbook=18_15.xlsx&amp;sheet=U0&amp;row=1928&amp;col=6&amp;number=3.4&amp;sourceID=14","3.4")</f>
        <v>3.4</v>
      </c>
      <c r="G1928" s="4" t="str">
        <f>HYPERLINK("http://141.218.60.56/~jnz1568/getInfo.php?workbook=18_15.xlsx&amp;sheet=U0&amp;row=1928&amp;col=7&amp;number=0.174&amp;sourceID=14","0.174")</f>
        <v>0.174</v>
      </c>
    </row>
    <row r="1929" spans="1:7">
      <c r="A1929" s="3"/>
      <c r="B1929" s="3"/>
      <c r="C1929" s="3"/>
      <c r="D1929" s="3"/>
      <c r="E1929" s="3">
        <v>6</v>
      </c>
      <c r="F1929" s="4" t="str">
        <f>HYPERLINK("http://141.218.60.56/~jnz1568/getInfo.php?workbook=18_15.xlsx&amp;sheet=U0&amp;row=1929&amp;col=6&amp;number=3.5&amp;sourceID=14","3.5")</f>
        <v>3.5</v>
      </c>
      <c r="G1929" s="4" t="str">
        <f>HYPERLINK("http://141.218.60.56/~jnz1568/getInfo.php?workbook=18_15.xlsx&amp;sheet=U0&amp;row=1929&amp;col=7&amp;number=0.172&amp;sourceID=14","0.172")</f>
        <v>0.172</v>
      </c>
    </row>
    <row r="1930" spans="1:7">
      <c r="A1930" s="3"/>
      <c r="B1930" s="3"/>
      <c r="C1930" s="3"/>
      <c r="D1930" s="3"/>
      <c r="E1930" s="3">
        <v>7</v>
      </c>
      <c r="F1930" s="4" t="str">
        <f>HYPERLINK("http://141.218.60.56/~jnz1568/getInfo.php?workbook=18_15.xlsx&amp;sheet=U0&amp;row=1930&amp;col=6&amp;number=3.6&amp;sourceID=14","3.6")</f>
        <v>3.6</v>
      </c>
      <c r="G1930" s="4" t="str">
        <f>HYPERLINK("http://141.218.60.56/~jnz1568/getInfo.php?workbook=18_15.xlsx&amp;sheet=U0&amp;row=1930&amp;col=7&amp;number=0.17&amp;sourceID=14","0.17")</f>
        <v>0.17</v>
      </c>
    </row>
    <row r="1931" spans="1:7">
      <c r="A1931" s="3"/>
      <c r="B1931" s="3"/>
      <c r="C1931" s="3"/>
      <c r="D1931" s="3"/>
      <c r="E1931" s="3">
        <v>8</v>
      </c>
      <c r="F1931" s="4" t="str">
        <f>HYPERLINK("http://141.218.60.56/~jnz1568/getInfo.php?workbook=18_15.xlsx&amp;sheet=U0&amp;row=1931&amp;col=6&amp;number=3.7&amp;sourceID=14","3.7")</f>
        <v>3.7</v>
      </c>
      <c r="G1931" s="4" t="str">
        <f>HYPERLINK("http://141.218.60.56/~jnz1568/getInfo.php?workbook=18_15.xlsx&amp;sheet=U0&amp;row=1931&amp;col=7&amp;number=0.167&amp;sourceID=14","0.167")</f>
        <v>0.167</v>
      </c>
    </row>
    <row r="1932" spans="1:7">
      <c r="A1932" s="3"/>
      <c r="B1932" s="3"/>
      <c r="C1932" s="3"/>
      <c r="D1932" s="3"/>
      <c r="E1932" s="3">
        <v>9</v>
      </c>
      <c r="F1932" s="4" t="str">
        <f>HYPERLINK("http://141.218.60.56/~jnz1568/getInfo.php?workbook=18_15.xlsx&amp;sheet=U0&amp;row=1932&amp;col=6&amp;number=3.8&amp;sourceID=14","3.8")</f>
        <v>3.8</v>
      </c>
      <c r="G1932" s="4" t="str">
        <f>HYPERLINK("http://141.218.60.56/~jnz1568/getInfo.php?workbook=18_15.xlsx&amp;sheet=U0&amp;row=1932&amp;col=7&amp;number=0.164&amp;sourceID=14","0.164")</f>
        <v>0.164</v>
      </c>
    </row>
    <row r="1933" spans="1:7">
      <c r="A1933" s="3"/>
      <c r="B1933" s="3"/>
      <c r="C1933" s="3"/>
      <c r="D1933" s="3"/>
      <c r="E1933" s="3">
        <v>10</v>
      </c>
      <c r="F1933" s="4" t="str">
        <f>HYPERLINK("http://141.218.60.56/~jnz1568/getInfo.php?workbook=18_15.xlsx&amp;sheet=U0&amp;row=1933&amp;col=6&amp;number=3.9&amp;sourceID=14","3.9")</f>
        <v>3.9</v>
      </c>
      <c r="G1933" s="4" t="str">
        <f>HYPERLINK("http://141.218.60.56/~jnz1568/getInfo.php?workbook=18_15.xlsx&amp;sheet=U0&amp;row=1933&amp;col=7&amp;number=0.161&amp;sourceID=14","0.161")</f>
        <v>0.161</v>
      </c>
    </row>
    <row r="1934" spans="1:7">
      <c r="A1934" s="3"/>
      <c r="B1934" s="3"/>
      <c r="C1934" s="3"/>
      <c r="D1934" s="3"/>
      <c r="E1934" s="3">
        <v>11</v>
      </c>
      <c r="F1934" s="4" t="str">
        <f>HYPERLINK("http://141.218.60.56/~jnz1568/getInfo.php?workbook=18_15.xlsx&amp;sheet=U0&amp;row=1934&amp;col=6&amp;number=4&amp;sourceID=14","4")</f>
        <v>4</v>
      </c>
      <c r="G1934" s="4" t="str">
        <f>HYPERLINK("http://141.218.60.56/~jnz1568/getInfo.php?workbook=18_15.xlsx&amp;sheet=U0&amp;row=1934&amp;col=7&amp;number=0.158&amp;sourceID=14","0.158")</f>
        <v>0.158</v>
      </c>
    </row>
    <row r="1935" spans="1:7">
      <c r="A1935" s="3"/>
      <c r="B1935" s="3"/>
      <c r="C1935" s="3"/>
      <c r="D1935" s="3"/>
      <c r="E1935" s="3">
        <v>12</v>
      </c>
      <c r="F1935" s="4" t="str">
        <f>HYPERLINK("http://141.218.60.56/~jnz1568/getInfo.php?workbook=18_15.xlsx&amp;sheet=U0&amp;row=1935&amp;col=6&amp;number=4.1&amp;sourceID=14","4.1")</f>
        <v>4.1</v>
      </c>
      <c r="G1935" s="4" t="str">
        <f>HYPERLINK("http://141.218.60.56/~jnz1568/getInfo.php?workbook=18_15.xlsx&amp;sheet=U0&amp;row=1935&amp;col=7&amp;number=0.156&amp;sourceID=14","0.156")</f>
        <v>0.156</v>
      </c>
    </row>
    <row r="1936" spans="1:7">
      <c r="A1936" s="3"/>
      <c r="B1936" s="3"/>
      <c r="C1936" s="3"/>
      <c r="D1936" s="3"/>
      <c r="E1936" s="3">
        <v>13</v>
      </c>
      <c r="F1936" s="4" t="str">
        <f>HYPERLINK("http://141.218.60.56/~jnz1568/getInfo.php?workbook=18_15.xlsx&amp;sheet=U0&amp;row=1936&amp;col=6&amp;number=4.2&amp;sourceID=14","4.2")</f>
        <v>4.2</v>
      </c>
      <c r="G1936" s="4" t="str">
        <f>HYPERLINK("http://141.218.60.56/~jnz1568/getInfo.php?workbook=18_15.xlsx&amp;sheet=U0&amp;row=1936&amp;col=7&amp;number=0.154&amp;sourceID=14","0.154")</f>
        <v>0.154</v>
      </c>
    </row>
    <row r="1937" spans="1:7">
      <c r="A1937" s="3"/>
      <c r="B1937" s="3"/>
      <c r="C1937" s="3"/>
      <c r="D1937" s="3"/>
      <c r="E1937" s="3">
        <v>14</v>
      </c>
      <c r="F1937" s="4" t="str">
        <f>HYPERLINK("http://141.218.60.56/~jnz1568/getInfo.php?workbook=18_15.xlsx&amp;sheet=U0&amp;row=1937&amp;col=6&amp;number=4.3&amp;sourceID=14","4.3")</f>
        <v>4.3</v>
      </c>
      <c r="G1937" s="4" t="str">
        <f>HYPERLINK("http://141.218.60.56/~jnz1568/getInfo.php?workbook=18_15.xlsx&amp;sheet=U0&amp;row=1937&amp;col=7&amp;number=0.152&amp;sourceID=14","0.152")</f>
        <v>0.152</v>
      </c>
    </row>
    <row r="1938" spans="1:7">
      <c r="A1938" s="3"/>
      <c r="B1938" s="3"/>
      <c r="C1938" s="3"/>
      <c r="D1938" s="3"/>
      <c r="E1938" s="3">
        <v>15</v>
      </c>
      <c r="F1938" s="4" t="str">
        <f>HYPERLINK("http://141.218.60.56/~jnz1568/getInfo.php?workbook=18_15.xlsx&amp;sheet=U0&amp;row=1938&amp;col=6&amp;number=4.4&amp;sourceID=14","4.4")</f>
        <v>4.4</v>
      </c>
      <c r="G1938" s="4" t="str">
        <f>HYPERLINK("http://141.218.60.56/~jnz1568/getInfo.php?workbook=18_15.xlsx&amp;sheet=U0&amp;row=1938&amp;col=7&amp;number=0.149&amp;sourceID=14","0.149")</f>
        <v>0.149</v>
      </c>
    </row>
    <row r="1939" spans="1:7">
      <c r="A1939" s="3"/>
      <c r="B1939" s="3"/>
      <c r="C1939" s="3"/>
      <c r="D1939" s="3"/>
      <c r="E1939" s="3">
        <v>16</v>
      </c>
      <c r="F1939" s="4" t="str">
        <f>HYPERLINK("http://141.218.60.56/~jnz1568/getInfo.php?workbook=18_15.xlsx&amp;sheet=U0&amp;row=1939&amp;col=6&amp;number=4.5&amp;sourceID=14","4.5")</f>
        <v>4.5</v>
      </c>
      <c r="G1939" s="4" t="str">
        <f>HYPERLINK("http://141.218.60.56/~jnz1568/getInfo.php?workbook=18_15.xlsx&amp;sheet=U0&amp;row=1939&amp;col=7&amp;number=0.144&amp;sourceID=14","0.144")</f>
        <v>0.144</v>
      </c>
    </row>
    <row r="1940" spans="1:7">
      <c r="A1940" s="3"/>
      <c r="B1940" s="3"/>
      <c r="C1940" s="3"/>
      <c r="D1940" s="3"/>
      <c r="E1940" s="3">
        <v>17</v>
      </c>
      <c r="F1940" s="4" t="str">
        <f>HYPERLINK("http://141.218.60.56/~jnz1568/getInfo.php?workbook=18_15.xlsx&amp;sheet=U0&amp;row=1940&amp;col=6&amp;number=4.6&amp;sourceID=14","4.6")</f>
        <v>4.6</v>
      </c>
      <c r="G1940" s="4" t="str">
        <f>HYPERLINK("http://141.218.60.56/~jnz1568/getInfo.php?workbook=18_15.xlsx&amp;sheet=U0&amp;row=1940&amp;col=7&amp;number=0.139&amp;sourceID=14","0.139")</f>
        <v>0.139</v>
      </c>
    </row>
    <row r="1941" spans="1:7">
      <c r="A1941" s="3"/>
      <c r="B1941" s="3"/>
      <c r="C1941" s="3"/>
      <c r="D1941" s="3"/>
      <c r="E1941" s="3">
        <v>18</v>
      </c>
      <c r="F1941" s="4" t="str">
        <f>HYPERLINK("http://141.218.60.56/~jnz1568/getInfo.php?workbook=18_15.xlsx&amp;sheet=U0&amp;row=1941&amp;col=6&amp;number=4.7&amp;sourceID=14","4.7")</f>
        <v>4.7</v>
      </c>
      <c r="G1941" s="4" t="str">
        <f>HYPERLINK("http://141.218.60.56/~jnz1568/getInfo.php?workbook=18_15.xlsx&amp;sheet=U0&amp;row=1941&amp;col=7&amp;number=0.133&amp;sourceID=14","0.133")</f>
        <v>0.133</v>
      </c>
    </row>
    <row r="1942" spans="1:7">
      <c r="A1942" s="3"/>
      <c r="B1942" s="3"/>
      <c r="C1942" s="3"/>
      <c r="D1942" s="3"/>
      <c r="E1942" s="3">
        <v>19</v>
      </c>
      <c r="F1942" s="4" t="str">
        <f>HYPERLINK("http://141.218.60.56/~jnz1568/getInfo.php?workbook=18_15.xlsx&amp;sheet=U0&amp;row=1942&amp;col=6&amp;number=4.8&amp;sourceID=14","4.8")</f>
        <v>4.8</v>
      </c>
      <c r="G1942" s="4" t="str">
        <f>HYPERLINK("http://141.218.60.56/~jnz1568/getInfo.php?workbook=18_15.xlsx&amp;sheet=U0&amp;row=1942&amp;col=7&amp;number=0.128&amp;sourceID=14","0.128")</f>
        <v>0.128</v>
      </c>
    </row>
    <row r="1943" spans="1:7">
      <c r="A1943" s="3"/>
      <c r="B1943" s="3"/>
      <c r="C1943" s="3"/>
      <c r="D1943" s="3"/>
      <c r="E1943" s="3">
        <v>20</v>
      </c>
      <c r="F1943" s="4" t="str">
        <f>HYPERLINK("http://141.218.60.56/~jnz1568/getInfo.php?workbook=18_15.xlsx&amp;sheet=U0&amp;row=1943&amp;col=6&amp;number=4.9&amp;sourceID=14","4.9")</f>
        <v>4.9</v>
      </c>
      <c r="G1943" s="4" t="str">
        <f>HYPERLINK("http://141.218.60.56/~jnz1568/getInfo.php?workbook=18_15.xlsx&amp;sheet=U0&amp;row=1943&amp;col=7&amp;number=0.123&amp;sourceID=14","0.123")</f>
        <v>0.123</v>
      </c>
    </row>
    <row r="1944" spans="1:7">
      <c r="A1944" s="3">
        <v>18</v>
      </c>
      <c r="B1944" s="3">
        <v>15</v>
      </c>
      <c r="C1944" s="3">
        <v>4</v>
      </c>
      <c r="D1944" s="3">
        <v>19</v>
      </c>
      <c r="E1944" s="3">
        <v>1</v>
      </c>
      <c r="F1944" s="4" t="str">
        <f>HYPERLINK("http://141.218.60.56/~jnz1568/getInfo.php?workbook=18_15.xlsx&amp;sheet=U0&amp;row=1944&amp;col=6&amp;number=3&amp;sourceID=14","3")</f>
        <v>3</v>
      </c>
      <c r="G1944" s="4" t="str">
        <f>HYPERLINK("http://141.218.60.56/~jnz1568/getInfo.php?workbook=18_15.xlsx&amp;sheet=U0&amp;row=1944&amp;col=7&amp;number=0.312&amp;sourceID=14","0.312")</f>
        <v>0.312</v>
      </c>
    </row>
    <row r="1945" spans="1:7">
      <c r="A1945" s="3"/>
      <c r="B1945" s="3"/>
      <c r="C1945" s="3"/>
      <c r="D1945" s="3"/>
      <c r="E1945" s="3">
        <v>2</v>
      </c>
      <c r="F1945" s="4" t="str">
        <f>HYPERLINK("http://141.218.60.56/~jnz1568/getInfo.php?workbook=18_15.xlsx&amp;sheet=U0&amp;row=1945&amp;col=6&amp;number=3.1&amp;sourceID=14","3.1")</f>
        <v>3.1</v>
      </c>
      <c r="G1945" s="4" t="str">
        <f>HYPERLINK("http://141.218.60.56/~jnz1568/getInfo.php?workbook=18_15.xlsx&amp;sheet=U0&amp;row=1945&amp;col=7&amp;number=0.311&amp;sourceID=14","0.311")</f>
        <v>0.311</v>
      </c>
    </row>
    <row r="1946" spans="1:7">
      <c r="A1946" s="3"/>
      <c r="B1946" s="3"/>
      <c r="C1946" s="3"/>
      <c r="D1946" s="3"/>
      <c r="E1946" s="3">
        <v>3</v>
      </c>
      <c r="F1946" s="4" t="str">
        <f>HYPERLINK("http://141.218.60.56/~jnz1568/getInfo.php?workbook=18_15.xlsx&amp;sheet=U0&amp;row=1946&amp;col=6&amp;number=3.2&amp;sourceID=14","3.2")</f>
        <v>3.2</v>
      </c>
      <c r="G1946" s="4" t="str">
        <f>HYPERLINK("http://141.218.60.56/~jnz1568/getInfo.php?workbook=18_15.xlsx&amp;sheet=U0&amp;row=1946&amp;col=7&amp;number=0.309&amp;sourceID=14","0.309")</f>
        <v>0.309</v>
      </c>
    </row>
    <row r="1947" spans="1:7">
      <c r="A1947" s="3"/>
      <c r="B1947" s="3"/>
      <c r="C1947" s="3"/>
      <c r="D1947" s="3"/>
      <c r="E1947" s="3">
        <v>4</v>
      </c>
      <c r="F1947" s="4" t="str">
        <f>HYPERLINK("http://141.218.60.56/~jnz1568/getInfo.php?workbook=18_15.xlsx&amp;sheet=U0&amp;row=1947&amp;col=6&amp;number=3.3&amp;sourceID=14","3.3")</f>
        <v>3.3</v>
      </c>
      <c r="G1947" s="4" t="str">
        <f>HYPERLINK("http://141.218.60.56/~jnz1568/getInfo.php?workbook=18_15.xlsx&amp;sheet=U0&amp;row=1947&amp;col=7&amp;number=0.307&amp;sourceID=14","0.307")</f>
        <v>0.307</v>
      </c>
    </row>
    <row r="1948" spans="1:7">
      <c r="A1948" s="3"/>
      <c r="B1948" s="3"/>
      <c r="C1948" s="3"/>
      <c r="D1948" s="3"/>
      <c r="E1948" s="3">
        <v>5</v>
      </c>
      <c r="F1948" s="4" t="str">
        <f>HYPERLINK("http://141.218.60.56/~jnz1568/getInfo.php?workbook=18_15.xlsx&amp;sheet=U0&amp;row=1948&amp;col=6&amp;number=3.4&amp;sourceID=14","3.4")</f>
        <v>3.4</v>
      </c>
      <c r="G1948" s="4" t="str">
        <f>HYPERLINK("http://141.218.60.56/~jnz1568/getInfo.php?workbook=18_15.xlsx&amp;sheet=U0&amp;row=1948&amp;col=7&amp;number=0.305&amp;sourceID=14","0.305")</f>
        <v>0.305</v>
      </c>
    </row>
    <row r="1949" spans="1:7">
      <c r="A1949" s="3"/>
      <c r="B1949" s="3"/>
      <c r="C1949" s="3"/>
      <c r="D1949" s="3"/>
      <c r="E1949" s="3">
        <v>6</v>
      </c>
      <c r="F1949" s="4" t="str">
        <f>HYPERLINK("http://141.218.60.56/~jnz1568/getInfo.php?workbook=18_15.xlsx&amp;sheet=U0&amp;row=1949&amp;col=6&amp;number=3.5&amp;sourceID=14","3.5")</f>
        <v>3.5</v>
      </c>
      <c r="G1949" s="4" t="str">
        <f>HYPERLINK("http://141.218.60.56/~jnz1568/getInfo.php?workbook=18_15.xlsx&amp;sheet=U0&amp;row=1949&amp;col=7&amp;number=0.302&amp;sourceID=14","0.302")</f>
        <v>0.302</v>
      </c>
    </row>
    <row r="1950" spans="1:7">
      <c r="A1950" s="3"/>
      <c r="B1950" s="3"/>
      <c r="C1950" s="3"/>
      <c r="D1950" s="3"/>
      <c r="E1950" s="3">
        <v>7</v>
      </c>
      <c r="F1950" s="4" t="str">
        <f>HYPERLINK("http://141.218.60.56/~jnz1568/getInfo.php?workbook=18_15.xlsx&amp;sheet=U0&amp;row=1950&amp;col=6&amp;number=3.6&amp;sourceID=14","3.6")</f>
        <v>3.6</v>
      </c>
      <c r="G1950" s="4" t="str">
        <f>HYPERLINK("http://141.218.60.56/~jnz1568/getInfo.php?workbook=18_15.xlsx&amp;sheet=U0&amp;row=1950&amp;col=7&amp;number=0.299&amp;sourceID=14","0.299")</f>
        <v>0.299</v>
      </c>
    </row>
    <row r="1951" spans="1:7">
      <c r="A1951" s="3"/>
      <c r="B1951" s="3"/>
      <c r="C1951" s="3"/>
      <c r="D1951" s="3"/>
      <c r="E1951" s="3">
        <v>8</v>
      </c>
      <c r="F1951" s="4" t="str">
        <f>HYPERLINK("http://141.218.60.56/~jnz1568/getInfo.php?workbook=18_15.xlsx&amp;sheet=U0&amp;row=1951&amp;col=6&amp;number=3.7&amp;sourceID=14","3.7")</f>
        <v>3.7</v>
      </c>
      <c r="G1951" s="4" t="str">
        <f>HYPERLINK("http://141.218.60.56/~jnz1568/getInfo.php?workbook=18_15.xlsx&amp;sheet=U0&amp;row=1951&amp;col=7&amp;number=0.295&amp;sourceID=14","0.295")</f>
        <v>0.295</v>
      </c>
    </row>
    <row r="1952" spans="1:7">
      <c r="A1952" s="3"/>
      <c r="B1952" s="3"/>
      <c r="C1952" s="3"/>
      <c r="D1952" s="3"/>
      <c r="E1952" s="3">
        <v>9</v>
      </c>
      <c r="F1952" s="4" t="str">
        <f>HYPERLINK("http://141.218.60.56/~jnz1568/getInfo.php?workbook=18_15.xlsx&amp;sheet=U0&amp;row=1952&amp;col=6&amp;number=3.8&amp;sourceID=14","3.8")</f>
        <v>3.8</v>
      </c>
      <c r="G1952" s="4" t="str">
        <f>HYPERLINK("http://141.218.60.56/~jnz1568/getInfo.php?workbook=18_15.xlsx&amp;sheet=U0&amp;row=1952&amp;col=7&amp;number=0.291&amp;sourceID=14","0.291")</f>
        <v>0.291</v>
      </c>
    </row>
    <row r="1953" spans="1:7">
      <c r="A1953" s="3"/>
      <c r="B1953" s="3"/>
      <c r="C1953" s="3"/>
      <c r="D1953" s="3"/>
      <c r="E1953" s="3">
        <v>10</v>
      </c>
      <c r="F1953" s="4" t="str">
        <f>HYPERLINK("http://141.218.60.56/~jnz1568/getInfo.php?workbook=18_15.xlsx&amp;sheet=U0&amp;row=1953&amp;col=6&amp;number=3.9&amp;sourceID=14","3.9")</f>
        <v>3.9</v>
      </c>
      <c r="G1953" s="4" t="str">
        <f>HYPERLINK("http://141.218.60.56/~jnz1568/getInfo.php?workbook=18_15.xlsx&amp;sheet=U0&amp;row=1953&amp;col=7&amp;number=0.286&amp;sourceID=14","0.286")</f>
        <v>0.286</v>
      </c>
    </row>
    <row r="1954" spans="1:7">
      <c r="A1954" s="3"/>
      <c r="B1954" s="3"/>
      <c r="C1954" s="3"/>
      <c r="D1954" s="3"/>
      <c r="E1954" s="3">
        <v>11</v>
      </c>
      <c r="F1954" s="4" t="str">
        <f>HYPERLINK("http://141.218.60.56/~jnz1568/getInfo.php?workbook=18_15.xlsx&amp;sheet=U0&amp;row=1954&amp;col=6&amp;number=4&amp;sourceID=14","4")</f>
        <v>4</v>
      </c>
      <c r="G1954" s="4" t="str">
        <f>HYPERLINK("http://141.218.60.56/~jnz1568/getInfo.php?workbook=18_15.xlsx&amp;sheet=U0&amp;row=1954&amp;col=7&amp;number=0.281&amp;sourceID=14","0.281")</f>
        <v>0.281</v>
      </c>
    </row>
    <row r="1955" spans="1:7">
      <c r="A1955" s="3"/>
      <c r="B1955" s="3"/>
      <c r="C1955" s="3"/>
      <c r="D1955" s="3"/>
      <c r="E1955" s="3">
        <v>12</v>
      </c>
      <c r="F1955" s="4" t="str">
        <f>HYPERLINK("http://141.218.60.56/~jnz1568/getInfo.php?workbook=18_15.xlsx&amp;sheet=U0&amp;row=1955&amp;col=6&amp;number=4.1&amp;sourceID=14","4.1")</f>
        <v>4.1</v>
      </c>
      <c r="G1955" s="4" t="str">
        <f>HYPERLINK("http://141.218.60.56/~jnz1568/getInfo.php?workbook=18_15.xlsx&amp;sheet=U0&amp;row=1955&amp;col=7&amp;number=0.276&amp;sourceID=14","0.276")</f>
        <v>0.276</v>
      </c>
    </row>
    <row r="1956" spans="1:7">
      <c r="A1956" s="3"/>
      <c r="B1956" s="3"/>
      <c r="C1956" s="3"/>
      <c r="D1956" s="3"/>
      <c r="E1956" s="3">
        <v>13</v>
      </c>
      <c r="F1956" s="4" t="str">
        <f>HYPERLINK("http://141.218.60.56/~jnz1568/getInfo.php?workbook=18_15.xlsx&amp;sheet=U0&amp;row=1956&amp;col=6&amp;number=4.2&amp;sourceID=14","4.2")</f>
        <v>4.2</v>
      </c>
      <c r="G1956" s="4" t="str">
        <f>HYPERLINK("http://141.218.60.56/~jnz1568/getInfo.php?workbook=18_15.xlsx&amp;sheet=U0&amp;row=1956&amp;col=7&amp;number=0.272&amp;sourceID=14","0.272")</f>
        <v>0.272</v>
      </c>
    </row>
    <row r="1957" spans="1:7">
      <c r="A1957" s="3"/>
      <c r="B1957" s="3"/>
      <c r="C1957" s="3"/>
      <c r="D1957" s="3"/>
      <c r="E1957" s="3">
        <v>14</v>
      </c>
      <c r="F1957" s="4" t="str">
        <f>HYPERLINK("http://141.218.60.56/~jnz1568/getInfo.php?workbook=18_15.xlsx&amp;sheet=U0&amp;row=1957&amp;col=6&amp;number=4.3&amp;sourceID=14","4.3")</f>
        <v>4.3</v>
      </c>
      <c r="G1957" s="4" t="str">
        <f>HYPERLINK("http://141.218.60.56/~jnz1568/getInfo.php?workbook=18_15.xlsx&amp;sheet=U0&amp;row=1957&amp;col=7&amp;number=0.268&amp;sourceID=14","0.268")</f>
        <v>0.268</v>
      </c>
    </row>
    <row r="1958" spans="1:7">
      <c r="A1958" s="3"/>
      <c r="B1958" s="3"/>
      <c r="C1958" s="3"/>
      <c r="D1958" s="3"/>
      <c r="E1958" s="3">
        <v>15</v>
      </c>
      <c r="F1958" s="4" t="str">
        <f>HYPERLINK("http://141.218.60.56/~jnz1568/getInfo.php?workbook=18_15.xlsx&amp;sheet=U0&amp;row=1958&amp;col=6&amp;number=4.4&amp;sourceID=14","4.4")</f>
        <v>4.4</v>
      </c>
      <c r="G1958" s="4" t="str">
        <f>HYPERLINK("http://141.218.60.56/~jnz1568/getInfo.php?workbook=18_15.xlsx&amp;sheet=U0&amp;row=1958&amp;col=7&amp;number=0.261&amp;sourceID=14","0.261")</f>
        <v>0.261</v>
      </c>
    </row>
    <row r="1959" spans="1:7">
      <c r="A1959" s="3"/>
      <c r="B1959" s="3"/>
      <c r="C1959" s="3"/>
      <c r="D1959" s="3"/>
      <c r="E1959" s="3">
        <v>16</v>
      </c>
      <c r="F1959" s="4" t="str">
        <f>HYPERLINK("http://141.218.60.56/~jnz1568/getInfo.php?workbook=18_15.xlsx&amp;sheet=U0&amp;row=1959&amp;col=6&amp;number=4.5&amp;sourceID=14","4.5")</f>
        <v>4.5</v>
      </c>
      <c r="G1959" s="4" t="str">
        <f>HYPERLINK("http://141.218.60.56/~jnz1568/getInfo.php?workbook=18_15.xlsx&amp;sheet=U0&amp;row=1959&amp;col=7&amp;number=0.252&amp;sourceID=14","0.252")</f>
        <v>0.252</v>
      </c>
    </row>
    <row r="1960" spans="1:7">
      <c r="A1960" s="3"/>
      <c r="B1960" s="3"/>
      <c r="C1960" s="3"/>
      <c r="D1960" s="3"/>
      <c r="E1960" s="3">
        <v>17</v>
      </c>
      <c r="F1960" s="4" t="str">
        <f>HYPERLINK("http://141.218.60.56/~jnz1568/getInfo.php?workbook=18_15.xlsx&amp;sheet=U0&amp;row=1960&amp;col=6&amp;number=4.6&amp;sourceID=14","4.6")</f>
        <v>4.6</v>
      </c>
      <c r="G1960" s="4" t="str">
        <f>HYPERLINK("http://141.218.60.56/~jnz1568/getInfo.php?workbook=18_15.xlsx&amp;sheet=U0&amp;row=1960&amp;col=7&amp;number=0.241&amp;sourceID=14","0.241")</f>
        <v>0.241</v>
      </c>
    </row>
    <row r="1961" spans="1:7">
      <c r="A1961" s="3"/>
      <c r="B1961" s="3"/>
      <c r="C1961" s="3"/>
      <c r="D1961" s="3"/>
      <c r="E1961" s="3">
        <v>18</v>
      </c>
      <c r="F1961" s="4" t="str">
        <f>HYPERLINK("http://141.218.60.56/~jnz1568/getInfo.php?workbook=18_15.xlsx&amp;sheet=U0&amp;row=1961&amp;col=6&amp;number=4.7&amp;sourceID=14","4.7")</f>
        <v>4.7</v>
      </c>
      <c r="G1961" s="4" t="str">
        <f>HYPERLINK("http://141.218.60.56/~jnz1568/getInfo.php?workbook=18_15.xlsx&amp;sheet=U0&amp;row=1961&amp;col=7&amp;number=0.23&amp;sourceID=14","0.23")</f>
        <v>0.23</v>
      </c>
    </row>
    <row r="1962" spans="1:7">
      <c r="A1962" s="3"/>
      <c r="B1962" s="3"/>
      <c r="C1962" s="3"/>
      <c r="D1962" s="3"/>
      <c r="E1962" s="3">
        <v>19</v>
      </c>
      <c r="F1962" s="4" t="str">
        <f>HYPERLINK("http://141.218.60.56/~jnz1568/getInfo.php?workbook=18_15.xlsx&amp;sheet=U0&amp;row=1962&amp;col=6&amp;number=4.8&amp;sourceID=14","4.8")</f>
        <v>4.8</v>
      </c>
      <c r="G1962" s="4" t="str">
        <f>HYPERLINK("http://141.218.60.56/~jnz1568/getInfo.php?workbook=18_15.xlsx&amp;sheet=U0&amp;row=1962&amp;col=7&amp;number=0.22&amp;sourceID=14","0.22")</f>
        <v>0.22</v>
      </c>
    </row>
    <row r="1963" spans="1:7">
      <c r="A1963" s="3"/>
      <c r="B1963" s="3"/>
      <c r="C1963" s="3"/>
      <c r="D1963" s="3"/>
      <c r="E1963" s="3">
        <v>20</v>
      </c>
      <c r="F1963" s="4" t="str">
        <f>HYPERLINK("http://141.218.60.56/~jnz1568/getInfo.php?workbook=18_15.xlsx&amp;sheet=U0&amp;row=1963&amp;col=6&amp;number=4.9&amp;sourceID=14","4.9")</f>
        <v>4.9</v>
      </c>
      <c r="G1963" s="4" t="str">
        <f>HYPERLINK("http://141.218.60.56/~jnz1568/getInfo.php?workbook=18_15.xlsx&amp;sheet=U0&amp;row=1963&amp;col=7&amp;number=0.209&amp;sourceID=14","0.209")</f>
        <v>0.209</v>
      </c>
    </row>
    <row r="1964" spans="1:7">
      <c r="A1964" s="3">
        <v>18</v>
      </c>
      <c r="B1964" s="3">
        <v>15</v>
      </c>
      <c r="C1964" s="3">
        <v>4</v>
      </c>
      <c r="D1964" s="3">
        <v>20</v>
      </c>
      <c r="E1964" s="3">
        <v>1</v>
      </c>
      <c r="F1964" s="4" t="str">
        <f>HYPERLINK("http://141.218.60.56/~jnz1568/getInfo.php?workbook=18_15.xlsx&amp;sheet=U0&amp;row=1964&amp;col=6&amp;number=3&amp;sourceID=14","3")</f>
        <v>3</v>
      </c>
      <c r="G1964" s="4" t="str">
        <f>HYPERLINK("http://141.218.60.56/~jnz1568/getInfo.php?workbook=18_15.xlsx&amp;sheet=U0&amp;row=1964&amp;col=7&amp;number=0.356&amp;sourceID=14","0.356")</f>
        <v>0.356</v>
      </c>
    </row>
    <row r="1965" spans="1:7">
      <c r="A1965" s="3"/>
      <c r="B1965" s="3"/>
      <c r="C1965" s="3"/>
      <c r="D1965" s="3"/>
      <c r="E1965" s="3">
        <v>2</v>
      </c>
      <c r="F1965" s="4" t="str">
        <f>HYPERLINK("http://141.218.60.56/~jnz1568/getInfo.php?workbook=18_15.xlsx&amp;sheet=U0&amp;row=1965&amp;col=6&amp;number=3.1&amp;sourceID=14","3.1")</f>
        <v>3.1</v>
      </c>
      <c r="G1965" s="4" t="str">
        <f>HYPERLINK("http://141.218.60.56/~jnz1568/getInfo.php?workbook=18_15.xlsx&amp;sheet=U0&amp;row=1965&amp;col=7&amp;number=0.355&amp;sourceID=14","0.355")</f>
        <v>0.355</v>
      </c>
    </row>
    <row r="1966" spans="1:7">
      <c r="A1966" s="3"/>
      <c r="B1966" s="3"/>
      <c r="C1966" s="3"/>
      <c r="D1966" s="3"/>
      <c r="E1966" s="3">
        <v>3</v>
      </c>
      <c r="F1966" s="4" t="str">
        <f>HYPERLINK("http://141.218.60.56/~jnz1568/getInfo.php?workbook=18_15.xlsx&amp;sheet=U0&amp;row=1966&amp;col=6&amp;number=3.2&amp;sourceID=14","3.2")</f>
        <v>3.2</v>
      </c>
      <c r="G1966" s="4" t="str">
        <f>HYPERLINK("http://141.218.60.56/~jnz1568/getInfo.php?workbook=18_15.xlsx&amp;sheet=U0&amp;row=1966&amp;col=7&amp;number=0.354&amp;sourceID=14","0.354")</f>
        <v>0.354</v>
      </c>
    </row>
    <row r="1967" spans="1:7">
      <c r="A1967" s="3"/>
      <c r="B1967" s="3"/>
      <c r="C1967" s="3"/>
      <c r="D1967" s="3"/>
      <c r="E1967" s="3">
        <v>4</v>
      </c>
      <c r="F1967" s="4" t="str">
        <f>HYPERLINK("http://141.218.60.56/~jnz1568/getInfo.php?workbook=18_15.xlsx&amp;sheet=U0&amp;row=1967&amp;col=6&amp;number=3.3&amp;sourceID=14","3.3")</f>
        <v>3.3</v>
      </c>
      <c r="G1967" s="4" t="str">
        <f>HYPERLINK("http://141.218.60.56/~jnz1568/getInfo.php?workbook=18_15.xlsx&amp;sheet=U0&amp;row=1967&amp;col=7&amp;number=0.353&amp;sourceID=14","0.353")</f>
        <v>0.353</v>
      </c>
    </row>
    <row r="1968" spans="1:7">
      <c r="A1968" s="3"/>
      <c r="B1968" s="3"/>
      <c r="C1968" s="3"/>
      <c r="D1968" s="3"/>
      <c r="E1968" s="3">
        <v>5</v>
      </c>
      <c r="F1968" s="4" t="str">
        <f>HYPERLINK("http://141.218.60.56/~jnz1568/getInfo.php?workbook=18_15.xlsx&amp;sheet=U0&amp;row=1968&amp;col=6&amp;number=3.4&amp;sourceID=14","3.4")</f>
        <v>3.4</v>
      </c>
      <c r="G1968" s="4" t="str">
        <f>HYPERLINK("http://141.218.60.56/~jnz1568/getInfo.php?workbook=18_15.xlsx&amp;sheet=U0&amp;row=1968&amp;col=7&amp;number=0.352&amp;sourceID=14","0.352")</f>
        <v>0.352</v>
      </c>
    </row>
    <row r="1969" spans="1:7">
      <c r="A1969" s="3"/>
      <c r="B1969" s="3"/>
      <c r="C1969" s="3"/>
      <c r="D1969" s="3"/>
      <c r="E1969" s="3">
        <v>6</v>
      </c>
      <c r="F1969" s="4" t="str">
        <f>HYPERLINK("http://141.218.60.56/~jnz1568/getInfo.php?workbook=18_15.xlsx&amp;sheet=U0&amp;row=1969&amp;col=6&amp;number=3.5&amp;sourceID=14","3.5")</f>
        <v>3.5</v>
      </c>
      <c r="G1969" s="4" t="str">
        <f>HYPERLINK("http://141.218.60.56/~jnz1568/getInfo.php?workbook=18_15.xlsx&amp;sheet=U0&amp;row=1969&amp;col=7&amp;number=0.35&amp;sourceID=14","0.35")</f>
        <v>0.35</v>
      </c>
    </row>
    <row r="1970" spans="1:7">
      <c r="A1970" s="3"/>
      <c r="B1970" s="3"/>
      <c r="C1970" s="3"/>
      <c r="D1970" s="3"/>
      <c r="E1970" s="3">
        <v>7</v>
      </c>
      <c r="F1970" s="4" t="str">
        <f>HYPERLINK("http://141.218.60.56/~jnz1568/getInfo.php?workbook=18_15.xlsx&amp;sheet=U0&amp;row=1970&amp;col=6&amp;number=3.6&amp;sourceID=14","3.6")</f>
        <v>3.6</v>
      </c>
      <c r="G1970" s="4" t="str">
        <f>HYPERLINK("http://141.218.60.56/~jnz1568/getInfo.php?workbook=18_15.xlsx&amp;sheet=U0&amp;row=1970&amp;col=7&amp;number=0.348&amp;sourceID=14","0.348")</f>
        <v>0.348</v>
      </c>
    </row>
    <row r="1971" spans="1:7">
      <c r="A1971" s="3"/>
      <c r="B1971" s="3"/>
      <c r="C1971" s="3"/>
      <c r="D1971" s="3"/>
      <c r="E1971" s="3">
        <v>8</v>
      </c>
      <c r="F1971" s="4" t="str">
        <f>HYPERLINK("http://141.218.60.56/~jnz1568/getInfo.php?workbook=18_15.xlsx&amp;sheet=U0&amp;row=1971&amp;col=6&amp;number=3.7&amp;sourceID=14","3.7")</f>
        <v>3.7</v>
      </c>
      <c r="G1971" s="4" t="str">
        <f>HYPERLINK("http://141.218.60.56/~jnz1568/getInfo.php?workbook=18_15.xlsx&amp;sheet=U0&amp;row=1971&amp;col=7&amp;number=0.346&amp;sourceID=14","0.346")</f>
        <v>0.346</v>
      </c>
    </row>
    <row r="1972" spans="1:7">
      <c r="A1972" s="3"/>
      <c r="B1972" s="3"/>
      <c r="C1972" s="3"/>
      <c r="D1972" s="3"/>
      <c r="E1972" s="3">
        <v>9</v>
      </c>
      <c r="F1972" s="4" t="str">
        <f>HYPERLINK("http://141.218.60.56/~jnz1568/getInfo.php?workbook=18_15.xlsx&amp;sheet=U0&amp;row=1972&amp;col=6&amp;number=3.8&amp;sourceID=14","3.8")</f>
        <v>3.8</v>
      </c>
      <c r="G1972" s="4" t="str">
        <f>HYPERLINK("http://141.218.60.56/~jnz1568/getInfo.php?workbook=18_15.xlsx&amp;sheet=U0&amp;row=1972&amp;col=7&amp;number=0.343&amp;sourceID=14","0.343")</f>
        <v>0.343</v>
      </c>
    </row>
    <row r="1973" spans="1:7">
      <c r="A1973" s="3"/>
      <c r="B1973" s="3"/>
      <c r="C1973" s="3"/>
      <c r="D1973" s="3"/>
      <c r="E1973" s="3">
        <v>10</v>
      </c>
      <c r="F1973" s="4" t="str">
        <f>HYPERLINK("http://141.218.60.56/~jnz1568/getInfo.php?workbook=18_15.xlsx&amp;sheet=U0&amp;row=1973&amp;col=6&amp;number=3.9&amp;sourceID=14","3.9")</f>
        <v>3.9</v>
      </c>
      <c r="G1973" s="4" t="str">
        <f>HYPERLINK("http://141.218.60.56/~jnz1568/getInfo.php?workbook=18_15.xlsx&amp;sheet=U0&amp;row=1973&amp;col=7&amp;number=0.339&amp;sourceID=14","0.339")</f>
        <v>0.339</v>
      </c>
    </row>
    <row r="1974" spans="1:7">
      <c r="A1974" s="3"/>
      <c r="B1974" s="3"/>
      <c r="C1974" s="3"/>
      <c r="D1974" s="3"/>
      <c r="E1974" s="3">
        <v>11</v>
      </c>
      <c r="F1974" s="4" t="str">
        <f>HYPERLINK("http://141.218.60.56/~jnz1568/getInfo.php?workbook=18_15.xlsx&amp;sheet=U0&amp;row=1974&amp;col=6&amp;number=4&amp;sourceID=14","4")</f>
        <v>4</v>
      </c>
      <c r="G1974" s="4" t="str">
        <f>HYPERLINK("http://141.218.60.56/~jnz1568/getInfo.php?workbook=18_15.xlsx&amp;sheet=U0&amp;row=1974&amp;col=7&amp;number=0.334&amp;sourceID=14","0.334")</f>
        <v>0.334</v>
      </c>
    </row>
    <row r="1975" spans="1:7">
      <c r="A1975" s="3"/>
      <c r="B1975" s="3"/>
      <c r="C1975" s="3"/>
      <c r="D1975" s="3"/>
      <c r="E1975" s="3">
        <v>12</v>
      </c>
      <c r="F1975" s="4" t="str">
        <f>HYPERLINK("http://141.218.60.56/~jnz1568/getInfo.php?workbook=18_15.xlsx&amp;sheet=U0&amp;row=1975&amp;col=6&amp;number=4.1&amp;sourceID=14","4.1")</f>
        <v>4.1</v>
      </c>
      <c r="G1975" s="4" t="str">
        <f>HYPERLINK("http://141.218.60.56/~jnz1568/getInfo.php?workbook=18_15.xlsx&amp;sheet=U0&amp;row=1975&amp;col=7&amp;number=0.328&amp;sourceID=14","0.328")</f>
        <v>0.328</v>
      </c>
    </row>
    <row r="1976" spans="1:7">
      <c r="A1976" s="3"/>
      <c r="B1976" s="3"/>
      <c r="C1976" s="3"/>
      <c r="D1976" s="3"/>
      <c r="E1976" s="3">
        <v>13</v>
      </c>
      <c r="F1976" s="4" t="str">
        <f>HYPERLINK("http://141.218.60.56/~jnz1568/getInfo.php?workbook=18_15.xlsx&amp;sheet=U0&amp;row=1976&amp;col=6&amp;number=4.2&amp;sourceID=14","4.2")</f>
        <v>4.2</v>
      </c>
      <c r="G1976" s="4" t="str">
        <f>HYPERLINK("http://141.218.60.56/~jnz1568/getInfo.php?workbook=18_15.xlsx&amp;sheet=U0&amp;row=1976&amp;col=7&amp;number=0.32&amp;sourceID=14","0.32")</f>
        <v>0.32</v>
      </c>
    </row>
    <row r="1977" spans="1:7">
      <c r="A1977" s="3"/>
      <c r="B1977" s="3"/>
      <c r="C1977" s="3"/>
      <c r="D1977" s="3"/>
      <c r="E1977" s="3">
        <v>14</v>
      </c>
      <c r="F1977" s="4" t="str">
        <f>HYPERLINK("http://141.218.60.56/~jnz1568/getInfo.php?workbook=18_15.xlsx&amp;sheet=U0&amp;row=1977&amp;col=6&amp;number=4.3&amp;sourceID=14","4.3")</f>
        <v>4.3</v>
      </c>
      <c r="G1977" s="4" t="str">
        <f>HYPERLINK("http://141.218.60.56/~jnz1568/getInfo.php?workbook=18_15.xlsx&amp;sheet=U0&amp;row=1977&amp;col=7&amp;number=0.311&amp;sourceID=14","0.311")</f>
        <v>0.311</v>
      </c>
    </row>
    <row r="1978" spans="1:7">
      <c r="A1978" s="3"/>
      <c r="B1978" s="3"/>
      <c r="C1978" s="3"/>
      <c r="D1978" s="3"/>
      <c r="E1978" s="3">
        <v>15</v>
      </c>
      <c r="F1978" s="4" t="str">
        <f>HYPERLINK("http://141.218.60.56/~jnz1568/getInfo.php?workbook=18_15.xlsx&amp;sheet=U0&amp;row=1978&amp;col=6&amp;number=4.4&amp;sourceID=14","4.4")</f>
        <v>4.4</v>
      </c>
      <c r="G1978" s="4" t="str">
        <f>HYPERLINK("http://141.218.60.56/~jnz1568/getInfo.php?workbook=18_15.xlsx&amp;sheet=U0&amp;row=1978&amp;col=7&amp;number=0.301&amp;sourceID=14","0.301")</f>
        <v>0.301</v>
      </c>
    </row>
    <row r="1979" spans="1:7">
      <c r="A1979" s="3"/>
      <c r="B1979" s="3"/>
      <c r="C1979" s="3"/>
      <c r="D1979" s="3"/>
      <c r="E1979" s="3">
        <v>16</v>
      </c>
      <c r="F1979" s="4" t="str">
        <f>HYPERLINK("http://141.218.60.56/~jnz1568/getInfo.php?workbook=18_15.xlsx&amp;sheet=U0&amp;row=1979&amp;col=6&amp;number=4.5&amp;sourceID=14","4.5")</f>
        <v>4.5</v>
      </c>
      <c r="G1979" s="4" t="str">
        <f>HYPERLINK("http://141.218.60.56/~jnz1568/getInfo.php?workbook=18_15.xlsx&amp;sheet=U0&amp;row=1979&amp;col=7&amp;number=0.289&amp;sourceID=14","0.289")</f>
        <v>0.289</v>
      </c>
    </row>
    <row r="1980" spans="1:7">
      <c r="A1980" s="3"/>
      <c r="B1980" s="3"/>
      <c r="C1980" s="3"/>
      <c r="D1980" s="3"/>
      <c r="E1980" s="3">
        <v>17</v>
      </c>
      <c r="F1980" s="4" t="str">
        <f>HYPERLINK("http://141.218.60.56/~jnz1568/getInfo.php?workbook=18_15.xlsx&amp;sheet=U0&amp;row=1980&amp;col=6&amp;number=4.6&amp;sourceID=14","4.6")</f>
        <v>4.6</v>
      </c>
      <c r="G1980" s="4" t="str">
        <f>HYPERLINK("http://141.218.60.56/~jnz1568/getInfo.php?workbook=18_15.xlsx&amp;sheet=U0&amp;row=1980&amp;col=7&amp;number=0.277&amp;sourceID=14","0.277")</f>
        <v>0.277</v>
      </c>
    </row>
    <row r="1981" spans="1:7">
      <c r="A1981" s="3"/>
      <c r="B1981" s="3"/>
      <c r="C1981" s="3"/>
      <c r="D1981" s="3"/>
      <c r="E1981" s="3">
        <v>18</v>
      </c>
      <c r="F1981" s="4" t="str">
        <f>HYPERLINK("http://141.218.60.56/~jnz1568/getInfo.php?workbook=18_15.xlsx&amp;sheet=U0&amp;row=1981&amp;col=6&amp;number=4.7&amp;sourceID=14","4.7")</f>
        <v>4.7</v>
      </c>
      <c r="G1981" s="4" t="str">
        <f>HYPERLINK("http://141.218.60.56/~jnz1568/getInfo.php?workbook=18_15.xlsx&amp;sheet=U0&amp;row=1981&amp;col=7&amp;number=0.265&amp;sourceID=14","0.265")</f>
        <v>0.265</v>
      </c>
    </row>
    <row r="1982" spans="1:7">
      <c r="A1982" s="3"/>
      <c r="B1982" s="3"/>
      <c r="C1982" s="3"/>
      <c r="D1982" s="3"/>
      <c r="E1982" s="3">
        <v>19</v>
      </c>
      <c r="F1982" s="4" t="str">
        <f>HYPERLINK("http://141.218.60.56/~jnz1568/getInfo.php?workbook=18_15.xlsx&amp;sheet=U0&amp;row=1982&amp;col=6&amp;number=4.8&amp;sourceID=14","4.8")</f>
        <v>4.8</v>
      </c>
      <c r="G1982" s="4" t="str">
        <f>HYPERLINK("http://141.218.60.56/~jnz1568/getInfo.php?workbook=18_15.xlsx&amp;sheet=U0&amp;row=1982&amp;col=7&amp;number=0.253&amp;sourceID=14","0.253")</f>
        <v>0.253</v>
      </c>
    </row>
    <row r="1983" spans="1:7">
      <c r="A1983" s="3"/>
      <c r="B1983" s="3"/>
      <c r="C1983" s="3"/>
      <c r="D1983" s="3"/>
      <c r="E1983" s="3">
        <v>20</v>
      </c>
      <c r="F1983" s="4" t="str">
        <f>HYPERLINK("http://141.218.60.56/~jnz1568/getInfo.php?workbook=18_15.xlsx&amp;sheet=U0&amp;row=1983&amp;col=6&amp;number=4.9&amp;sourceID=14","4.9")</f>
        <v>4.9</v>
      </c>
      <c r="G1983" s="4" t="str">
        <f>HYPERLINK("http://141.218.60.56/~jnz1568/getInfo.php?workbook=18_15.xlsx&amp;sheet=U0&amp;row=1983&amp;col=7&amp;number=0.24&amp;sourceID=14","0.24")</f>
        <v>0.24</v>
      </c>
    </row>
    <row r="1984" spans="1:7">
      <c r="A1984" s="3">
        <v>18</v>
      </c>
      <c r="B1984" s="3">
        <v>15</v>
      </c>
      <c r="C1984" s="3">
        <v>4</v>
      </c>
      <c r="D1984" s="3">
        <v>21</v>
      </c>
      <c r="E1984" s="3">
        <v>1</v>
      </c>
      <c r="F1984" s="4" t="str">
        <f>HYPERLINK("http://141.218.60.56/~jnz1568/getInfo.php?workbook=18_15.xlsx&amp;sheet=U0&amp;row=1984&amp;col=6&amp;number=3&amp;sourceID=14","3")</f>
        <v>3</v>
      </c>
      <c r="G1984" s="4" t="str">
        <f>HYPERLINK("http://141.218.60.56/~jnz1568/getInfo.php?workbook=18_15.xlsx&amp;sheet=U0&amp;row=1984&amp;col=7&amp;number=0.304&amp;sourceID=14","0.304")</f>
        <v>0.304</v>
      </c>
    </row>
    <row r="1985" spans="1:7">
      <c r="A1985" s="3"/>
      <c r="B1985" s="3"/>
      <c r="C1985" s="3"/>
      <c r="D1985" s="3"/>
      <c r="E1985" s="3">
        <v>2</v>
      </c>
      <c r="F1985" s="4" t="str">
        <f>HYPERLINK("http://141.218.60.56/~jnz1568/getInfo.php?workbook=18_15.xlsx&amp;sheet=U0&amp;row=1985&amp;col=6&amp;number=3.1&amp;sourceID=14","3.1")</f>
        <v>3.1</v>
      </c>
      <c r="G1985" s="4" t="str">
        <f>HYPERLINK("http://141.218.60.56/~jnz1568/getInfo.php?workbook=18_15.xlsx&amp;sheet=U0&amp;row=1985&amp;col=7&amp;number=0.303&amp;sourceID=14","0.303")</f>
        <v>0.303</v>
      </c>
    </row>
    <row r="1986" spans="1:7">
      <c r="A1986" s="3"/>
      <c r="B1986" s="3"/>
      <c r="C1986" s="3"/>
      <c r="D1986" s="3"/>
      <c r="E1986" s="3">
        <v>3</v>
      </c>
      <c r="F1986" s="4" t="str">
        <f>HYPERLINK("http://141.218.60.56/~jnz1568/getInfo.php?workbook=18_15.xlsx&amp;sheet=U0&amp;row=1986&amp;col=6&amp;number=3.2&amp;sourceID=14","3.2")</f>
        <v>3.2</v>
      </c>
      <c r="G1986" s="4" t="str">
        <f>HYPERLINK("http://141.218.60.56/~jnz1568/getInfo.php?workbook=18_15.xlsx&amp;sheet=U0&amp;row=1986&amp;col=7&amp;number=0.303&amp;sourceID=14","0.303")</f>
        <v>0.303</v>
      </c>
    </row>
    <row r="1987" spans="1:7">
      <c r="A1987" s="3"/>
      <c r="B1987" s="3"/>
      <c r="C1987" s="3"/>
      <c r="D1987" s="3"/>
      <c r="E1987" s="3">
        <v>4</v>
      </c>
      <c r="F1987" s="4" t="str">
        <f>HYPERLINK("http://141.218.60.56/~jnz1568/getInfo.php?workbook=18_15.xlsx&amp;sheet=U0&amp;row=1987&amp;col=6&amp;number=3.3&amp;sourceID=14","3.3")</f>
        <v>3.3</v>
      </c>
      <c r="G1987" s="4" t="str">
        <f>HYPERLINK("http://141.218.60.56/~jnz1568/getInfo.php?workbook=18_15.xlsx&amp;sheet=U0&amp;row=1987&amp;col=7&amp;number=0.302&amp;sourceID=14","0.302")</f>
        <v>0.302</v>
      </c>
    </row>
    <row r="1988" spans="1:7">
      <c r="A1988" s="3"/>
      <c r="B1988" s="3"/>
      <c r="C1988" s="3"/>
      <c r="D1988" s="3"/>
      <c r="E1988" s="3">
        <v>5</v>
      </c>
      <c r="F1988" s="4" t="str">
        <f>HYPERLINK("http://141.218.60.56/~jnz1568/getInfo.php?workbook=18_15.xlsx&amp;sheet=U0&amp;row=1988&amp;col=6&amp;number=3.4&amp;sourceID=14","3.4")</f>
        <v>3.4</v>
      </c>
      <c r="G1988" s="4" t="str">
        <f>HYPERLINK("http://141.218.60.56/~jnz1568/getInfo.php?workbook=18_15.xlsx&amp;sheet=U0&amp;row=1988&amp;col=7&amp;number=0.301&amp;sourceID=14","0.301")</f>
        <v>0.301</v>
      </c>
    </row>
    <row r="1989" spans="1:7">
      <c r="A1989" s="3"/>
      <c r="B1989" s="3"/>
      <c r="C1989" s="3"/>
      <c r="D1989" s="3"/>
      <c r="E1989" s="3">
        <v>6</v>
      </c>
      <c r="F1989" s="4" t="str">
        <f>HYPERLINK("http://141.218.60.56/~jnz1568/getInfo.php?workbook=18_15.xlsx&amp;sheet=U0&amp;row=1989&amp;col=6&amp;number=3.5&amp;sourceID=14","3.5")</f>
        <v>3.5</v>
      </c>
      <c r="G1989" s="4" t="str">
        <f>HYPERLINK("http://141.218.60.56/~jnz1568/getInfo.php?workbook=18_15.xlsx&amp;sheet=U0&amp;row=1989&amp;col=7&amp;number=0.299&amp;sourceID=14","0.299")</f>
        <v>0.299</v>
      </c>
    </row>
    <row r="1990" spans="1:7">
      <c r="A1990" s="3"/>
      <c r="B1990" s="3"/>
      <c r="C1990" s="3"/>
      <c r="D1990" s="3"/>
      <c r="E1990" s="3">
        <v>7</v>
      </c>
      <c r="F1990" s="4" t="str">
        <f>HYPERLINK("http://141.218.60.56/~jnz1568/getInfo.php?workbook=18_15.xlsx&amp;sheet=U0&amp;row=1990&amp;col=6&amp;number=3.6&amp;sourceID=14","3.6")</f>
        <v>3.6</v>
      </c>
      <c r="G1990" s="4" t="str">
        <f>HYPERLINK("http://141.218.60.56/~jnz1568/getInfo.php?workbook=18_15.xlsx&amp;sheet=U0&amp;row=1990&amp;col=7&amp;number=0.298&amp;sourceID=14","0.298")</f>
        <v>0.298</v>
      </c>
    </row>
    <row r="1991" spans="1:7">
      <c r="A1991" s="3"/>
      <c r="B1991" s="3"/>
      <c r="C1991" s="3"/>
      <c r="D1991" s="3"/>
      <c r="E1991" s="3">
        <v>8</v>
      </c>
      <c r="F1991" s="4" t="str">
        <f>HYPERLINK("http://141.218.60.56/~jnz1568/getInfo.php?workbook=18_15.xlsx&amp;sheet=U0&amp;row=1991&amp;col=6&amp;number=3.7&amp;sourceID=14","3.7")</f>
        <v>3.7</v>
      </c>
      <c r="G1991" s="4" t="str">
        <f>HYPERLINK("http://141.218.60.56/~jnz1568/getInfo.php?workbook=18_15.xlsx&amp;sheet=U0&amp;row=1991&amp;col=7&amp;number=0.295&amp;sourceID=14","0.295")</f>
        <v>0.295</v>
      </c>
    </row>
    <row r="1992" spans="1:7">
      <c r="A1992" s="3"/>
      <c r="B1992" s="3"/>
      <c r="C1992" s="3"/>
      <c r="D1992" s="3"/>
      <c r="E1992" s="3">
        <v>9</v>
      </c>
      <c r="F1992" s="4" t="str">
        <f>HYPERLINK("http://141.218.60.56/~jnz1568/getInfo.php?workbook=18_15.xlsx&amp;sheet=U0&amp;row=1992&amp;col=6&amp;number=3.8&amp;sourceID=14","3.8")</f>
        <v>3.8</v>
      </c>
      <c r="G1992" s="4" t="str">
        <f>HYPERLINK("http://141.218.60.56/~jnz1568/getInfo.php?workbook=18_15.xlsx&amp;sheet=U0&amp;row=1992&amp;col=7&amp;number=0.292&amp;sourceID=14","0.292")</f>
        <v>0.292</v>
      </c>
    </row>
    <row r="1993" spans="1:7">
      <c r="A1993" s="3"/>
      <c r="B1993" s="3"/>
      <c r="C1993" s="3"/>
      <c r="D1993" s="3"/>
      <c r="E1993" s="3">
        <v>10</v>
      </c>
      <c r="F1993" s="4" t="str">
        <f>HYPERLINK("http://141.218.60.56/~jnz1568/getInfo.php?workbook=18_15.xlsx&amp;sheet=U0&amp;row=1993&amp;col=6&amp;number=3.9&amp;sourceID=14","3.9")</f>
        <v>3.9</v>
      </c>
      <c r="G1993" s="4" t="str">
        <f>HYPERLINK("http://141.218.60.56/~jnz1568/getInfo.php?workbook=18_15.xlsx&amp;sheet=U0&amp;row=1993&amp;col=7&amp;number=0.287&amp;sourceID=14","0.287")</f>
        <v>0.287</v>
      </c>
    </row>
    <row r="1994" spans="1:7">
      <c r="A1994" s="3"/>
      <c r="B1994" s="3"/>
      <c r="C1994" s="3"/>
      <c r="D1994" s="3"/>
      <c r="E1994" s="3">
        <v>11</v>
      </c>
      <c r="F1994" s="4" t="str">
        <f>HYPERLINK("http://141.218.60.56/~jnz1568/getInfo.php?workbook=18_15.xlsx&amp;sheet=U0&amp;row=1994&amp;col=6&amp;number=4&amp;sourceID=14","4")</f>
        <v>4</v>
      </c>
      <c r="G1994" s="4" t="str">
        <f>HYPERLINK("http://141.218.60.56/~jnz1568/getInfo.php?workbook=18_15.xlsx&amp;sheet=U0&amp;row=1994&amp;col=7&amp;number=0.281&amp;sourceID=14","0.281")</f>
        <v>0.281</v>
      </c>
    </row>
    <row r="1995" spans="1:7">
      <c r="A1995" s="3"/>
      <c r="B1995" s="3"/>
      <c r="C1995" s="3"/>
      <c r="D1995" s="3"/>
      <c r="E1995" s="3">
        <v>12</v>
      </c>
      <c r="F1995" s="4" t="str">
        <f>HYPERLINK("http://141.218.60.56/~jnz1568/getInfo.php?workbook=18_15.xlsx&amp;sheet=U0&amp;row=1995&amp;col=6&amp;number=4.1&amp;sourceID=14","4.1")</f>
        <v>4.1</v>
      </c>
      <c r="G1995" s="4" t="str">
        <f>HYPERLINK("http://141.218.60.56/~jnz1568/getInfo.php?workbook=18_15.xlsx&amp;sheet=U0&amp;row=1995&amp;col=7&amp;number=0.272&amp;sourceID=14","0.272")</f>
        <v>0.272</v>
      </c>
    </row>
    <row r="1996" spans="1:7">
      <c r="A1996" s="3"/>
      <c r="B1996" s="3"/>
      <c r="C1996" s="3"/>
      <c r="D1996" s="3"/>
      <c r="E1996" s="3">
        <v>13</v>
      </c>
      <c r="F1996" s="4" t="str">
        <f>HYPERLINK("http://141.218.60.56/~jnz1568/getInfo.php?workbook=18_15.xlsx&amp;sheet=U0&amp;row=1996&amp;col=6&amp;number=4.2&amp;sourceID=14","4.2")</f>
        <v>4.2</v>
      </c>
      <c r="G1996" s="4" t="str">
        <f>HYPERLINK("http://141.218.60.56/~jnz1568/getInfo.php?workbook=18_15.xlsx&amp;sheet=U0&amp;row=1996&amp;col=7&amp;number=0.26&amp;sourceID=14","0.26")</f>
        <v>0.26</v>
      </c>
    </row>
    <row r="1997" spans="1:7">
      <c r="A1997" s="3"/>
      <c r="B1997" s="3"/>
      <c r="C1997" s="3"/>
      <c r="D1997" s="3"/>
      <c r="E1997" s="3">
        <v>14</v>
      </c>
      <c r="F1997" s="4" t="str">
        <f>HYPERLINK("http://141.218.60.56/~jnz1568/getInfo.php?workbook=18_15.xlsx&amp;sheet=U0&amp;row=1997&amp;col=6&amp;number=4.3&amp;sourceID=14","4.3")</f>
        <v>4.3</v>
      </c>
      <c r="G1997" s="4" t="str">
        <f>HYPERLINK("http://141.218.60.56/~jnz1568/getInfo.php?workbook=18_15.xlsx&amp;sheet=U0&amp;row=1997&amp;col=7&amp;number=0.246&amp;sourceID=14","0.246")</f>
        <v>0.246</v>
      </c>
    </row>
    <row r="1998" spans="1:7">
      <c r="A1998" s="3"/>
      <c r="B1998" s="3"/>
      <c r="C1998" s="3"/>
      <c r="D1998" s="3"/>
      <c r="E1998" s="3">
        <v>15</v>
      </c>
      <c r="F1998" s="4" t="str">
        <f>HYPERLINK("http://141.218.60.56/~jnz1568/getInfo.php?workbook=18_15.xlsx&amp;sheet=U0&amp;row=1998&amp;col=6&amp;number=4.4&amp;sourceID=14","4.4")</f>
        <v>4.4</v>
      </c>
      <c r="G1998" s="4" t="str">
        <f>HYPERLINK("http://141.218.60.56/~jnz1568/getInfo.php?workbook=18_15.xlsx&amp;sheet=U0&amp;row=1998&amp;col=7&amp;number=0.233&amp;sourceID=14","0.233")</f>
        <v>0.233</v>
      </c>
    </row>
    <row r="1999" spans="1:7">
      <c r="A1999" s="3"/>
      <c r="B1999" s="3"/>
      <c r="C1999" s="3"/>
      <c r="D1999" s="3"/>
      <c r="E1999" s="3">
        <v>16</v>
      </c>
      <c r="F1999" s="4" t="str">
        <f>HYPERLINK("http://141.218.60.56/~jnz1568/getInfo.php?workbook=18_15.xlsx&amp;sheet=U0&amp;row=1999&amp;col=6&amp;number=4.5&amp;sourceID=14","4.5")</f>
        <v>4.5</v>
      </c>
      <c r="G1999" s="4" t="str">
        <f>HYPERLINK("http://141.218.60.56/~jnz1568/getInfo.php?workbook=18_15.xlsx&amp;sheet=U0&amp;row=1999&amp;col=7&amp;number=0.22&amp;sourceID=14","0.22")</f>
        <v>0.22</v>
      </c>
    </row>
    <row r="2000" spans="1:7">
      <c r="A2000" s="3"/>
      <c r="B2000" s="3"/>
      <c r="C2000" s="3"/>
      <c r="D2000" s="3"/>
      <c r="E2000" s="3">
        <v>17</v>
      </c>
      <c r="F2000" s="4" t="str">
        <f>HYPERLINK("http://141.218.60.56/~jnz1568/getInfo.php?workbook=18_15.xlsx&amp;sheet=U0&amp;row=2000&amp;col=6&amp;number=4.6&amp;sourceID=14","4.6")</f>
        <v>4.6</v>
      </c>
      <c r="G2000" s="4" t="str">
        <f>HYPERLINK("http://141.218.60.56/~jnz1568/getInfo.php?workbook=18_15.xlsx&amp;sheet=U0&amp;row=2000&amp;col=7&amp;number=0.209&amp;sourceID=14","0.209")</f>
        <v>0.209</v>
      </c>
    </row>
    <row r="2001" spans="1:7">
      <c r="A2001" s="3"/>
      <c r="B2001" s="3"/>
      <c r="C2001" s="3"/>
      <c r="D2001" s="3"/>
      <c r="E2001" s="3">
        <v>18</v>
      </c>
      <c r="F2001" s="4" t="str">
        <f>HYPERLINK("http://141.218.60.56/~jnz1568/getInfo.php?workbook=18_15.xlsx&amp;sheet=U0&amp;row=2001&amp;col=6&amp;number=4.7&amp;sourceID=14","4.7")</f>
        <v>4.7</v>
      </c>
      <c r="G2001" s="4" t="str">
        <f>HYPERLINK("http://141.218.60.56/~jnz1568/getInfo.php?workbook=18_15.xlsx&amp;sheet=U0&amp;row=2001&amp;col=7&amp;number=0.199&amp;sourceID=14","0.199")</f>
        <v>0.199</v>
      </c>
    </row>
    <row r="2002" spans="1:7">
      <c r="A2002" s="3"/>
      <c r="B2002" s="3"/>
      <c r="C2002" s="3"/>
      <c r="D2002" s="3"/>
      <c r="E2002" s="3">
        <v>19</v>
      </c>
      <c r="F2002" s="4" t="str">
        <f>HYPERLINK("http://141.218.60.56/~jnz1568/getInfo.php?workbook=18_15.xlsx&amp;sheet=U0&amp;row=2002&amp;col=6&amp;number=4.8&amp;sourceID=14","4.8")</f>
        <v>4.8</v>
      </c>
      <c r="G2002" s="4" t="str">
        <f>HYPERLINK("http://141.218.60.56/~jnz1568/getInfo.php?workbook=18_15.xlsx&amp;sheet=U0&amp;row=2002&amp;col=7&amp;number=0.19&amp;sourceID=14","0.19")</f>
        <v>0.19</v>
      </c>
    </row>
    <row r="2003" spans="1:7">
      <c r="A2003" s="3"/>
      <c r="B2003" s="3"/>
      <c r="C2003" s="3"/>
      <c r="D2003" s="3"/>
      <c r="E2003" s="3">
        <v>20</v>
      </c>
      <c r="F2003" s="4" t="str">
        <f>HYPERLINK("http://141.218.60.56/~jnz1568/getInfo.php?workbook=18_15.xlsx&amp;sheet=U0&amp;row=2003&amp;col=6&amp;number=4.9&amp;sourceID=14","4.9")</f>
        <v>4.9</v>
      </c>
      <c r="G2003" s="4" t="str">
        <f>HYPERLINK("http://141.218.60.56/~jnz1568/getInfo.php?workbook=18_15.xlsx&amp;sheet=U0&amp;row=2003&amp;col=7&amp;number=0.182&amp;sourceID=14","0.182")</f>
        <v>0.182</v>
      </c>
    </row>
    <row r="2004" spans="1:7">
      <c r="A2004" s="3">
        <v>18</v>
      </c>
      <c r="B2004" s="3">
        <v>15</v>
      </c>
      <c r="C2004" s="3">
        <v>4</v>
      </c>
      <c r="D2004" s="3">
        <v>22</v>
      </c>
      <c r="E2004" s="3">
        <v>1</v>
      </c>
      <c r="F2004" s="4" t="str">
        <f>HYPERLINK("http://141.218.60.56/~jnz1568/getInfo.php?workbook=18_15.xlsx&amp;sheet=U0&amp;row=2004&amp;col=6&amp;number=3&amp;sourceID=14","3")</f>
        <v>3</v>
      </c>
      <c r="G2004" s="4" t="str">
        <f>HYPERLINK("http://141.218.60.56/~jnz1568/getInfo.php?workbook=18_15.xlsx&amp;sheet=U0&amp;row=2004&amp;col=7&amp;number=0.372&amp;sourceID=14","0.372")</f>
        <v>0.372</v>
      </c>
    </row>
    <row r="2005" spans="1:7">
      <c r="A2005" s="3"/>
      <c r="B2005" s="3"/>
      <c r="C2005" s="3"/>
      <c r="D2005" s="3"/>
      <c r="E2005" s="3">
        <v>2</v>
      </c>
      <c r="F2005" s="4" t="str">
        <f>HYPERLINK("http://141.218.60.56/~jnz1568/getInfo.php?workbook=18_15.xlsx&amp;sheet=U0&amp;row=2005&amp;col=6&amp;number=3.1&amp;sourceID=14","3.1")</f>
        <v>3.1</v>
      </c>
      <c r="G2005" s="4" t="str">
        <f>HYPERLINK("http://141.218.60.56/~jnz1568/getInfo.php?workbook=18_15.xlsx&amp;sheet=U0&amp;row=2005&amp;col=7&amp;number=0.386&amp;sourceID=14","0.386")</f>
        <v>0.386</v>
      </c>
    </row>
    <row r="2006" spans="1:7">
      <c r="A2006" s="3"/>
      <c r="B2006" s="3"/>
      <c r="C2006" s="3"/>
      <c r="D2006" s="3"/>
      <c r="E2006" s="3">
        <v>3</v>
      </c>
      <c r="F2006" s="4" t="str">
        <f>HYPERLINK("http://141.218.60.56/~jnz1568/getInfo.php?workbook=18_15.xlsx&amp;sheet=U0&amp;row=2006&amp;col=6&amp;number=3.2&amp;sourceID=14","3.2")</f>
        <v>3.2</v>
      </c>
      <c r="G2006" s="4" t="str">
        <f>HYPERLINK("http://141.218.60.56/~jnz1568/getInfo.php?workbook=18_15.xlsx&amp;sheet=U0&amp;row=2006&amp;col=7&amp;number=0.403&amp;sourceID=14","0.403")</f>
        <v>0.403</v>
      </c>
    </row>
    <row r="2007" spans="1:7">
      <c r="A2007" s="3"/>
      <c r="B2007" s="3"/>
      <c r="C2007" s="3"/>
      <c r="D2007" s="3"/>
      <c r="E2007" s="3">
        <v>4</v>
      </c>
      <c r="F2007" s="4" t="str">
        <f>HYPERLINK("http://141.218.60.56/~jnz1568/getInfo.php?workbook=18_15.xlsx&amp;sheet=U0&amp;row=2007&amp;col=6&amp;number=3.3&amp;sourceID=14","3.3")</f>
        <v>3.3</v>
      </c>
      <c r="G2007" s="4" t="str">
        <f>HYPERLINK("http://141.218.60.56/~jnz1568/getInfo.php?workbook=18_15.xlsx&amp;sheet=U0&amp;row=2007&amp;col=7&amp;number=0.425&amp;sourceID=14","0.425")</f>
        <v>0.425</v>
      </c>
    </row>
    <row r="2008" spans="1:7">
      <c r="A2008" s="3"/>
      <c r="B2008" s="3"/>
      <c r="C2008" s="3"/>
      <c r="D2008" s="3"/>
      <c r="E2008" s="3">
        <v>5</v>
      </c>
      <c r="F2008" s="4" t="str">
        <f>HYPERLINK("http://141.218.60.56/~jnz1568/getInfo.php?workbook=18_15.xlsx&amp;sheet=U0&amp;row=2008&amp;col=6&amp;number=3.4&amp;sourceID=14","3.4")</f>
        <v>3.4</v>
      </c>
      <c r="G2008" s="4" t="str">
        <f>HYPERLINK("http://141.218.60.56/~jnz1568/getInfo.php?workbook=18_15.xlsx&amp;sheet=U0&amp;row=2008&amp;col=7&amp;number=0.452&amp;sourceID=14","0.452")</f>
        <v>0.452</v>
      </c>
    </row>
    <row r="2009" spans="1:7">
      <c r="A2009" s="3"/>
      <c r="B2009" s="3"/>
      <c r="C2009" s="3"/>
      <c r="D2009" s="3"/>
      <c r="E2009" s="3">
        <v>6</v>
      </c>
      <c r="F2009" s="4" t="str">
        <f>HYPERLINK("http://141.218.60.56/~jnz1568/getInfo.php?workbook=18_15.xlsx&amp;sheet=U0&amp;row=2009&amp;col=6&amp;number=3.5&amp;sourceID=14","3.5")</f>
        <v>3.5</v>
      </c>
      <c r="G2009" s="4" t="str">
        <f>HYPERLINK("http://141.218.60.56/~jnz1568/getInfo.php?workbook=18_15.xlsx&amp;sheet=U0&amp;row=2009&amp;col=7&amp;number=0.486&amp;sourceID=14","0.486")</f>
        <v>0.486</v>
      </c>
    </row>
    <row r="2010" spans="1:7">
      <c r="A2010" s="3"/>
      <c r="B2010" s="3"/>
      <c r="C2010" s="3"/>
      <c r="D2010" s="3"/>
      <c r="E2010" s="3">
        <v>7</v>
      </c>
      <c r="F2010" s="4" t="str">
        <f>HYPERLINK("http://141.218.60.56/~jnz1568/getInfo.php?workbook=18_15.xlsx&amp;sheet=U0&amp;row=2010&amp;col=6&amp;number=3.6&amp;sourceID=14","3.6")</f>
        <v>3.6</v>
      </c>
      <c r="G2010" s="4" t="str">
        <f>HYPERLINK("http://141.218.60.56/~jnz1568/getInfo.php?workbook=18_15.xlsx&amp;sheet=U0&amp;row=2010&amp;col=7&amp;number=0.528&amp;sourceID=14","0.528")</f>
        <v>0.528</v>
      </c>
    </row>
    <row r="2011" spans="1:7">
      <c r="A2011" s="3"/>
      <c r="B2011" s="3"/>
      <c r="C2011" s="3"/>
      <c r="D2011" s="3"/>
      <c r="E2011" s="3">
        <v>8</v>
      </c>
      <c r="F2011" s="4" t="str">
        <f>HYPERLINK("http://141.218.60.56/~jnz1568/getInfo.php?workbook=18_15.xlsx&amp;sheet=U0&amp;row=2011&amp;col=6&amp;number=3.7&amp;sourceID=14","3.7")</f>
        <v>3.7</v>
      </c>
      <c r="G2011" s="4" t="str">
        <f>HYPERLINK("http://141.218.60.56/~jnz1568/getInfo.php?workbook=18_15.xlsx&amp;sheet=U0&amp;row=2011&amp;col=7&amp;number=0.581&amp;sourceID=14","0.581")</f>
        <v>0.581</v>
      </c>
    </row>
    <row r="2012" spans="1:7">
      <c r="A2012" s="3"/>
      <c r="B2012" s="3"/>
      <c r="C2012" s="3"/>
      <c r="D2012" s="3"/>
      <c r="E2012" s="3">
        <v>9</v>
      </c>
      <c r="F2012" s="4" t="str">
        <f>HYPERLINK("http://141.218.60.56/~jnz1568/getInfo.php?workbook=18_15.xlsx&amp;sheet=U0&amp;row=2012&amp;col=6&amp;number=3.8&amp;sourceID=14","3.8")</f>
        <v>3.8</v>
      </c>
      <c r="G2012" s="4" t="str">
        <f>HYPERLINK("http://141.218.60.56/~jnz1568/getInfo.php?workbook=18_15.xlsx&amp;sheet=U0&amp;row=2012&amp;col=7&amp;number=0.649&amp;sourceID=14","0.649")</f>
        <v>0.649</v>
      </c>
    </row>
    <row r="2013" spans="1:7">
      <c r="A2013" s="3"/>
      <c r="B2013" s="3"/>
      <c r="C2013" s="3"/>
      <c r="D2013" s="3"/>
      <c r="E2013" s="3">
        <v>10</v>
      </c>
      <c r="F2013" s="4" t="str">
        <f>HYPERLINK("http://141.218.60.56/~jnz1568/getInfo.php?workbook=18_15.xlsx&amp;sheet=U0&amp;row=2013&amp;col=6&amp;number=3.9&amp;sourceID=14","3.9")</f>
        <v>3.9</v>
      </c>
      <c r="G2013" s="4" t="str">
        <f>HYPERLINK("http://141.218.60.56/~jnz1568/getInfo.php?workbook=18_15.xlsx&amp;sheet=U0&amp;row=2013&amp;col=7&amp;number=0.734&amp;sourceID=14","0.734")</f>
        <v>0.734</v>
      </c>
    </row>
    <row r="2014" spans="1:7">
      <c r="A2014" s="3"/>
      <c r="B2014" s="3"/>
      <c r="C2014" s="3"/>
      <c r="D2014" s="3"/>
      <c r="E2014" s="3">
        <v>11</v>
      </c>
      <c r="F2014" s="4" t="str">
        <f>HYPERLINK("http://141.218.60.56/~jnz1568/getInfo.php?workbook=18_15.xlsx&amp;sheet=U0&amp;row=2014&amp;col=6&amp;number=4&amp;sourceID=14","4")</f>
        <v>4</v>
      </c>
      <c r="G2014" s="4" t="str">
        <f>HYPERLINK("http://141.218.60.56/~jnz1568/getInfo.php?workbook=18_15.xlsx&amp;sheet=U0&amp;row=2014&amp;col=7&amp;number=0.834&amp;sourceID=14","0.834")</f>
        <v>0.834</v>
      </c>
    </row>
    <row r="2015" spans="1:7">
      <c r="A2015" s="3"/>
      <c r="B2015" s="3"/>
      <c r="C2015" s="3"/>
      <c r="D2015" s="3"/>
      <c r="E2015" s="3">
        <v>12</v>
      </c>
      <c r="F2015" s="4" t="str">
        <f>HYPERLINK("http://141.218.60.56/~jnz1568/getInfo.php?workbook=18_15.xlsx&amp;sheet=U0&amp;row=2015&amp;col=6&amp;number=4.1&amp;sourceID=14","4.1")</f>
        <v>4.1</v>
      </c>
      <c r="G2015" s="4" t="str">
        <f>HYPERLINK("http://141.218.60.56/~jnz1568/getInfo.php?workbook=18_15.xlsx&amp;sheet=U0&amp;row=2015&amp;col=7&amp;number=0.935&amp;sourceID=14","0.935")</f>
        <v>0.935</v>
      </c>
    </row>
    <row r="2016" spans="1:7">
      <c r="A2016" s="3"/>
      <c r="B2016" s="3"/>
      <c r="C2016" s="3"/>
      <c r="D2016" s="3"/>
      <c r="E2016" s="3">
        <v>13</v>
      </c>
      <c r="F2016" s="4" t="str">
        <f>HYPERLINK("http://141.218.60.56/~jnz1568/getInfo.php?workbook=18_15.xlsx&amp;sheet=U0&amp;row=2016&amp;col=6&amp;number=4.2&amp;sourceID=14","4.2")</f>
        <v>4.2</v>
      </c>
      <c r="G2016" s="4" t="str">
        <f>HYPERLINK("http://141.218.60.56/~jnz1568/getInfo.php?workbook=18_15.xlsx&amp;sheet=U0&amp;row=2016&amp;col=7&amp;number=1.01&amp;sourceID=14","1.01")</f>
        <v>1.01</v>
      </c>
    </row>
    <row r="2017" spans="1:7">
      <c r="A2017" s="3"/>
      <c r="B2017" s="3"/>
      <c r="C2017" s="3"/>
      <c r="D2017" s="3"/>
      <c r="E2017" s="3">
        <v>14</v>
      </c>
      <c r="F2017" s="4" t="str">
        <f>HYPERLINK("http://141.218.60.56/~jnz1568/getInfo.php?workbook=18_15.xlsx&amp;sheet=U0&amp;row=2017&amp;col=6&amp;number=4.3&amp;sourceID=14","4.3")</f>
        <v>4.3</v>
      </c>
      <c r="G2017" s="4" t="str">
        <f>HYPERLINK("http://141.218.60.56/~jnz1568/getInfo.php?workbook=18_15.xlsx&amp;sheet=U0&amp;row=2017&amp;col=7&amp;number=1.04&amp;sourceID=14","1.04")</f>
        <v>1.04</v>
      </c>
    </row>
    <row r="2018" spans="1:7">
      <c r="A2018" s="3"/>
      <c r="B2018" s="3"/>
      <c r="C2018" s="3"/>
      <c r="D2018" s="3"/>
      <c r="E2018" s="3">
        <v>15</v>
      </c>
      <c r="F2018" s="4" t="str">
        <f>HYPERLINK("http://141.218.60.56/~jnz1568/getInfo.php?workbook=18_15.xlsx&amp;sheet=U0&amp;row=2018&amp;col=6&amp;number=4.4&amp;sourceID=14","4.4")</f>
        <v>4.4</v>
      </c>
      <c r="G2018" s="4" t="str">
        <f>HYPERLINK("http://141.218.60.56/~jnz1568/getInfo.php?workbook=18_15.xlsx&amp;sheet=U0&amp;row=2018&amp;col=7&amp;number=1.02&amp;sourceID=14","1.02")</f>
        <v>1.02</v>
      </c>
    </row>
    <row r="2019" spans="1:7">
      <c r="A2019" s="3"/>
      <c r="B2019" s="3"/>
      <c r="C2019" s="3"/>
      <c r="D2019" s="3"/>
      <c r="E2019" s="3">
        <v>16</v>
      </c>
      <c r="F2019" s="4" t="str">
        <f>HYPERLINK("http://141.218.60.56/~jnz1568/getInfo.php?workbook=18_15.xlsx&amp;sheet=U0&amp;row=2019&amp;col=6&amp;number=4.5&amp;sourceID=14","4.5")</f>
        <v>4.5</v>
      </c>
      <c r="G2019" s="4" t="str">
        <f>HYPERLINK("http://141.218.60.56/~jnz1568/getInfo.php?workbook=18_15.xlsx&amp;sheet=U0&amp;row=2019&amp;col=7&amp;number=0.985&amp;sourceID=14","0.985")</f>
        <v>0.985</v>
      </c>
    </row>
    <row r="2020" spans="1:7">
      <c r="A2020" s="3"/>
      <c r="B2020" s="3"/>
      <c r="C2020" s="3"/>
      <c r="D2020" s="3"/>
      <c r="E2020" s="3">
        <v>17</v>
      </c>
      <c r="F2020" s="4" t="str">
        <f>HYPERLINK("http://141.218.60.56/~jnz1568/getInfo.php?workbook=18_15.xlsx&amp;sheet=U0&amp;row=2020&amp;col=6&amp;number=4.6&amp;sourceID=14","4.6")</f>
        <v>4.6</v>
      </c>
      <c r="G2020" s="4" t="str">
        <f>HYPERLINK("http://141.218.60.56/~jnz1568/getInfo.php?workbook=18_15.xlsx&amp;sheet=U0&amp;row=2020&amp;col=7&amp;number=0.931&amp;sourceID=14","0.931")</f>
        <v>0.931</v>
      </c>
    </row>
    <row r="2021" spans="1:7">
      <c r="A2021" s="3"/>
      <c r="B2021" s="3"/>
      <c r="C2021" s="3"/>
      <c r="D2021" s="3"/>
      <c r="E2021" s="3">
        <v>18</v>
      </c>
      <c r="F2021" s="4" t="str">
        <f>HYPERLINK("http://141.218.60.56/~jnz1568/getInfo.php?workbook=18_15.xlsx&amp;sheet=U0&amp;row=2021&amp;col=6&amp;number=4.7&amp;sourceID=14","4.7")</f>
        <v>4.7</v>
      </c>
      <c r="G2021" s="4" t="str">
        <f>HYPERLINK("http://141.218.60.56/~jnz1568/getInfo.php?workbook=18_15.xlsx&amp;sheet=U0&amp;row=2021&amp;col=7&amp;number=0.867&amp;sourceID=14","0.867")</f>
        <v>0.867</v>
      </c>
    </row>
    <row r="2022" spans="1:7">
      <c r="A2022" s="3"/>
      <c r="B2022" s="3"/>
      <c r="C2022" s="3"/>
      <c r="D2022" s="3"/>
      <c r="E2022" s="3">
        <v>19</v>
      </c>
      <c r="F2022" s="4" t="str">
        <f>HYPERLINK("http://141.218.60.56/~jnz1568/getInfo.php?workbook=18_15.xlsx&amp;sheet=U0&amp;row=2022&amp;col=6&amp;number=4.8&amp;sourceID=14","4.8")</f>
        <v>4.8</v>
      </c>
      <c r="G2022" s="4" t="str">
        <f>HYPERLINK("http://141.218.60.56/~jnz1568/getInfo.php?workbook=18_15.xlsx&amp;sheet=U0&amp;row=2022&amp;col=7&amp;number=0.793&amp;sourceID=14","0.793")</f>
        <v>0.793</v>
      </c>
    </row>
    <row r="2023" spans="1:7">
      <c r="A2023" s="3"/>
      <c r="B2023" s="3"/>
      <c r="C2023" s="3"/>
      <c r="D2023" s="3"/>
      <c r="E2023" s="3">
        <v>20</v>
      </c>
      <c r="F2023" s="4" t="str">
        <f>HYPERLINK("http://141.218.60.56/~jnz1568/getInfo.php?workbook=18_15.xlsx&amp;sheet=U0&amp;row=2023&amp;col=6&amp;number=4.9&amp;sourceID=14","4.9")</f>
        <v>4.9</v>
      </c>
      <c r="G2023" s="4" t="str">
        <f>HYPERLINK("http://141.218.60.56/~jnz1568/getInfo.php?workbook=18_15.xlsx&amp;sheet=U0&amp;row=2023&amp;col=7&amp;number=0.714&amp;sourceID=14","0.714")</f>
        <v>0.714</v>
      </c>
    </row>
    <row r="2024" spans="1:7">
      <c r="A2024" s="3">
        <v>18</v>
      </c>
      <c r="B2024" s="3">
        <v>15</v>
      </c>
      <c r="C2024" s="3">
        <v>4</v>
      </c>
      <c r="D2024" s="3">
        <v>23</v>
      </c>
      <c r="E2024" s="3">
        <v>1</v>
      </c>
      <c r="F2024" s="4" t="str">
        <f>HYPERLINK("http://141.218.60.56/~jnz1568/getInfo.php?workbook=18_15.xlsx&amp;sheet=U0&amp;row=2024&amp;col=6&amp;number=3&amp;sourceID=14","3")</f>
        <v>3</v>
      </c>
      <c r="G2024" s="4" t="str">
        <f>HYPERLINK("http://141.218.60.56/~jnz1568/getInfo.php?workbook=18_15.xlsx&amp;sheet=U0&amp;row=2024&amp;col=7&amp;number=0.3&amp;sourceID=14","0.3")</f>
        <v>0.3</v>
      </c>
    </row>
    <row r="2025" spans="1:7">
      <c r="A2025" s="3"/>
      <c r="B2025" s="3"/>
      <c r="C2025" s="3"/>
      <c r="D2025" s="3"/>
      <c r="E2025" s="3">
        <v>2</v>
      </c>
      <c r="F2025" s="4" t="str">
        <f>HYPERLINK("http://141.218.60.56/~jnz1568/getInfo.php?workbook=18_15.xlsx&amp;sheet=U0&amp;row=2025&amp;col=6&amp;number=3.1&amp;sourceID=14","3.1")</f>
        <v>3.1</v>
      </c>
      <c r="G2025" s="4" t="str">
        <f>HYPERLINK("http://141.218.60.56/~jnz1568/getInfo.php?workbook=18_15.xlsx&amp;sheet=U0&amp;row=2025&amp;col=7&amp;number=0.317&amp;sourceID=14","0.317")</f>
        <v>0.317</v>
      </c>
    </row>
    <row r="2026" spans="1:7">
      <c r="A2026" s="3"/>
      <c r="B2026" s="3"/>
      <c r="C2026" s="3"/>
      <c r="D2026" s="3"/>
      <c r="E2026" s="3">
        <v>3</v>
      </c>
      <c r="F2026" s="4" t="str">
        <f>HYPERLINK("http://141.218.60.56/~jnz1568/getInfo.php?workbook=18_15.xlsx&amp;sheet=U0&amp;row=2026&amp;col=6&amp;number=3.2&amp;sourceID=14","3.2")</f>
        <v>3.2</v>
      </c>
      <c r="G2026" s="4" t="str">
        <f>HYPERLINK("http://141.218.60.56/~jnz1568/getInfo.php?workbook=18_15.xlsx&amp;sheet=U0&amp;row=2026&amp;col=7&amp;number=0.337&amp;sourceID=14","0.337")</f>
        <v>0.337</v>
      </c>
    </row>
    <row r="2027" spans="1:7">
      <c r="A2027" s="3"/>
      <c r="B2027" s="3"/>
      <c r="C2027" s="3"/>
      <c r="D2027" s="3"/>
      <c r="E2027" s="3">
        <v>4</v>
      </c>
      <c r="F2027" s="4" t="str">
        <f>HYPERLINK("http://141.218.60.56/~jnz1568/getInfo.php?workbook=18_15.xlsx&amp;sheet=U0&amp;row=2027&amp;col=6&amp;number=3.3&amp;sourceID=14","3.3")</f>
        <v>3.3</v>
      </c>
      <c r="G2027" s="4" t="str">
        <f>HYPERLINK("http://141.218.60.56/~jnz1568/getInfo.php?workbook=18_15.xlsx&amp;sheet=U0&amp;row=2027&amp;col=7&amp;number=0.362&amp;sourceID=14","0.362")</f>
        <v>0.362</v>
      </c>
    </row>
    <row r="2028" spans="1:7">
      <c r="A2028" s="3"/>
      <c r="B2028" s="3"/>
      <c r="C2028" s="3"/>
      <c r="D2028" s="3"/>
      <c r="E2028" s="3">
        <v>5</v>
      </c>
      <c r="F2028" s="4" t="str">
        <f>HYPERLINK("http://141.218.60.56/~jnz1568/getInfo.php?workbook=18_15.xlsx&amp;sheet=U0&amp;row=2028&amp;col=6&amp;number=3.4&amp;sourceID=14","3.4")</f>
        <v>3.4</v>
      </c>
      <c r="G2028" s="4" t="str">
        <f>HYPERLINK("http://141.218.60.56/~jnz1568/getInfo.php?workbook=18_15.xlsx&amp;sheet=U0&amp;row=2028&amp;col=7&amp;number=0.394&amp;sourceID=14","0.394")</f>
        <v>0.394</v>
      </c>
    </row>
    <row r="2029" spans="1:7">
      <c r="A2029" s="3"/>
      <c r="B2029" s="3"/>
      <c r="C2029" s="3"/>
      <c r="D2029" s="3"/>
      <c r="E2029" s="3">
        <v>6</v>
      </c>
      <c r="F2029" s="4" t="str">
        <f>HYPERLINK("http://141.218.60.56/~jnz1568/getInfo.php?workbook=18_15.xlsx&amp;sheet=U0&amp;row=2029&amp;col=6&amp;number=3.5&amp;sourceID=14","3.5")</f>
        <v>3.5</v>
      </c>
      <c r="G2029" s="4" t="str">
        <f>HYPERLINK("http://141.218.60.56/~jnz1568/getInfo.php?workbook=18_15.xlsx&amp;sheet=U0&amp;row=2029&amp;col=7&amp;number=0.431&amp;sourceID=14","0.431")</f>
        <v>0.431</v>
      </c>
    </row>
    <row r="2030" spans="1:7">
      <c r="A2030" s="3"/>
      <c r="B2030" s="3"/>
      <c r="C2030" s="3"/>
      <c r="D2030" s="3"/>
      <c r="E2030" s="3">
        <v>7</v>
      </c>
      <c r="F2030" s="4" t="str">
        <f>HYPERLINK("http://141.218.60.56/~jnz1568/getInfo.php?workbook=18_15.xlsx&amp;sheet=U0&amp;row=2030&amp;col=6&amp;number=3.6&amp;sourceID=14","3.6")</f>
        <v>3.6</v>
      </c>
      <c r="G2030" s="4" t="str">
        <f>HYPERLINK("http://141.218.60.56/~jnz1568/getInfo.php?workbook=18_15.xlsx&amp;sheet=U0&amp;row=2030&amp;col=7&amp;number=0.477&amp;sourceID=14","0.477")</f>
        <v>0.477</v>
      </c>
    </row>
    <row r="2031" spans="1:7">
      <c r="A2031" s="3"/>
      <c r="B2031" s="3"/>
      <c r="C2031" s="3"/>
      <c r="D2031" s="3"/>
      <c r="E2031" s="3">
        <v>8</v>
      </c>
      <c r="F2031" s="4" t="str">
        <f>HYPERLINK("http://141.218.60.56/~jnz1568/getInfo.php?workbook=18_15.xlsx&amp;sheet=U0&amp;row=2031&amp;col=6&amp;number=3.7&amp;sourceID=14","3.7")</f>
        <v>3.7</v>
      </c>
      <c r="G2031" s="4" t="str">
        <f>HYPERLINK("http://141.218.60.56/~jnz1568/getInfo.php?workbook=18_15.xlsx&amp;sheet=U0&amp;row=2031&amp;col=7&amp;number=0.531&amp;sourceID=14","0.531")</f>
        <v>0.531</v>
      </c>
    </row>
    <row r="2032" spans="1:7">
      <c r="A2032" s="3"/>
      <c r="B2032" s="3"/>
      <c r="C2032" s="3"/>
      <c r="D2032" s="3"/>
      <c r="E2032" s="3">
        <v>9</v>
      </c>
      <c r="F2032" s="4" t="str">
        <f>HYPERLINK("http://141.218.60.56/~jnz1568/getInfo.php?workbook=18_15.xlsx&amp;sheet=U0&amp;row=2032&amp;col=6&amp;number=3.8&amp;sourceID=14","3.8")</f>
        <v>3.8</v>
      </c>
      <c r="G2032" s="4" t="str">
        <f>HYPERLINK("http://141.218.60.56/~jnz1568/getInfo.php?workbook=18_15.xlsx&amp;sheet=U0&amp;row=2032&amp;col=7&amp;number=0.592&amp;sourceID=14","0.592")</f>
        <v>0.592</v>
      </c>
    </row>
    <row r="2033" spans="1:7">
      <c r="A2033" s="3"/>
      <c r="B2033" s="3"/>
      <c r="C2033" s="3"/>
      <c r="D2033" s="3"/>
      <c r="E2033" s="3">
        <v>10</v>
      </c>
      <c r="F2033" s="4" t="str">
        <f>HYPERLINK("http://141.218.60.56/~jnz1568/getInfo.php?workbook=18_15.xlsx&amp;sheet=U0&amp;row=2033&amp;col=6&amp;number=3.9&amp;sourceID=14","3.9")</f>
        <v>3.9</v>
      </c>
      <c r="G2033" s="4" t="str">
        <f>HYPERLINK("http://141.218.60.56/~jnz1568/getInfo.php?workbook=18_15.xlsx&amp;sheet=U0&amp;row=2033&amp;col=7&amp;number=0.658&amp;sourceID=14","0.658")</f>
        <v>0.658</v>
      </c>
    </row>
    <row r="2034" spans="1:7">
      <c r="A2034" s="3"/>
      <c r="B2034" s="3"/>
      <c r="C2034" s="3"/>
      <c r="D2034" s="3"/>
      <c r="E2034" s="3">
        <v>11</v>
      </c>
      <c r="F2034" s="4" t="str">
        <f>HYPERLINK("http://141.218.60.56/~jnz1568/getInfo.php?workbook=18_15.xlsx&amp;sheet=U0&amp;row=2034&amp;col=6&amp;number=4&amp;sourceID=14","4")</f>
        <v>4</v>
      </c>
      <c r="G2034" s="4" t="str">
        <f>HYPERLINK("http://141.218.60.56/~jnz1568/getInfo.php?workbook=18_15.xlsx&amp;sheet=U0&amp;row=2034&amp;col=7&amp;number=0.724&amp;sourceID=14","0.724")</f>
        <v>0.724</v>
      </c>
    </row>
    <row r="2035" spans="1:7">
      <c r="A2035" s="3"/>
      <c r="B2035" s="3"/>
      <c r="C2035" s="3"/>
      <c r="D2035" s="3"/>
      <c r="E2035" s="3">
        <v>12</v>
      </c>
      <c r="F2035" s="4" t="str">
        <f>HYPERLINK("http://141.218.60.56/~jnz1568/getInfo.php?workbook=18_15.xlsx&amp;sheet=U0&amp;row=2035&amp;col=6&amp;number=4.1&amp;sourceID=14","4.1")</f>
        <v>4.1</v>
      </c>
      <c r="G2035" s="4" t="str">
        <f>HYPERLINK("http://141.218.60.56/~jnz1568/getInfo.php?workbook=18_15.xlsx&amp;sheet=U0&amp;row=2035&amp;col=7&amp;number=0.781&amp;sourceID=14","0.781")</f>
        <v>0.781</v>
      </c>
    </row>
    <row r="2036" spans="1:7">
      <c r="A2036" s="3"/>
      <c r="B2036" s="3"/>
      <c r="C2036" s="3"/>
      <c r="D2036" s="3"/>
      <c r="E2036" s="3">
        <v>13</v>
      </c>
      <c r="F2036" s="4" t="str">
        <f>HYPERLINK("http://141.218.60.56/~jnz1568/getInfo.php?workbook=18_15.xlsx&amp;sheet=U0&amp;row=2036&amp;col=6&amp;number=4.2&amp;sourceID=14","4.2")</f>
        <v>4.2</v>
      </c>
      <c r="G2036" s="4" t="str">
        <f>HYPERLINK("http://141.218.60.56/~jnz1568/getInfo.php?workbook=18_15.xlsx&amp;sheet=U0&amp;row=2036&amp;col=7&amp;number=0.822&amp;sourceID=14","0.822")</f>
        <v>0.822</v>
      </c>
    </row>
    <row r="2037" spans="1:7">
      <c r="A2037" s="3"/>
      <c r="B2037" s="3"/>
      <c r="C2037" s="3"/>
      <c r="D2037" s="3"/>
      <c r="E2037" s="3">
        <v>14</v>
      </c>
      <c r="F2037" s="4" t="str">
        <f>HYPERLINK("http://141.218.60.56/~jnz1568/getInfo.php?workbook=18_15.xlsx&amp;sheet=U0&amp;row=2037&amp;col=6&amp;number=4.3&amp;sourceID=14","4.3")</f>
        <v>4.3</v>
      </c>
      <c r="G2037" s="4" t="str">
        <f>HYPERLINK("http://141.218.60.56/~jnz1568/getInfo.php?workbook=18_15.xlsx&amp;sheet=U0&amp;row=2037&amp;col=7&amp;number=0.839&amp;sourceID=14","0.839")</f>
        <v>0.839</v>
      </c>
    </row>
    <row r="2038" spans="1:7">
      <c r="A2038" s="3"/>
      <c r="B2038" s="3"/>
      <c r="C2038" s="3"/>
      <c r="D2038" s="3"/>
      <c r="E2038" s="3">
        <v>15</v>
      </c>
      <c r="F2038" s="4" t="str">
        <f>HYPERLINK("http://141.218.60.56/~jnz1568/getInfo.php?workbook=18_15.xlsx&amp;sheet=U0&amp;row=2038&amp;col=6&amp;number=4.4&amp;sourceID=14","4.4")</f>
        <v>4.4</v>
      </c>
      <c r="G2038" s="4" t="str">
        <f>HYPERLINK("http://141.218.60.56/~jnz1568/getInfo.php?workbook=18_15.xlsx&amp;sheet=U0&amp;row=2038&amp;col=7&amp;number=0.829&amp;sourceID=14","0.829")</f>
        <v>0.829</v>
      </c>
    </row>
    <row r="2039" spans="1:7">
      <c r="A2039" s="3"/>
      <c r="B2039" s="3"/>
      <c r="C2039" s="3"/>
      <c r="D2039" s="3"/>
      <c r="E2039" s="3">
        <v>16</v>
      </c>
      <c r="F2039" s="4" t="str">
        <f>HYPERLINK("http://141.218.60.56/~jnz1568/getInfo.php?workbook=18_15.xlsx&amp;sheet=U0&amp;row=2039&amp;col=6&amp;number=4.5&amp;sourceID=14","4.5")</f>
        <v>4.5</v>
      </c>
      <c r="G2039" s="4" t="str">
        <f>HYPERLINK("http://141.218.60.56/~jnz1568/getInfo.php?workbook=18_15.xlsx&amp;sheet=U0&amp;row=2039&amp;col=7&amp;number=0.793&amp;sourceID=14","0.793")</f>
        <v>0.793</v>
      </c>
    </row>
    <row r="2040" spans="1:7">
      <c r="A2040" s="3"/>
      <c r="B2040" s="3"/>
      <c r="C2040" s="3"/>
      <c r="D2040" s="3"/>
      <c r="E2040" s="3">
        <v>17</v>
      </c>
      <c r="F2040" s="4" t="str">
        <f>HYPERLINK("http://141.218.60.56/~jnz1568/getInfo.php?workbook=18_15.xlsx&amp;sheet=U0&amp;row=2040&amp;col=6&amp;number=4.6&amp;sourceID=14","4.6")</f>
        <v>4.6</v>
      </c>
      <c r="G2040" s="4" t="str">
        <f>HYPERLINK("http://141.218.60.56/~jnz1568/getInfo.php?workbook=18_15.xlsx&amp;sheet=U0&amp;row=2040&amp;col=7&amp;number=0.74&amp;sourceID=14","0.74")</f>
        <v>0.74</v>
      </c>
    </row>
    <row r="2041" spans="1:7">
      <c r="A2041" s="3"/>
      <c r="B2041" s="3"/>
      <c r="C2041" s="3"/>
      <c r="D2041" s="3"/>
      <c r="E2041" s="3">
        <v>18</v>
      </c>
      <c r="F2041" s="4" t="str">
        <f>HYPERLINK("http://141.218.60.56/~jnz1568/getInfo.php?workbook=18_15.xlsx&amp;sheet=U0&amp;row=2041&amp;col=6&amp;number=4.7&amp;sourceID=14","4.7")</f>
        <v>4.7</v>
      </c>
      <c r="G2041" s="4" t="str">
        <f>HYPERLINK("http://141.218.60.56/~jnz1568/getInfo.php?workbook=18_15.xlsx&amp;sheet=U0&amp;row=2041&amp;col=7&amp;number=0.686&amp;sourceID=14","0.686")</f>
        <v>0.686</v>
      </c>
    </row>
    <row r="2042" spans="1:7">
      <c r="A2042" s="3"/>
      <c r="B2042" s="3"/>
      <c r="C2042" s="3"/>
      <c r="D2042" s="3"/>
      <c r="E2042" s="3">
        <v>19</v>
      </c>
      <c r="F2042" s="4" t="str">
        <f>HYPERLINK("http://141.218.60.56/~jnz1568/getInfo.php?workbook=18_15.xlsx&amp;sheet=U0&amp;row=2042&amp;col=6&amp;number=4.8&amp;sourceID=14","4.8")</f>
        <v>4.8</v>
      </c>
      <c r="G2042" s="4" t="str">
        <f>HYPERLINK("http://141.218.60.56/~jnz1568/getInfo.php?workbook=18_15.xlsx&amp;sheet=U0&amp;row=2042&amp;col=7&amp;number=0.631&amp;sourceID=14","0.631")</f>
        <v>0.631</v>
      </c>
    </row>
    <row r="2043" spans="1:7">
      <c r="A2043" s="3"/>
      <c r="B2043" s="3"/>
      <c r="C2043" s="3"/>
      <c r="D2043" s="3"/>
      <c r="E2043" s="3">
        <v>20</v>
      </c>
      <c r="F2043" s="4" t="str">
        <f>HYPERLINK("http://141.218.60.56/~jnz1568/getInfo.php?workbook=18_15.xlsx&amp;sheet=U0&amp;row=2043&amp;col=6&amp;number=4.9&amp;sourceID=14","4.9")</f>
        <v>4.9</v>
      </c>
      <c r="G2043" s="4" t="str">
        <f>HYPERLINK("http://141.218.60.56/~jnz1568/getInfo.php?workbook=18_15.xlsx&amp;sheet=U0&amp;row=2043&amp;col=7&amp;number=0.574&amp;sourceID=14","0.574")</f>
        <v>0.574</v>
      </c>
    </row>
    <row r="2044" spans="1:7">
      <c r="A2044" s="3">
        <v>18</v>
      </c>
      <c r="B2044" s="3">
        <v>15</v>
      </c>
      <c r="C2044" s="3">
        <v>4</v>
      </c>
      <c r="D2044" s="3">
        <v>24</v>
      </c>
      <c r="E2044" s="3">
        <v>1</v>
      </c>
      <c r="F2044" s="4" t="str">
        <f>HYPERLINK("http://141.218.60.56/~jnz1568/getInfo.php?workbook=18_15.xlsx&amp;sheet=U0&amp;row=2044&amp;col=6&amp;number=3&amp;sourceID=14","3")</f>
        <v>3</v>
      </c>
      <c r="G2044" s="4" t="str">
        <f>HYPERLINK("http://141.218.60.56/~jnz1568/getInfo.php?workbook=18_15.xlsx&amp;sheet=U0&amp;row=2044&amp;col=7&amp;number=0.12&amp;sourceID=14","0.12")</f>
        <v>0.12</v>
      </c>
    </row>
    <row r="2045" spans="1:7">
      <c r="A2045" s="3"/>
      <c r="B2045" s="3"/>
      <c r="C2045" s="3"/>
      <c r="D2045" s="3"/>
      <c r="E2045" s="3">
        <v>2</v>
      </c>
      <c r="F2045" s="4" t="str">
        <f>HYPERLINK("http://141.218.60.56/~jnz1568/getInfo.php?workbook=18_15.xlsx&amp;sheet=U0&amp;row=2045&amp;col=6&amp;number=3.1&amp;sourceID=14","3.1")</f>
        <v>3.1</v>
      </c>
      <c r="G2045" s="4" t="str">
        <f>HYPERLINK("http://141.218.60.56/~jnz1568/getInfo.php?workbook=18_15.xlsx&amp;sheet=U0&amp;row=2045&amp;col=7&amp;number=0.126&amp;sourceID=14","0.126")</f>
        <v>0.126</v>
      </c>
    </row>
    <row r="2046" spans="1:7">
      <c r="A2046" s="3"/>
      <c r="B2046" s="3"/>
      <c r="C2046" s="3"/>
      <c r="D2046" s="3"/>
      <c r="E2046" s="3">
        <v>3</v>
      </c>
      <c r="F2046" s="4" t="str">
        <f>HYPERLINK("http://141.218.60.56/~jnz1568/getInfo.php?workbook=18_15.xlsx&amp;sheet=U0&amp;row=2046&amp;col=6&amp;number=3.2&amp;sourceID=14","3.2")</f>
        <v>3.2</v>
      </c>
      <c r="G2046" s="4" t="str">
        <f>HYPERLINK("http://141.218.60.56/~jnz1568/getInfo.php?workbook=18_15.xlsx&amp;sheet=U0&amp;row=2046&amp;col=7&amp;number=0.134&amp;sourceID=14","0.134")</f>
        <v>0.134</v>
      </c>
    </row>
    <row r="2047" spans="1:7">
      <c r="A2047" s="3"/>
      <c r="B2047" s="3"/>
      <c r="C2047" s="3"/>
      <c r="D2047" s="3"/>
      <c r="E2047" s="3">
        <v>4</v>
      </c>
      <c r="F2047" s="4" t="str">
        <f>HYPERLINK("http://141.218.60.56/~jnz1568/getInfo.php?workbook=18_15.xlsx&amp;sheet=U0&amp;row=2047&amp;col=6&amp;number=3.3&amp;sourceID=14","3.3")</f>
        <v>3.3</v>
      </c>
      <c r="G2047" s="4" t="str">
        <f>HYPERLINK("http://141.218.60.56/~jnz1568/getInfo.php?workbook=18_15.xlsx&amp;sheet=U0&amp;row=2047&amp;col=7&amp;number=0.144&amp;sourceID=14","0.144")</f>
        <v>0.144</v>
      </c>
    </row>
    <row r="2048" spans="1:7">
      <c r="A2048" s="3"/>
      <c r="B2048" s="3"/>
      <c r="C2048" s="3"/>
      <c r="D2048" s="3"/>
      <c r="E2048" s="3">
        <v>5</v>
      </c>
      <c r="F2048" s="4" t="str">
        <f>HYPERLINK("http://141.218.60.56/~jnz1568/getInfo.php?workbook=18_15.xlsx&amp;sheet=U0&amp;row=2048&amp;col=6&amp;number=3.4&amp;sourceID=14","3.4")</f>
        <v>3.4</v>
      </c>
      <c r="G2048" s="4" t="str">
        <f>HYPERLINK("http://141.218.60.56/~jnz1568/getInfo.php?workbook=18_15.xlsx&amp;sheet=U0&amp;row=2048&amp;col=7&amp;number=0.157&amp;sourceID=14","0.157")</f>
        <v>0.157</v>
      </c>
    </row>
    <row r="2049" spans="1:7">
      <c r="A2049" s="3"/>
      <c r="B2049" s="3"/>
      <c r="C2049" s="3"/>
      <c r="D2049" s="3"/>
      <c r="E2049" s="3">
        <v>6</v>
      </c>
      <c r="F2049" s="4" t="str">
        <f>HYPERLINK("http://141.218.60.56/~jnz1568/getInfo.php?workbook=18_15.xlsx&amp;sheet=U0&amp;row=2049&amp;col=6&amp;number=3.5&amp;sourceID=14","3.5")</f>
        <v>3.5</v>
      </c>
      <c r="G2049" s="4" t="str">
        <f>HYPERLINK("http://141.218.60.56/~jnz1568/getInfo.php?workbook=18_15.xlsx&amp;sheet=U0&amp;row=2049&amp;col=7&amp;number=0.172&amp;sourceID=14","0.172")</f>
        <v>0.172</v>
      </c>
    </row>
    <row r="2050" spans="1:7">
      <c r="A2050" s="3"/>
      <c r="B2050" s="3"/>
      <c r="C2050" s="3"/>
      <c r="D2050" s="3"/>
      <c r="E2050" s="3">
        <v>7</v>
      </c>
      <c r="F2050" s="4" t="str">
        <f>HYPERLINK("http://141.218.60.56/~jnz1568/getInfo.php?workbook=18_15.xlsx&amp;sheet=U0&amp;row=2050&amp;col=6&amp;number=3.6&amp;sourceID=14","3.6")</f>
        <v>3.6</v>
      </c>
      <c r="G2050" s="4" t="str">
        <f>HYPERLINK("http://141.218.60.56/~jnz1568/getInfo.php?workbook=18_15.xlsx&amp;sheet=U0&amp;row=2050&amp;col=7&amp;number=0.191&amp;sourceID=14","0.191")</f>
        <v>0.191</v>
      </c>
    </row>
    <row r="2051" spans="1:7">
      <c r="A2051" s="3"/>
      <c r="B2051" s="3"/>
      <c r="C2051" s="3"/>
      <c r="D2051" s="3"/>
      <c r="E2051" s="3">
        <v>8</v>
      </c>
      <c r="F2051" s="4" t="str">
        <f>HYPERLINK("http://141.218.60.56/~jnz1568/getInfo.php?workbook=18_15.xlsx&amp;sheet=U0&amp;row=2051&amp;col=6&amp;number=3.7&amp;sourceID=14","3.7")</f>
        <v>3.7</v>
      </c>
      <c r="G2051" s="4" t="str">
        <f>HYPERLINK("http://141.218.60.56/~jnz1568/getInfo.php?workbook=18_15.xlsx&amp;sheet=U0&amp;row=2051&amp;col=7&amp;number=0.213&amp;sourceID=14","0.213")</f>
        <v>0.213</v>
      </c>
    </row>
    <row r="2052" spans="1:7">
      <c r="A2052" s="3"/>
      <c r="B2052" s="3"/>
      <c r="C2052" s="3"/>
      <c r="D2052" s="3"/>
      <c r="E2052" s="3">
        <v>9</v>
      </c>
      <c r="F2052" s="4" t="str">
        <f>HYPERLINK("http://141.218.60.56/~jnz1568/getInfo.php?workbook=18_15.xlsx&amp;sheet=U0&amp;row=2052&amp;col=6&amp;number=3.8&amp;sourceID=14","3.8")</f>
        <v>3.8</v>
      </c>
      <c r="G2052" s="4" t="str">
        <f>HYPERLINK("http://141.218.60.56/~jnz1568/getInfo.php?workbook=18_15.xlsx&amp;sheet=U0&amp;row=2052&amp;col=7&amp;number=0.24&amp;sourceID=14","0.24")</f>
        <v>0.24</v>
      </c>
    </row>
    <row r="2053" spans="1:7">
      <c r="A2053" s="3"/>
      <c r="B2053" s="3"/>
      <c r="C2053" s="3"/>
      <c r="D2053" s="3"/>
      <c r="E2053" s="3">
        <v>10</v>
      </c>
      <c r="F2053" s="4" t="str">
        <f>HYPERLINK("http://141.218.60.56/~jnz1568/getInfo.php?workbook=18_15.xlsx&amp;sheet=U0&amp;row=2053&amp;col=6&amp;number=3.9&amp;sourceID=14","3.9")</f>
        <v>3.9</v>
      </c>
      <c r="G2053" s="4" t="str">
        <f>HYPERLINK("http://141.218.60.56/~jnz1568/getInfo.php?workbook=18_15.xlsx&amp;sheet=U0&amp;row=2053&amp;col=7&amp;number=0.27&amp;sourceID=14","0.27")</f>
        <v>0.27</v>
      </c>
    </row>
    <row r="2054" spans="1:7">
      <c r="A2054" s="3"/>
      <c r="B2054" s="3"/>
      <c r="C2054" s="3"/>
      <c r="D2054" s="3"/>
      <c r="E2054" s="3">
        <v>11</v>
      </c>
      <c r="F2054" s="4" t="str">
        <f>HYPERLINK("http://141.218.60.56/~jnz1568/getInfo.php?workbook=18_15.xlsx&amp;sheet=U0&amp;row=2054&amp;col=6&amp;number=4&amp;sourceID=14","4")</f>
        <v>4</v>
      </c>
      <c r="G2054" s="4" t="str">
        <f>HYPERLINK("http://141.218.60.56/~jnz1568/getInfo.php?workbook=18_15.xlsx&amp;sheet=U0&amp;row=2054&amp;col=7&amp;number=0.304&amp;sourceID=14","0.304")</f>
        <v>0.304</v>
      </c>
    </row>
    <row r="2055" spans="1:7">
      <c r="A2055" s="3"/>
      <c r="B2055" s="3"/>
      <c r="C2055" s="3"/>
      <c r="D2055" s="3"/>
      <c r="E2055" s="3">
        <v>12</v>
      </c>
      <c r="F2055" s="4" t="str">
        <f>HYPERLINK("http://141.218.60.56/~jnz1568/getInfo.php?workbook=18_15.xlsx&amp;sheet=U0&amp;row=2055&amp;col=6&amp;number=4.1&amp;sourceID=14","4.1")</f>
        <v>4.1</v>
      </c>
      <c r="G2055" s="4" t="str">
        <f>HYPERLINK("http://141.218.60.56/~jnz1568/getInfo.php?workbook=18_15.xlsx&amp;sheet=U0&amp;row=2055&amp;col=7&amp;number=0.338&amp;sourceID=14","0.338")</f>
        <v>0.338</v>
      </c>
    </row>
    <row r="2056" spans="1:7">
      <c r="A2056" s="3"/>
      <c r="B2056" s="3"/>
      <c r="C2056" s="3"/>
      <c r="D2056" s="3"/>
      <c r="E2056" s="3">
        <v>13</v>
      </c>
      <c r="F2056" s="4" t="str">
        <f>HYPERLINK("http://141.218.60.56/~jnz1568/getInfo.php?workbook=18_15.xlsx&amp;sheet=U0&amp;row=2056&amp;col=6&amp;number=4.2&amp;sourceID=14","4.2")</f>
        <v>4.2</v>
      </c>
      <c r="G2056" s="4" t="str">
        <f>HYPERLINK("http://141.218.60.56/~jnz1568/getInfo.php?workbook=18_15.xlsx&amp;sheet=U0&amp;row=2056&amp;col=7&amp;number=0.37&amp;sourceID=14","0.37")</f>
        <v>0.37</v>
      </c>
    </row>
    <row r="2057" spans="1:7">
      <c r="A2057" s="3"/>
      <c r="B2057" s="3"/>
      <c r="C2057" s="3"/>
      <c r="D2057" s="3"/>
      <c r="E2057" s="3">
        <v>14</v>
      </c>
      <c r="F2057" s="4" t="str">
        <f>HYPERLINK("http://141.218.60.56/~jnz1568/getInfo.php?workbook=18_15.xlsx&amp;sheet=U0&amp;row=2057&amp;col=6&amp;number=4.3&amp;sourceID=14","4.3")</f>
        <v>4.3</v>
      </c>
      <c r="G2057" s="4" t="str">
        <f>HYPERLINK("http://141.218.60.56/~jnz1568/getInfo.php?workbook=18_15.xlsx&amp;sheet=U0&amp;row=2057&amp;col=7&amp;number=0.398&amp;sourceID=14","0.398")</f>
        <v>0.398</v>
      </c>
    </row>
    <row r="2058" spans="1:7">
      <c r="A2058" s="3"/>
      <c r="B2058" s="3"/>
      <c r="C2058" s="3"/>
      <c r="D2058" s="3"/>
      <c r="E2058" s="3">
        <v>15</v>
      </c>
      <c r="F2058" s="4" t="str">
        <f>HYPERLINK("http://141.218.60.56/~jnz1568/getInfo.php?workbook=18_15.xlsx&amp;sheet=U0&amp;row=2058&amp;col=6&amp;number=4.4&amp;sourceID=14","4.4")</f>
        <v>4.4</v>
      </c>
      <c r="G2058" s="4" t="str">
        <f>HYPERLINK("http://141.218.60.56/~jnz1568/getInfo.php?workbook=18_15.xlsx&amp;sheet=U0&amp;row=2058&amp;col=7&amp;number=0.42&amp;sourceID=14","0.42")</f>
        <v>0.42</v>
      </c>
    </row>
    <row r="2059" spans="1:7">
      <c r="A2059" s="3"/>
      <c r="B2059" s="3"/>
      <c r="C2059" s="3"/>
      <c r="D2059" s="3"/>
      <c r="E2059" s="3">
        <v>16</v>
      </c>
      <c r="F2059" s="4" t="str">
        <f>HYPERLINK("http://141.218.60.56/~jnz1568/getInfo.php?workbook=18_15.xlsx&amp;sheet=U0&amp;row=2059&amp;col=6&amp;number=4.5&amp;sourceID=14","4.5")</f>
        <v>4.5</v>
      </c>
      <c r="G2059" s="4" t="str">
        <f>HYPERLINK("http://141.218.60.56/~jnz1568/getInfo.php?workbook=18_15.xlsx&amp;sheet=U0&amp;row=2059&amp;col=7&amp;number=0.436&amp;sourceID=14","0.436")</f>
        <v>0.436</v>
      </c>
    </row>
    <row r="2060" spans="1:7">
      <c r="A2060" s="3"/>
      <c r="B2060" s="3"/>
      <c r="C2060" s="3"/>
      <c r="D2060" s="3"/>
      <c r="E2060" s="3">
        <v>17</v>
      </c>
      <c r="F2060" s="4" t="str">
        <f>HYPERLINK("http://141.218.60.56/~jnz1568/getInfo.php?workbook=18_15.xlsx&amp;sheet=U0&amp;row=2060&amp;col=6&amp;number=4.6&amp;sourceID=14","4.6")</f>
        <v>4.6</v>
      </c>
      <c r="G2060" s="4" t="str">
        <f>HYPERLINK("http://141.218.60.56/~jnz1568/getInfo.php?workbook=18_15.xlsx&amp;sheet=U0&amp;row=2060&amp;col=7&amp;number=0.445&amp;sourceID=14","0.445")</f>
        <v>0.445</v>
      </c>
    </row>
    <row r="2061" spans="1:7">
      <c r="A2061" s="3"/>
      <c r="B2061" s="3"/>
      <c r="C2061" s="3"/>
      <c r="D2061" s="3"/>
      <c r="E2061" s="3">
        <v>18</v>
      </c>
      <c r="F2061" s="4" t="str">
        <f>HYPERLINK("http://141.218.60.56/~jnz1568/getInfo.php?workbook=18_15.xlsx&amp;sheet=U0&amp;row=2061&amp;col=6&amp;number=4.7&amp;sourceID=14","4.7")</f>
        <v>4.7</v>
      </c>
      <c r="G2061" s="4" t="str">
        <f>HYPERLINK("http://141.218.60.56/~jnz1568/getInfo.php?workbook=18_15.xlsx&amp;sheet=U0&amp;row=2061&amp;col=7&amp;number=0.449&amp;sourceID=14","0.449")</f>
        <v>0.449</v>
      </c>
    </row>
    <row r="2062" spans="1:7">
      <c r="A2062" s="3"/>
      <c r="B2062" s="3"/>
      <c r="C2062" s="3"/>
      <c r="D2062" s="3"/>
      <c r="E2062" s="3">
        <v>19</v>
      </c>
      <c r="F2062" s="4" t="str">
        <f>HYPERLINK("http://141.218.60.56/~jnz1568/getInfo.php?workbook=18_15.xlsx&amp;sheet=U0&amp;row=2062&amp;col=6&amp;number=4.8&amp;sourceID=14","4.8")</f>
        <v>4.8</v>
      </c>
      <c r="G2062" s="4" t="str">
        <f>HYPERLINK("http://141.218.60.56/~jnz1568/getInfo.php?workbook=18_15.xlsx&amp;sheet=U0&amp;row=2062&amp;col=7&amp;number=0.446&amp;sourceID=14","0.446")</f>
        <v>0.446</v>
      </c>
    </row>
    <row r="2063" spans="1:7">
      <c r="A2063" s="3"/>
      <c r="B2063" s="3"/>
      <c r="C2063" s="3"/>
      <c r="D2063" s="3"/>
      <c r="E2063" s="3">
        <v>20</v>
      </c>
      <c r="F2063" s="4" t="str">
        <f>HYPERLINK("http://141.218.60.56/~jnz1568/getInfo.php?workbook=18_15.xlsx&amp;sheet=U0&amp;row=2063&amp;col=6&amp;number=4.9&amp;sourceID=14","4.9")</f>
        <v>4.9</v>
      </c>
      <c r="G2063" s="4" t="str">
        <f>HYPERLINK("http://141.218.60.56/~jnz1568/getInfo.php?workbook=18_15.xlsx&amp;sheet=U0&amp;row=2063&amp;col=7&amp;number=0.439&amp;sourceID=14","0.439")</f>
        <v>0.439</v>
      </c>
    </row>
    <row r="2064" spans="1:7">
      <c r="A2064" s="3">
        <v>18</v>
      </c>
      <c r="B2064" s="3">
        <v>15</v>
      </c>
      <c r="C2064" s="3">
        <v>4</v>
      </c>
      <c r="D2064" s="3">
        <v>25</v>
      </c>
      <c r="E2064" s="3">
        <v>1</v>
      </c>
      <c r="F2064" s="4" t="str">
        <f>HYPERLINK("http://141.218.60.56/~jnz1568/getInfo.php?workbook=18_15.xlsx&amp;sheet=U0&amp;row=2064&amp;col=6&amp;number=3&amp;sourceID=14","3")</f>
        <v>3</v>
      </c>
      <c r="G2064" s="4" t="str">
        <f>HYPERLINK("http://141.218.60.56/~jnz1568/getInfo.php?workbook=18_15.xlsx&amp;sheet=U0&amp;row=2064&amp;col=7&amp;number=0.136&amp;sourceID=14","0.136")</f>
        <v>0.136</v>
      </c>
    </row>
    <row r="2065" spans="1:7">
      <c r="A2065" s="3"/>
      <c r="B2065" s="3"/>
      <c r="C2065" s="3"/>
      <c r="D2065" s="3"/>
      <c r="E2065" s="3">
        <v>2</v>
      </c>
      <c r="F2065" s="4" t="str">
        <f>HYPERLINK("http://141.218.60.56/~jnz1568/getInfo.php?workbook=18_15.xlsx&amp;sheet=U0&amp;row=2065&amp;col=6&amp;number=3.1&amp;sourceID=14","3.1")</f>
        <v>3.1</v>
      </c>
      <c r="G2065" s="4" t="str">
        <f>HYPERLINK("http://141.218.60.56/~jnz1568/getInfo.php?workbook=18_15.xlsx&amp;sheet=U0&amp;row=2065&amp;col=7&amp;number=0.141&amp;sourceID=14","0.141")</f>
        <v>0.141</v>
      </c>
    </row>
    <row r="2066" spans="1:7">
      <c r="A2066" s="3"/>
      <c r="B2066" s="3"/>
      <c r="C2066" s="3"/>
      <c r="D2066" s="3"/>
      <c r="E2066" s="3">
        <v>3</v>
      </c>
      <c r="F2066" s="4" t="str">
        <f>HYPERLINK("http://141.218.60.56/~jnz1568/getInfo.php?workbook=18_15.xlsx&amp;sheet=U0&amp;row=2066&amp;col=6&amp;number=3.2&amp;sourceID=14","3.2")</f>
        <v>3.2</v>
      </c>
      <c r="G2066" s="4" t="str">
        <f>HYPERLINK("http://141.218.60.56/~jnz1568/getInfo.php?workbook=18_15.xlsx&amp;sheet=U0&amp;row=2066&amp;col=7&amp;number=0.146&amp;sourceID=14","0.146")</f>
        <v>0.146</v>
      </c>
    </row>
    <row r="2067" spans="1:7">
      <c r="A2067" s="3"/>
      <c r="B2067" s="3"/>
      <c r="C2067" s="3"/>
      <c r="D2067" s="3"/>
      <c r="E2067" s="3">
        <v>4</v>
      </c>
      <c r="F2067" s="4" t="str">
        <f>HYPERLINK("http://141.218.60.56/~jnz1568/getInfo.php?workbook=18_15.xlsx&amp;sheet=U0&amp;row=2067&amp;col=6&amp;number=3.3&amp;sourceID=14","3.3")</f>
        <v>3.3</v>
      </c>
      <c r="G2067" s="4" t="str">
        <f>HYPERLINK("http://141.218.60.56/~jnz1568/getInfo.php?workbook=18_15.xlsx&amp;sheet=U0&amp;row=2067&amp;col=7&amp;number=0.154&amp;sourceID=14","0.154")</f>
        <v>0.154</v>
      </c>
    </row>
    <row r="2068" spans="1:7">
      <c r="A2068" s="3"/>
      <c r="B2068" s="3"/>
      <c r="C2068" s="3"/>
      <c r="D2068" s="3"/>
      <c r="E2068" s="3">
        <v>5</v>
      </c>
      <c r="F2068" s="4" t="str">
        <f>HYPERLINK("http://141.218.60.56/~jnz1568/getInfo.php?workbook=18_15.xlsx&amp;sheet=U0&amp;row=2068&amp;col=6&amp;number=3.4&amp;sourceID=14","3.4")</f>
        <v>3.4</v>
      </c>
      <c r="G2068" s="4" t="str">
        <f>HYPERLINK("http://141.218.60.56/~jnz1568/getInfo.php?workbook=18_15.xlsx&amp;sheet=U0&amp;row=2068&amp;col=7&amp;number=0.162&amp;sourceID=14","0.162")</f>
        <v>0.162</v>
      </c>
    </row>
    <row r="2069" spans="1:7">
      <c r="A2069" s="3"/>
      <c r="B2069" s="3"/>
      <c r="C2069" s="3"/>
      <c r="D2069" s="3"/>
      <c r="E2069" s="3">
        <v>6</v>
      </c>
      <c r="F2069" s="4" t="str">
        <f>HYPERLINK("http://141.218.60.56/~jnz1568/getInfo.php?workbook=18_15.xlsx&amp;sheet=U0&amp;row=2069&amp;col=6&amp;number=3.5&amp;sourceID=14","3.5")</f>
        <v>3.5</v>
      </c>
      <c r="G2069" s="4" t="str">
        <f>HYPERLINK("http://141.218.60.56/~jnz1568/getInfo.php?workbook=18_15.xlsx&amp;sheet=U0&amp;row=2069&amp;col=7&amp;number=0.173&amp;sourceID=14","0.173")</f>
        <v>0.173</v>
      </c>
    </row>
    <row r="2070" spans="1:7">
      <c r="A2070" s="3"/>
      <c r="B2070" s="3"/>
      <c r="C2070" s="3"/>
      <c r="D2070" s="3"/>
      <c r="E2070" s="3">
        <v>7</v>
      </c>
      <c r="F2070" s="4" t="str">
        <f>HYPERLINK("http://141.218.60.56/~jnz1568/getInfo.php?workbook=18_15.xlsx&amp;sheet=U0&amp;row=2070&amp;col=6&amp;number=3.6&amp;sourceID=14","3.6")</f>
        <v>3.6</v>
      </c>
      <c r="G2070" s="4" t="str">
        <f>HYPERLINK("http://141.218.60.56/~jnz1568/getInfo.php?workbook=18_15.xlsx&amp;sheet=U0&amp;row=2070&amp;col=7&amp;number=0.187&amp;sourceID=14","0.187")</f>
        <v>0.187</v>
      </c>
    </row>
    <row r="2071" spans="1:7">
      <c r="A2071" s="3"/>
      <c r="B2071" s="3"/>
      <c r="C2071" s="3"/>
      <c r="D2071" s="3"/>
      <c r="E2071" s="3">
        <v>8</v>
      </c>
      <c r="F2071" s="4" t="str">
        <f>HYPERLINK("http://141.218.60.56/~jnz1568/getInfo.php?workbook=18_15.xlsx&amp;sheet=U0&amp;row=2071&amp;col=6&amp;number=3.7&amp;sourceID=14","3.7")</f>
        <v>3.7</v>
      </c>
      <c r="G2071" s="4" t="str">
        <f>HYPERLINK("http://141.218.60.56/~jnz1568/getInfo.php?workbook=18_15.xlsx&amp;sheet=U0&amp;row=2071&amp;col=7&amp;number=0.204&amp;sourceID=14","0.204")</f>
        <v>0.204</v>
      </c>
    </row>
    <row r="2072" spans="1:7">
      <c r="A2072" s="3"/>
      <c r="B2072" s="3"/>
      <c r="C2072" s="3"/>
      <c r="D2072" s="3"/>
      <c r="E2072" s="3">
        <v>9</v>
      </c>
      <c r="F2072" s="4" t="str">
        <f>HYPERLINK("http://141.218.60.56/~jnz1568/getInfo.php?workbook=18_15.xlsx&amp;sheet=U0&amp;row=2072&amp;col=6&amp;number=3.8&amp;sourceID=14","3.8")</f>
        <v>3.8</v>
      </c>
      <c r="G2072" s="4" t="str">
        <f>HYPERLINK("http://141.218.60.56/~jnz1568/getInfo.php?workbook=18_15.xlsx&amp;sheet=U0&amp;row=2072&amp;col=7&amp;number=0.224&amp;sourceID=14","0.224")</f>
        <v>0.224</v>
      </c>
    </row>
    <row r="2073" spans="1:7">
      <c r="A2073" s="3"/>
      <c r="B2073" s="3"/>
      <c r="C2073" s="3"/>
      <c r="D2073" s="3"/>
      <c r="E2073" s="3">
        <v>10</v>
      </c>
      <c r="F2073" s="4" t="str">
        <f>HYPERLINK("http://141.218.60.56/~jnz1568/getInfo.php?workbook=18_15.xlsx&amp;sheet=U0&amp;row=2073&amp;col=6&amp;number=3.9&amp;sourceID=14","3.9")</f>
        <v>3.9</v>
      </c>
      <c r="G2073" s="4" t="str">
        <f>HYPERLINK("http://141.218.60.56/~jnz1568/getInfo.php?workbook=18_15.xlsx&amp;sheet=U0&amp;row=2073&amp;col=7&amp;number=0.249&amp;sourceID=14","0.249")</f>
        <v>0.249</v>
      </c>
    </row>
    <row r="2074" spans="1:7">
      <c r="A2074" s="3"/>
      <c r="B2074" s="3"/>
      <c r="C2074" s="3"/>
      <c r="D2074" s="3"/>
      <c r="E2074" s="3">
        <v>11</v>
      </c>
      <c r="F2074" s="4" t="str">
        <f>HYPERLINK("http://141.218.60.56/~jnz1568/getInfo.php?workbook=18_15.xlsx&amp;sheet=U0&amp;row=2074&amp;col=6&amp;number=4&amp;sourceID=14","4")</f>
        <v>4</v>
      </c>
      <c r="G2074" s="4" t="str">
        <f>HYPERLINK("http://141.218.60.56/~jnz1568/getInfo.php?workbook=18_15.xlsx&amp;sheet=U0&amp;row=2074&amp;col=7&amp;number=0.279&amp;sourceID=14","0.279")</f>
        <v>0.279</v>
      </c>
    </row>
    <row r="2075" spans="1:7">
      <c r="A2075" s="3"/>
      <c r="B2075" s="3"/>
      <c r="C2075" s="3"/>
      <c r="D2075" s="3"/>
      <c r="E2075" s="3">
        <v>12</v>
      </c>
      <c r="F2075" s="4" t="str">
        <f>HYPERLINK("http://141.218.60.56/~jnz1568/getInfo.php?workbook=18_15.xlsx&amp;sheet=U0&amp;row=2075&amp;col=6&amp;number=4.1&amp;sourceID=14","4.1")</f>
        <v>4.1</v>
      </c>
      <c r="G2075" s="4" t="str">
        <f>HYPERLINK("http://141.218.60.56/~jnz1568/getInfo.php?workbook=18_15.xlsx&amp;sheet=U0&amp;row=2075&amp;col=7&amp;number=0.312&amp;sourceID=14","0.312")</f>
        <v>0.312</v>
      </c>
    </row>
    <row r="2076" spans="1:7">
      <c r="A2076" s="3"/>
      <c r="B2076" s="3"/>
      <c r="C2076" s="3"/>
      <c r="D2076" s="3"/>
      <c r="E2076" s="3">
        <v>13</v>
      </c>
      <c r="F2076" s="4" t="str">
        <f>HYPERLINK("http://141.218.60.56/~jnz1568/getInfo.php?workbook=18_15.xlsx&amp;sheet=U0&amp;row=2076&amp;col=6&amp;number=4.2&amp;sourceID=14","4.2")</f>
        <v>4.2</v>
      </c>
      <c r="G2076" s="4" t="str">
        <f>HYPERLINK("http://141.218.60.56/~jnz1568/getInfo.php?workbook=18_15.xlsx&amp;sheet=U0&amp;row=2076&amp;col=7&amp;number=0.346&amp;sourceID=14","0.346")</f>
        <v>0.346</v>
      </c>
    </row>
    <row r="2077" spans="1:7">
      <c r="A2077" s="3"/>
      <c r="B2077" s="3"/>
      <c r="C2077" s="3"/>
      <c r="D2077" s="3"/>
      <c r="E2077" s="3">
        <v>14</v>
      </c>
      <c r="F2077" s="4" t="str">
        <f>HYPERLINK("http://141.218.60.56/~jnz1568/getInfo.php?workbook=18_15.xlsx&amp;sheet=U0&amp;row=2077&amp;col=6&amp;number=4.3&amp;sourceID=14","4.3")</f>
        <v>4.3</v>
      </c>
      <c r="G2077" s="4" t="str">
        <f>HYPERLINK("http://141.218.60.56/~jnz1568/getInfo.php?workbook=18_15.xlsx&amp;sheet=U0&amp;row=2077&amp;col=7&amp;number=0.376&amp;sourceID=14","0.376")</f>
        <v>0.376</v>
      </c>
    </row>
    <row r="2078" spans="1:7">
      <c r="A2078" s="3"/>
      <c r="B2078" s="3"/>
      <c r="C2078" s="3"/>
      <c r="D2078" s="3"/>
      <c r="E2078" s="3">
        <v>15</v>
      </c>
      <c r="F2078" s="4" t="str">
        <f>HYPERLINK("http://141.218.60.56/~jnz1568/getInfo.php?workbook=18_15.xlsx&amp;sheet=U0&amp;row=2078&amp;col=6&amp;number=4.4&amp;sourceID=14","4.4")</f>
        <v>4.4</v>
      </c>
      <c r="G2078" s="4" t="str">
        <f>HYPERLINK("http://141.218.60.56/~jnz1568/getInfo.php?workbook=18_15.xlsx&amp;sheet=U0&amp;row=2078&amp;col=7&amp;number=0.399&amp;sourceID=14","0.399")</f>
        <v>0.399</v>
      </c>
    </row>
    <row r="2079" spans="1:7">
      <c r="A2079" s="3"/>
      <c r="B2079" s="3"/>
      <c r="C2079" s="3"/>
      <c r="D2079" s="3"/>
      <c r="E2079" s="3">
        <v>16</v>
      </c>
      <c r="F2079" s="4" t="str">
        <f>HYPERLINK("http://141.218.60.56/~jnz1568/getInfo.php?workbook=18_15.xlsx&amp;sheet=U0&amp;row=2079&amp;col=6&amp;number=4.5&amp;sourceID=14","4.5")</f>
        <v>4.5</v>
      </c>
      <c r="G2079" s="4" t="str">
        <f>HYPERLINK("http://141.218.60.56/~jnz1568/getInfo.php?workbook=18_15.xlsx&amp;sheet=U0&amp;row=2079&amp;col=7&amp;number=0.417&amp;sourceID=14","0.417")</f>
        <v>0.417</v>
      </c>
    </row>
    <row r="2080" spans="1:7">
      <c r="A2080" s="3"/>
      <c r="B2080" s="3"/>
      <c r="C2080" s="3"/>
      <c r="D2080" s="3"/>
      <c r="E2080" s="3">
        <v>17</v>
      </c>
      <c r="F2080" s="4" t="str">
        <f>HYPERLINK("http://141.218.60.56/~jnz1568/getInfo.php?workbook=18_15.xlsx&amp;sheet=U0&amp;row=2080&amp;col=6&amp;number=4.6&amp;sourceID=14","4.6")</f>
        <v>4.6</v>
      </c>
      <c r="G2080" s="4" t="str">
        <f>HYPERLINK("http://141.218.60.56/~jnz1568/getInfo.php?workbook=18_15.xlsx&amp;sheet=U0&amp;row=2080&amp;col=7&amp;number=0.433&amp;sourceID=14","0.433")</f>
        <v>0.433</v>
      </c>
    </row>
    <row r="2081" spans="1:7">
      <c r="A2081" s="3"/>
      <c r="B2081" s="3"/>
      <c r="C2081" s="3"/>
      <c r="D2081" s="3"/>
      <c r="E2081" s="3">
        <v>18</v>
      </c>
      <c r="F2081" s="4" t="str">
        <f>HYPERLINK("http://141.218.60.56/~jnz1568/getInfo.php?workbook=18_15.xlsx&amp;sheet=U0&amp;row=2081&amp;col=6&amp;number=4.7&amp;sourceID=14","4.7")</f>
        <v>4.7</v>
      </c>
      <c r="G2081" s="4" t="str">
        <f>HYPERLINK("http://141.218.60.56/~jnz1568/getInfo.php?workbook=18_15.xlsx&amp;sheet=U0&amp;row=2081&amp;col=7&amp;number=0.444&amp;sourceID=14","0.444")</f>
        <v>0.444</v>
      </c>
    </row>
    <row r="2082" spans="1:7">
      <c r="A2082" s="3"/>
      <c r="B2082" s="3"/>
      <c r="C2082" s="3"/>
      <c r="D2082" s="3"/>
      <c r="E2082" s="3">
        <v>19</v>
      </c>
      <c r="F2082" s="4" t="str">
        <f>HYPERLINK("http://141.218.60.56/~jnz1568/getInfo.php?workbook=18_15.xlsx&amp;sheet=U0&amp;row=2082&amp;col=6&amp;number=4.8&amp;sourceID=14","4.8")</f>
        <v>4.8</v>
      </c>
      <c r="G2082" s="4" t="str">
        <f>HYPERLINK("http://141.218.60.56/~jnz1568/getInfo.php?workbook=18_15.xlsx&amp;sheet=U0&amp;row=2082&amp;col=7&amp;number=0.448&amp;sourceID=14","0.448")</f>
        <v>0.448</v>
      </c>
    </row>
    <row r="2083" spans="1:7">
      <c r="A2083" s="3"/>
      <c r="B2083" s="3"/>
      <c r="C2083" s="3"/>
      <c r="D2083" s="3"/>
      <c r="E2083" s="3">
        <v>20</v>
      </c>
      <c r="F2083" s="4" t="str">
        <f>HYPERLINK("http://141.218.60.56/~jnz1568/getInfo.php?workbook=18_15.xlsx&amp;sheet=U0&amp;row=2083&amp;col=6&amp;number=4.9&amp;sourceID=14","4.9")</f>
        <v>4.9</v>
      </c>
      <c r="G2083" s="4" t="str">
        <f>HYPERLINK("http://141.218.60.56/~jnz1568/getInfo.php?workbook=18_15.xlsx&amp;sheet=U0&amp;row=2083&amp;col=7&amp;number=0.443&amp;sourceID=14","0.443")</f>
        <v>0.443</v>
      </c>
    </row>
    <row r="2084" spans="1:7">
      <c r="A2084" s="3">
        <v>18</v>
      </c>
      <c r="B2084" s="3">
        <v>15</v>
      </c>
      <c r="C2084" s="3">
        <v>4</v>
      </c>
      <c r="D2084" s="3">
        <v>26</v>
      </c>
      <c r="E2084" s="3">
        <v>1</v>
      </c>
      <c r="F2084" s="4" t="str">
        <f>HYPERLINK("http://141.218.60.56/~jnz1568/getInfo.php?workbook=18_15.xlsx&amp;sheet=U0&amp;row=2084&amp;col=6&amp;number=3&amp;sourceID=14","3")</f>
        <v>3</v>
      </c>
      <c r="G2084" s="4" t="str">
        <f>HYPERLINK("http://141.218.60.56/~jnz1568/getInfo.php?workbook=18_15.xlsx&amp;sheet=U0&amp;row=2084&amp;col=7&amp;number=0.0415&amp;sourceID=14","0.0415")</f>
        <v>0.0415</v>
      </c>
    </row>
    <row r="2085" spans="1:7">
      <c r="A2085" s="3"/>
      <c r="B2085" s="3"/>
      <c r="C2085" s="3"/>
      <c r="D2085" s="3"/>
      <c r="E2085" s="3">
        <v>2</v>
      </c>
      <c r="F2085" s="4" t="str">
        <f>HYPERLINK("http://141.218.60.56/~jnz1568/getInfo.php?workbook=18_15.xlsx&amp;sheet=U0&amp;row=2085&amp;col=6&amp;number=3.1&amp;sourceID=14","3.1")</f>
        <v>3.1</v>
      </c>
      <c r="G2085" s="4" t="str">
        <f>HYPERLINK("http://141.218.60.56/~jnz1568/getInfo.php?workbook=18_15.xlsx&amp;sheet=U0&amp;row=2085&amp;col=7&amp;number=0.0411&amp;sourceID=14","0.0411")</f>
        <v>0.0411</v>
      </c>
    </row>
    <row r="2086" spans="1:7">
      <c r="A2086" s="3"/>
      <c r="B2086" s="3"/>
      <c r="C2086" s="3"/>
      <c r="D2086" s="3"/>
      <c r="E2086" s="3">
        <v>3</v>
      </c>
      <c r="F2086" s="4" t="str">
        <f>HYPERLINK("http://141.218.60.56/~jnz1568/getInfo.php?workbook=18_15.xlsx&amp;sheet=U0&amp;row=2086&amp;col=6&amp;number=3.2&amp;sourceID=14","3.2")</f>
        <v>3.2</v>
      </c>
      <c r="G2086" s="4" t="str">
        <f>HYPERLINK("http://141.218.60.56/~jnz1568/getInfo.php?workbook=18_15.xlsx&amp;sheet=U0&amp;row=2086&amp;col=7&amp;number=0.0406&amp;sourceID=14","0.0406")</f>
        <v>0.0406</v>
      </c>
    </row>
    <row r="2087" spans="1:7">
      <c r="A2087" s="3"/>
      <c r="B2087" s="3"/>
      <c r="C2087" s="3"/>
      <c r="D2087" s="3"/>
      <c r="E2087" s="3">
        <v>4</v>
      </c>
      <c r="F2087" s="4" t="str">
        <f>HYPERLINK("http://141.218.60.56/~jnz1568/getInfo.php?workbook=18_15.xlsx&amp;sheet=U0&amp;row=2087&amp;col=6&amp;number=3.3&amp;sourceID=14","3.3")</f>
        <v>3.3</v>
      </c>
      <c r="G2087" s="4" t="str">
        <f>HYPERLINK("http://141.218.60.56/~jnz1568/getInfo.php?workbook=18_15.xlsx&amp;sheet=U0&amp;row=2087&amp;col=7&amp;number=0.04&amp;sourceID=14","0.04")</f>
        <v>0.04</v>
      </c>
    </row>
    <row r="2088" spans="1:7">
      <c r="A2088" s="3"/>
      <c r="B2088" s="3"/>
      <c r="C2088" s="3"/>
      <c r="D2088" s="3"/>
      <c r="E2088" s="3">
        <v>5</v>
      </c>
      <c r="F2088" s="4" t="str">
        <f>HYPERLINK("http://141.218.60.56/~jnz1568/getInfo.php?workbook=18_15.xlsx&amp;sheet=U0&amp;row=2088&amp;col=6&amp;number=3.4&amp;sourceID=14","3.4")</f>
        <v>3.4</v>
      </c>
      <c r="G2088" s="4" t="str">
        <f>HYPERLINK("http://141.218.60.56/~jnz1568/getInfo.php?workbook=18_15.xlsx&amp;sheet=U0&amp;row=2088&amp;col=7&amp;number=0.0392&amp;sourceID=14","0.0392")</f>
        <v>0.0392</v>
      </c>
    </row>
    <row r="2089" spans="1:7">
      <c r="A2089" s="3"/>
      <c r="B2089" s="3"/>
      <c r="C2089" s="3"/>
      <c r="D2089" s="3"/>
      <c r="E2089" s="3">
        <v>6</v>
      </c>
      <c r="F2089" s="4" t="str">
        <f>HYPERLINK("http://141.218.60.56/~jnz1568/getInfo.php?workbook=18_15.xlsx&amp;sheet=U0&amp;row=2089&amp;col=6&amp;number=3.5&amp;sourceID=14","3.5")</f>
        <v>3.5</v>
      </c>
      <c r="G2089" s="4" t="str">
        <f>HYPERLINK("http://141.218.60.56/~jnz1568/getInfo.php?workbook=18_15.xlsx&amp;sheet=U0&amp;row=2089&amp;col=7&amp;number=0.0383&amp;sourceID=14","0.0383")</f>
        <v>0.0383</v>
      </c>
    </row>
    <row r="2090" spans="1:7">
      <c r="A2090" s="3"/>
      <c r="B2090" s="3"/>
      <c r="C2090" s="3"/>
      <c r="D2090" s="3"/>
      <c r="E2090" s="3">
        <v>7</v>
      </c>
      <c r="F2090" s="4" t="str">
        <f>HYPERLINK("http://141.218.60.56/~jnz1568/getInfo.php?workbook=18_15.xlsx&amp;sheet=U0&amp;row=2090&amp;col=6&amp;number=3.6&amp;sourceID=14","3.6")</f>
        <v>3.6</v>
      </c>
      <c r="G2090" s="4" t="str">
        <f>HYPERLINK("http://141.218.60.56/~jnz1568/getInfo.php?workbook=18_15.xlsx&amp;sheet=U0&amp;row=2090&amp;col=7&amp;number=0.0373&amp;sourceID=14","0.0373")</f>
        <v>0.0373</v>
      </c>
    </row>
    <row r="2091" spans="1:7">
      <c r="A2091" s="3"/>
      <c r="B2091" s="3"/>
      <c r="C2091" s="3"/>
      <c r="D2091" s="3"/>
      <c r="E2091" s="3">
        <v>8</v>
      </c>
      <c r="F2091" s="4" t="str">
        <f>HYPERLINK("http://141.218.60.56/~jnz1568/getInfo.php?workbook=18_15.xlsx&amp;sheet=U0&amp;row=2091&amp;col=6&amp;number=3.7&amp;sourceID=14","3.7")</f>
        <v>3.7</v>
      </c>
      <c r="G2091" s="4" t="str">
        <f>HYPERLINK("http://141.218.60.56/~jnz1568/getInfo.php?workbook=18_15.xlsx&amp;sheet=U0&amp;row=2091&amp;col=7&amp;number=0.0361&amp;sourceID=14","0.0361")</f>
        <v>0.0361</v>
      </c>
    </row>
    <row r="2092" spans="1:7">
      <c r="A2092" s="3"/>
      <c r="B2092" s="3"/>
      <c r="C2092" s="3"/>
      <c r="D2092" s="3"/>
      <c r="E2092" s="3">
        <v>9</v>
      </c>
      <c r="F2092" s="4" t="str">
        <f>HYPERLINK("http://141.218.60.56/~jnz1568/getInfo.php?workbook=18_15.xlsx&amp;sheet=U0&amp;row=2092&amp;col=6&amp;number=3.8&amp;sourceID=14","3.8")</f>
        <v>3.8</v>
      </c>
      <c r="G2092" s="4" t="str">
        <f>HYPERLINK("http://141.218.60.56/~jnz1568/getInfo.php?workbook=18_15.xlsx&amp;sheet=U0&amp;row=2092&amp;col=7&amp;number=0.0349&amp;sourceID=14","0.0349")</f>
        <v>0.0349</v>
      </c>
    </row>
    <row r="2093" spans="1:7">
      <c r="A2093" s="3"/>
      <c r="B2093" s="3"/>
      <c r="C2093" s="3"/>
      <c r="D2093" s="3"/>
      <c r="E2093" s="3">
        <v>10</v>
      </c>
      <c r="F2093" s="4" t="str">
        <f>HYPERLINK("http://141.218.60.56/~jnz1568/getInfo.php?workbook=18_15.xlsx&amp;sheet=U0&amp;row=2093&amp;col=6&amp;number=3.9&amp;sourceID=14","3.9")</f>
        <v>3.9</v>
      </c>
      <c r="G2093" s="4" t="str">
        <f>HYPERLINK("http://141.218.60.56/~jnz1568/getInfo.php?workbook=18_15.xlsx&amp;sheet=U0&amp;row=2093&amp;col=7&amp;number=0.0338&amp;sourceID=14","0.0338")</f>
        <v>0.0338</v>
      </c>
    </row>
    <row r="2094" spans="1:7">
      <c r="A2094" s="3"/>
      <c r="B2094" s="3"/>
      <c r="C2094" s="3"/>
      <c r="D2094" s="3"/>
      <c r="E2094" s="3">
        <v>11</v>
      </c>
      <c r="F2094" s="4" t="str">
        <f>HYPERLINK("http://141.218.60.56/~jnz1568/getInfo.php?workbook=18_15.xlsx&amp;sheet=U0&amp;row=2094&amp;col=6&amp;number=4&amp;sourceID=14","4")</f>
        <v>4</v>
      </c>
      <c r="G2094" s="4" t="str">
        <f>HYPERLINK("http://141.218.60.56/~jnz1568/getInfo.php?workbook=18_15.xlsx&amp;sheet=U0&amp;row=2094&amp;col=7&amp;number=0.0331&amp;sourceID=14","0.0331")</f>
        <v>0.0331</v>
      </c>
    </row>
    <row r="2095" spans="1:7">
      <c r="A2095" s="3"/>
      <c r="B2095" s="3"/>
      <c r="C2095" s="3"/>
      <c r="D2095" s="3"/>
      <c r="E2095" s="3">
        <v>12</v>
      </c>
      <c r="F2095" s="4" t="str">
        <f>HYPERLINK("http://141.218.60.56/~jnz1568/getInfo.php?workbook=18_15.xlsx&amp;sheet=U0&amp;row=2095&amp;col=6&amp;number=4.1&amp;sourceID=14","4.1")</f>
        <v>4.1</v>
      </c>
      <c r="G2095" s="4" t="str">
        <f>HYPERLINK("http://141.218.60.56/~jnz1568/getInfo.php?workbook=18_15.xlsx&amp;sheet=U0&amp;row=2095&amp;col=7&amp;number=0.033&amp;sourceID=14","0.033")</f>
        <v>0.033</v>
      </c>
    </row>
    <row r="2096" spans="1:7">
      <c r="A2096" s="3"/>
      <c r="B2096" s="3"/>
      <c r="C2096" s="3"/>
      <c r="D2096" s="3"/>
      <c r="E2096" s="3">
        <v>13</v>
      </c>
      <c r="F2096" s="4" t="str">
        <f>HYPERLINK("http://141.218.60.56/~jnz1568/getInfo.php?workbook=18_15.xlsx&amp;sheet=U0&amp;row=2096&amp;col=6&amp;number=4.2&amp;sourceID=14","4.2")</f>
        <v>4.2</v>
      </c>
      <c r="G2096" s="4" t="str">
        <f>HYPERLINK("http://141.218.60.56/~jnz1568/getInfo.php?workbook=18_15.xlsx&amp;sheet=U0&amp;row=2096&amp;col=7&amp;number=0.0333&amp;sourceID=14","0.0333")</f>
        <v>0.0333</v>
      </c>
    </row>
    <row r="2097" spans="1:7">
      <c r="A2097" s="3"/>
      <c r="B2097" s="3"/>
      <c r="C2097" s="3"/>
      <c r="D2097" s="3"/>
      <c r="E2097" s="3">
        <v>14</v>
      </c>
      <c r="F2097" s="4" t="str">
        <f>HYPERLINK("http://141.218.60.56/~jnz1568/getInfo.php?workbook=18_15.xlsx&amp;sheet=U0&amp;row=2097&amp;col=6&amp;number=4.3&amp;sourceID=14","4.3")</f>
        <v>4.3</v>
      </c>
      <c r="G2097" s="4" t="str">
        <f>HYPERLINK("http://141.218.60.56/~jnz1568/getInfo.php?workbook=18_15.xlsx&amp;sheet=U0&amp;row=2097&amp;col=7&amp;number=0.034&amp;sourceID=14","0.034")</f>
        <v>0.034</v>
      </c>
    </row>
    <row r="2098" spans="1:7">
      <c r="A2098" s="3"/>
      <c r="B2098" s="3"/>
      <c r="C2098" s="3"/>
      <c r="D2098" s="3"/>
      <c r="E2098" s="3">
        <v>15</v>
      </c>
      <c r="F2098" s="4" t="str">
        <f>HYPERLINK("http://141.218.60.56/~jnz1568/getInfo.php?workbook=18_15.xlsx&amp;sheet=U0&amp;row=2098&amp;col=6&amp;number=4.4&amp;sourceID=14","4.4")</f>
        <v>4.4</v>
      </c>
      <c r="G2098" s="4" t="str">
        <f>HYPERLINK("http://141.218.60.56/~jnz1568/getInfo.php?workbook=18_15.xlsx&amp;sheet=U0&amp;row=2098&amp;col=7&amp;number=0.0346&amp;sourceID=14","0.0346")</f>
        <v>0.0346</v>
      </c>
    </row>
    <row r="2099" spans="1:7">
      <c r="A2099" s="3"/>
      <c r="B2099" s="3"/>
      <c r="C2099" s="3"/>
      <c r="D2099" s="3"/>
      <c r="E2099" s="3">
        <v>16</v>
      </c>
      <c r="F2099" s="4" t="str">
        <f>HYPERLINK("http://141.218.60.56/~jnz1568/getInfo.php?workbook=18_15.xlsx&amp;sheet=U0&amp;row=2099&amp;col=6&amp;number=4.5&amp;sourceID=14","4.5")</f>
        <v>4.5</v>
      </c>
      <c r="G2099" s="4" t="str">
        <f>HYPERLINK("http://141.218.60.56/~jnz1568/getInfo.php?workbook=18_15.xlsx&amp;sheet=U0&amp;row=2099&amp;col=7&amp;number=0.0351&amp;sourceID=14","0.0351")</f>
        <v>0.0351</v>
      </c>
    </row>
    <row r="2100" spans="1:7">
      <c r="A2100" s="3"/>
      <c r="B2100" s="3"/>
      <c r="C2100" s="3"/>
      <c r="D2100" s="3"/>
      <c r="E2100" s="3">
        <v>17</v>
      </c>
      <c r="F2100" s="4" t="str">
        <f>HYPERLINK("http://141.218.60.56/~jnz1568/getInfo.php?workbook=18_15.xlsx&amp;sheet=U0&amp;row=2100&amp;col=6&amp;number=4.6&amp;sourceID=14","4.6")</f>
        <v>4.6</v>
      </c>
      <c r="G2100" s="4" t="str">
        <f>HYPERLINK("http://141.218.60.56/~jnz1568/getInfo.php?workbook=18_15.xlsx&amp;sheet=U0&amp;row=2100&amp;col=7&amp;number=0.0352&amp;sourceID=14","0.0352")</f>
        <v>0.0352</v>
      </c>
    </row>
    <row r="2101" spans="1:7">
      <c r="A2101" s="3"/>
      <c r="B2101" s="3"/>
      <c r="C2101" s="3"/>
      <c r="D2101" s="3"/>
      <c r="E2101" s="3">
        <v>18</v>
      </c>
      <c r="F2101" s="4" t="str">
        <f>HYPERLINK("http://141.218.60.56/~jnz1568/getInfo.php?workbook=18_15.xlsx&amp;sheet=U0&amp;row=2101&amp;col=6&amp;number=4.7&amp;sourceID=14","4.7")</f>
        <v>4.7</v>
      </c>
      <c r="G2101" s="4" t="str">
        <f>HYPERLINK("http://141.218.60.56/~jnz1568/getInfo.php?workbook=18_15.xlsx&amp;sheet=U0&amp;row=2101&amp;col=7&amp;number=0.0351&amp;sourceID=14","0.0351")</f>
        <v>0.0351</v>
      </c>
    </row>
    <row r="2102" spans="1:7">
      <c r="A2102" s="3"/>
      <c r="B2102" s="3"/>
      <c r="C2102" s="3"/>
      <c r="D2102" s="3"/>
      <c r="E2102" s="3">
        <v>19</v>
      </c>
      <c r="F2102" s="4" t="str">
        <f>HYPERLINK("http://141.218.60.56/~jnz1568/getInfo.php?workbook=18_15.xlsx&amp;sheet=U0&amp;row=2102&amp;col=6&amp;number=4.8&amp;sourceID=14","4.8")</f>
        <v>4.8</v>
      </c>
      <c r="G2102" s="4" t="str">
        <f>HYPERLINK("http://141.218.60.56/~jnz1568/getInfo.php?workbook=18_15.xlsx&amp;sheet=U0&amp;row=2102&amp;col=7&amp;number=0.0349&amp;sourceID=14","0.0349")</f>
        <v>0.0349</v>
      </c>
    </row>
    <row r="2103" spans="1:7">
      <c r="A2103" s="3"/>
      <c r="B2103" s="3"/>
      <c r="C2103" s="3"/>
      <c r="D2103" s="3"/>
      <c r="E2103" s="3">
        <v>20</v>
      </c>
      <c r="F2103" s="4" t="str">
        <f>HYPERLINK("http://141.218.60.56/~jnz1568/getInfo.php?workbook=18_15.xlsx&amp;sheet=U0&amp;row=2103&amp;col=6&amp;number=4.9&amp;sourceID=14","4.9")</f>
        <v>4.9</v>
      </c>
      <c r="G2103" s="4" t="str">
        <f>HYPERLINK("http://141.218.60.56/~jnz1568/getInfo.php?workbook=18_15.xlsx&amp;sheet=U0&amp;row=2103&amp;col=7&amp;number=0.0343&amp;sourceID=14","0.0343")</f>
        <v>0.0343</v>
      </c>
    </row>
    <row r="2104" spans="1:7">
      <c r="A2104" s="3">
        <v>18</v>
      </c>
      <c r="B2104" s="3">
        <v>15</v>
      </c>
      <c r="C2104" s="3">
        <v>4</v>
      </c>
      <c r="D2104" s="3">
        <v>27</v>
      </c>
      <c r="E2104" s="3">
        <v>1</v>
      </c>
      <c r="F2104" s="4" t="str">
        <f>HYPERLINK("http://141.218.60.56/~jnz1568/getInfo.php?workbook=18_15.xlsx&amp;sheet=U0&amp;row=2104&amp;col=6&amp;number=3&amp;sourceID=14","3")</f>
        <v>3</v>
      </c>
      <c r="G2104" s="4" t="str">
        <f>HYPERLINK("http://141.218.60.56/~jnz1568/getInfo.php?workbook=18_15.xlsx&amp;sheet=U0&amp;row=2104&amp;col=7&amp;number=0.0851&amp;sourceID=14","0.0851")</f>
        <v>0.0851</v>
      </c>
    </row>
    <row r="2105" spans="1:7">
      <c r="A2105" s="3"/>
      <c r="B2105" s="3"/>
      <c r="C2105" s="3"/>
      <c r="D2105" s="3"/>
      <c r="E2105" s="3">
        <v>2</v>
      </c>
      <c r="F2105" s="4" t="str">
        <f>HYPERLINK("http://141.218.60.56/~jnz1568/getInfo.php?workbook=18_15.xlsx&amp;sheet=U0&amp;row=2105&amp;col=6&amp;number=3.1&amp;sourceID=14","3.1")</f>
        <v>3.1</v>
      </c>
      <c r="G2105" s="4" t="str">
        <f>HYPERLINK("http://141.218.60.56/~jnz1568/getInfo.php?workbook=18_15.xlsx&amp;sheet=U0&amp;row=2105&amp;col=7&amp;number=0.0843&amp;sourceID=14","0.0843")</f>
        <v>0.0843</v>
      </c>
    </row>
    <row r="2106" spans="1:7">
      <c r="A2106" s="3"/>
      <c r="B2106" s="3"/>
      <c r="C2106" s="3"/>
      <c r="D2106" s="3"/>
      <c r="E2106" s="3">
        <v>3</v>
      </c>
      <c r="F2106" s="4" t="str">
        <f>HYPERLINK("http://141.218.60.56/~jnz1568/getInfo.php?workbook=18_15.xlsx&amp;sheet=U0&amp;row=2106&amp;col=6&amp;number=3.2&amp;sourceID=14","3.2")</f>
        <v>3.2</v>
      </c>
      <c r="G2106" s="4" t="str">
        <f>HYPERLINK("http://141.218.60.56/~jnz1568/getInfo.php?workbook=18_15.xlsx&amp;sheet=U0&amp;row=2106&amp;col=7&amp;number=0.0833&amp;sourceID=14","0.0833")</f>
        <v>0.0833</v>
      </c>
    </row>
    <row r="2107" spans="1:7">
      <c r="A2107" s="3"/>
      <c r="B2107" s="3"/>
      <c r="C2107" s="3"/>
      <c r="D2107" s="3"/>
      <c r="E2107" s="3">
        <v>4</v>
      </c>
      <c r="F2107" s="4" t="str">
        <f>HYPERLINK("http://141.218.60.56/~jnz1568/getInfo.php?workbook=18_15.xlsx&amp;sheet=U0&amp;row=2107&amp;col=6&amp;number=3.3&amp;sourceID=14","3.3")</f>
        <v>3.3</v>
      </c>
      <c r="G2107" s="4" t="str">
        <f>HYPERLINK("http://141.218.60.56/~jnz1568/getInfo.php?workbook=18_15.xlsx&amp;sheet=U0&amp;row=2107&amp;col=7&amp;number=0.0821&amp;sourceID=14","0.0821")</f>
        <v>0.0821</v>
      </c>
    </row>
    <row r="2108" spans="1:7">
      <c r="A2108" s="3"/>
      <c r="B2108" s="3"/>
      <c r="C2108" s="3"/>
      <c r="D2108" s="3"/>
      <c r="E2108" s="3">
        <v>5</v>
      </c>
      <c r="F2108" s="4" t="str">
        <f>HYPERLINK("http://141.218.60.56/~jnz1568/getInfo.php?workbook=18_15.xlsx&amp;sheet=U0&amp;row=2108&amp;col=6&amp;number=3.4&amp;sourceID=14","3.4")</f>
        <v>3.4</v>
      </c>
      <c r="G2108" s="4" t="str">
        <f>HYPERLINK("http://141.218.60.56/~jnz1568/getInfo.php?workbook=18_15.xlsx&amp;sheet=U0&amp;row=2108&amp;col=7&amp;number=0.0806&amp;sourceID=14","0.0806")</f>
        <v>0.0806</v>
      </c>
    </row>
    <row r="2109" spans="1:7">
      <c r="A2109" s="3"/>
      <c r="B2109" s="3"/>
      <c r="C2109" s="3"/>
      <c r="D2109" s="3"/>
      <c r="E2109" s="3">
        <v>6</v>
      </c>
      <c r="F2109" s="4" t="str">
        <f>HYPERLINK("http://141.218.60.56/~jnz1568/getInfo.php?workbook=18_15.xlsx&amp;sheet=U0&amp;row=2109&amp;col=6&amp;number=3.5&amp;sourceID=14","3.5")</f>
        <v>3.5</v>
      </c>
      <c r="G2109" s="4" t="str">
        <f>HYPERLINK("http://141.218.60.56/~jnz1568/getInfo.php?workbook=18_15.xlsx&amp;sheet=U0&amp;row=2109&amp;col=7&amp;number=0.0789&amp;sourceID=14","0.0789")</f>
        <v>0.0789</v>
      </c>
    </row>
    <row r="2110" spans="1:7">
      <c r="A2110" s="3"/>
      <c r="B2110" s="3"/>
      <c r="C2110" s="3"/>
      <c r="D2110" s="3"/>
      <c r="E2110" s="3">
        <v>7</v>
      </c>
      <c r="F2110" s="4" t="str">
        <f>HYPERLINK("http://141.218.60.56/~jnz1568/getInfo.php?workbook=18_15.xlsx&amp;sheet=U0&amp;row=2110&amp;col=6&amp;number=3.6&amp;sourceID=14","3.6")</f>
        <v>3.6</v>
      </c>
      <c r="G2110" s="4" t="str">
        <f>HYPERLINK("http://141.218.60.56/~jnz1568/getInfo.php?workbook=18_15.xlsx&amp;sheet=U0&amp;row=2110&amp;col=7&amp;number=0.0768&amp;sourceID=14","0.0768")</f>
        <v>0.0768</v>
      </c>
    </row>
    <row r="2111" spans="1:7">
      <c r="A2111" s="3"/>
      <c r="B2111" s="3"/>
      <c r="C2111" s="3"/>
      <c r="D2111" s="3"/>
      <c r="E2111" s="3">
        <v>8</v>
      </c>
      <c r="F2111" s="4" t="str">
        <f>HYPERLINK("http://141.218.60.56/~jnz1568/getInfo.php?workbook=18_15.xlsx&amp;sheet=U0&amp;row=2111&amp;col=6&amp;number=3.7&amp;sourceID=14","3.7")</f>
        <v>3.7</v>
      </c>
      <c r="G2111" s="4" t="str">
        <f>HYPERLINK("http://141.218.60.56/~jnz1568/getInfo.php?workbook=18_15.xlsx&amp;sheet=U0&amp;row=2111&amp;col=7&amp;number=0.0744&amp;sourceID=14","0.0744")</f>
        <v>0.0744</v>
      </c>
    </row>
    <row r="2112" spans="1:7">
      <c r="A2112" s="3"/>
      <c r="B2112" s="3"/>
      <c r="C2112" s="3"/>
      <c r="D2112" s="3"/>
      <c r="E2112" s="3">
        <v>9</v>
      </c>
      <c r="F2112" s="4" t="str">
        <f>HYPERLINK("http://141.218.60.56/~jnz1568/getInfo.php?workbook=18_15.xlsx&amp;sheet=U0&amp;row=2112&amp;col=6&amp;number=3.8&amp;sourceID=14","3.8")</f>
        <v>3.8</v>
      </c>
      <c r="G2112" s="4" t="str">
        <f>HYPERLINK("http://141.218.60.56/~jnz1568/getInfo.php?workbook=18_15.xlsx&amp;sheet=U0&amp;row=2112&amp;col=7&amp;number=0.0718&amp;sourceID=14","0.0718")</f>
        <v>0.0718</v>
      </c>
    </row>
    <row r="2113" spans="1:7">
      <c r="A2113" s="3"/>
      <c r="B2113" s="3"/>
      <c r="C2113" s="3"/>
      <c r="D2113" s="3"/>
      <c r="E2113" s="3">
        <v>10</v>
      </c>
      <c r="F2113" s="4" t="str">
        <f>HYPERLINK("http://141.218.60.56/~jnz1568/getInfo.php?workbook=18_15.xlsx&amp;sheet=U0&amp;row=2113&amp;col=6&amp;number=3.9&amp;sourceID=14","3.9")</f>
        <v>3.9</v>
      </c>
      <c r="G2113" s="4" t="str">
        <f>HYPERLINK("http://141.218.60.56/~jnz1568/getInfo.php?workbook=18_15.xlsx&amp;sheet=U0&amp;row=2113&amp;col=7&amp;number=0.0694&amp;sourceID=14","0.0694")</f>
        <v>0.0694</v>
      </c>
    </row>
    <row r="2114" spans="1:7">
      <c r="A2114" s="3"/>
      <c r="B2114" s="3"/>
      <c r="C2114" s="3"/>
      <c r="D2114" s="3"/>
      <c r="E2114" s="3">
        <v>11</v>
      </c>
      <c r="F2114" s="4" t="str">
        <f>HYPERLINK("http://141.218.60.56/~jnz1568/getInfo.php?workbook=18_15.xlsx&amp;sheet=U0&amp;row=2114&amp;col=6&amp;number=4&amp;sourceID=14","4")</f>
        <v>4</v>
      </c>
      <c r="G2114" s="4" t="str">
        <f>HYPERLINK("http://141.218.60.56/~jnz1568/getInfo.php?workbook=18_15.xlsx&amp;sheet=U0&amp;row=2114&amp;col=7&amp;number=0.0673&amp;sourceID=14","0.0673")</f>
        <v>0.0673</v>
      </c>
    </row>
    <row r="2115" spans="1:7">
      <c r="A2115" s="3"/>
      <c r="B2115" s="3"/>
      <c r="C2115" s="3"/>
      <c r="D2115" s="3"/>
      <c r="E2115" s="3">
        <v>12</v>
      </c>
      <c r="F2115" s="4" t="str">
        <f>HYPERLINK("http://141.218.60.56/~jnz1568/getInfo.php?workbook=18_15.xlsx&amp;sheet=U0&amp;row=2115&amp;col=6&amp;number=4.1&amp;sourceID=14","4.1")</f>
        <v>4.1</v>
      </c>
      <c r="G2115" s="4" t="str">
        <f>HYPERLINK("http://141.218.60.56/~jnz1568/getInfo.php?workbook=18_15.xlsx&amp;sheet=U0&amp;row=2115&amp;col=7&amp;number=0.066&amp;sourceID=14","0.066")</f>
        <v>0.066</v>
      </c>
    </row>
    <row r="2116" spans="1:7">
      <c r="A2116" s="3"/>
      <c r="B2116" s="3"/>
      <c r="C2116" s="3"/>
      <c r="D2116" s="3"/>
      <c r="E2116" s="3">
        <v>13</v>
      </c>
      <c r="F2116" s="4" t="str">
        <f>HYPERLINK("http://141.218.60.56/~jnz1568/getInfo.php?workbook=18_15.xlsx&amp;sheet=U0&amp;row=2116&amp;col=6&amp;number=4.2&amp;sourceID=14","4.2")</f>
        <v>4.2</v>
      </c>
      <c r="G2116" s="4" t="str">
        <f>HYPERLINK("http://141.218.60.56/~jnz1568/getInfo.php?workbook=18_15.xlsx&amp;sheet=U0&amp;row=2116&amp;col=7&amp;number=0.0655&amp;sourceID=14","0.0655")</f>
        <v>0.0655</v>
      </c>
    </row>
    <row r="2117" spans="1:7">
      <c r="A2117" s="3"/>
      <c r="B2117" s="3"/>
      <c r="C2117" s="3"/>
      <c r="D2117" s="3"/>
      <c r="E2117" s="3">
        <v>14</v>
      </c>
      <c r="F2117" s="4" t="str">
        <f>HYPERLINK("http://141.218.60.56/~jnz1568/getInfo.php?workbook=18_15.xlsx&amp;sheet=U0&amp;row=2117&amp;col=6&amp;number=4.3&amp;sourceID=14","4.3")</f>
        <v>4.3</v>
      </c>
      <c r="G2117" s="4" t="str">
        <f>HYPERLINK("http://141.218.60.56/~jnz1568/getInfo.php?workbook=18_15.xlsx&amp;sheet=U0&amp;row=2117&amp;col=7&amp;number=0.0657&amp;sourceID=14","0.0657")</f>
        <v>0.0657</v>
      </c>
    </row>
    <row r="2118" spans="1:7">
      <c r="A2118" s="3"/>
      <c r="B2118" s="3"/>
      <c r="C2118" s="3"/>
      <c r="D2118" s="3"/>
      <c r="E2118" s="3">
        <v>15</v>
      </c>
      <c r="F2118" s="4" t="str">
        <f>HYPERLINK("http://141.218.60.56/~jnz1568/getInfo.php?workbook=18_15.xlsx&amp;sheet=U0&amp;row=2118&amp;col=6&amp;number=4.4&amp;sourceID=14","4.4")</f>
        <v>4.4</v>
      </c>
      <c r="G2118" s="4" t="str">
        <f>HYPERLINK("http://141.218.60.56/~jnz1568/getInfo.php?workbook=18_15.xlsx&amp;sheet=U0&amp;row=2118&amp;col=7&amp;number=0.0663&amp;sourceID=14","0.0663")</f>
        <v>0.0663</v>
      </c>
    </row>
    <row r="2119" spans="1:7">
      <c r="A2119" s="3"/>
      <c r="B2119" s="3"/>
      <c r="C2119" s="3"/>
      <c r="D2119" s="3"/>
      <c r="E2119" s="3">
        <v>16</v>
      </c>
      <c r="F2119" s="4" t="str">
        <f>HYPERLINK("http://141.218.60.56/~jnz1568/getInfo.php?workbook=18_15.xlsx&amp;sheet=U0&amp;row=2119&amp;col=6&amp;number=4.5&amp;sourceID=14","4.5")</f>
        <v>4.5</v>
      </c>
      <c r="G2119" s="4" t="str">
        <f>HYPERLINK("http://141.218.60.56/~jnz1568/getInfo.php?workbook=18_15.xlsx&amp;sheet=U0&amp;row=2119&amp;col=7&amp;number=0.0671&amp;sourceID=14","0.0671")</f>
        <v>0.0671</v>
      </c>
    </row>
    <row r="2120" spans="1:7">
      <c r="A2120" s="3"/>
      <c r="B2120" s="3"/>
      <c r="C2120" s="3"/>
      <c r="D2120" s="3"/>
      <c r="E2120" s="3">
        <v>17</v>
      </c>
      <c r="F2120" s="4" t="str">
        <f>HYPERLINK("http://141.218.60.56/~jnz1568/getInfo.php?workbook=18_15.xlsx&amp;sheet=U0&amp;row=2120&amp;col=6&amp;number=4.6&amp;sourceID=14","4.6")</f>
        <v>4.6</v>
      </c>
      <c r="G2120" s="4" t="str">
        <f>HYPERLINK("http://141.218.60.56/~jnz1568/getInfo.php?workbook=18_15.xlsx&amp;sheet=U0&amp;row=2120&amp;col=7&amp;number=0.0679&amp;sourceID=14","0.0679")</f>
        <v>0.0679</v>
      </c>
    </row>
    <row r="2121" spans="1:7">
      <c r="A2121" s="3"/>
      <c r="B2121" s="3"/>
      <c r="C2121" s="3"/>
      <c r="D2121" s="3"/>
      <c r="E2121" s="3">
        <v>18</v>
      </c>
      <c r="F2121" s="4" t="str">
        <f>HYPERLINK("http://141.218.60.56/~jnz1568/getInfo.php?workbook=18_15.xlsx&amp;sheet=U0&amp;row=2121&amp;col=6&amp;number=4.7&amp;sourceID=14","4.7")</f>
        <v>4.7</v>
      </c>
      <c r="G2121" s="4" t="str">
        <f>HYPERLINK("http://141.218.60.56/~jnz1568/getInfo.php?workbook=18_15.xlsx&amp;sheet=U0&amp;row=2121&amp;col=7&amp;number=0.0688&amp;sourceID=14","0.0688")</f>
        <v>0.0688</v>
      </c>
    </row>
    <row r="2122" spans="1:7">
      <c r="A2122" s="3"/>
      <c r="B2122" s="3"/>
      <c r="C2122" s="3"/>
      <c r="D2122" s="3"/>
      <c r="E2122" s="3">
        <v>19</v>
      </c>
      <c r="F2122" s="4" t="str">
        <f>HYPERLINK("http://141.218.60.56/~jnz1568/getInfo.php?workbook=18_15.xlsx&amp;sheet=U0&amp;row=2122&amp;col=6&amp;number=4.8&amp;sourceID=14","4.8")</f>
        <v>4.8</v>
      </c>
      <c r="G2122" s="4" t="str">
        <f>HYPERLINK("http://141.218.60.56/~jnz1568/getInfo.php?workbook=18_15.xlsx&amp;sheet=U0&amp;row=2122&amp;col=7&amp;number=0.0696&amp;sourceID=14","0.0696")</f>
        <v>0.0696</v>
      </c>
    </row>
    <row r="2123" spans="1:7">
      <c r="A2123" s="3"/>
      <c r="B2123" s="3"/>
      <c r="C2123" s="3"/>
      <c r="D2123" s="3"/>
      <c r="E2123" s="3">
        <v>20</v>
      </c>
      <c r="F2123" s="4" t="str">
        <f>HYPERLINK("http://141.218.60.56/~jnz1568/getInfo.php?workbook=18_15.xlsx&amp;sheet=U0&amp;row=2123&amp;col=6&amp;number=4.9&amp;sourceID=14","4.9")</f>
        <v>4.9</v>
      </c>
      <c r="G2123" s="4" t="str">
        <f>HYPERLINK("http://141.218.60.56/~jnz1568/getInfo.php?workbook=18_15.xlsx&amp;sheet=U0&amp;row=2123&amp;col=7&amp;number=0.0699&amp;sourceID=14","0.0699")</f>
        <v>0.0699</v>
      </c>
    </row>
    <row r="2124" spans="1:7">
      <c r="A2124" s="3">
        <v>18</v>
      </c>
      <c r="B2124" s="3">
        <v>15</v>
      </c>
      <c r="C2124" s="3">
        <v>4</v>
      </c>
      <c r="D2124" s="3">
        <v>28</v>
      </c>
      <c r="E2124" s="3">
        <v>1</v>
      </c>
      <c r="F2124" s="4" t="str">
        <f>HYPERLINK("http://141.218.60.56/~jnz1568/getInfo.php?workbook=18_15.xlsx&amp;sheet=U0&amp;row=2124&amp;col=6&amp;number=3&amp;sourceID=14","3")</f>
        <v>3</v>
      </c>
      <c r="G2124" s="4" t="str">
        <f>HYPERLINK("http://141.218.60.56/~jnz1568/getInfo.php?workbook=18_15.xlsx&amp;sheet=U0&amp;row=2124&amp;col=7&amp;number=0.135&amp;sourceID=14","0.135")</f>
        <v>0.135</v>
      </c>
    </row>
    <row r="2125" spans="1:7">
      <c r="A2125" s="3"/>
      <c r="B2125" s="3"/>
      <c r="C2125" s="3"/>
      <c r="D2125" s="3"/>
      <c r="E2125" s="3">
        <v>2</v>
      </c>
      <c r="F2125" s="4" t="str">
        <f>HYPERLINK("http://141.218.60.56/~jnz1568/getInfo.php?workbook=18_15.xlsx&amp;sheet=U0&amp;row=2125&amp;col=6&amp;number=3.1&amp;sourceID=14","3.1")</f>
        <v>3.1</v>
      </c>
      <c r="G2125" s="4" t="str">
        <f>HYPERLINK("http://141.218.60.56/~jnz1568/getInfo.php?workbook=18_15.xlsx&amp;sheet=U0&amp;row=2125&amp;col=7&amp;number=0.134&amp;sourceID=14","0.134")</f>
        <v>0.134</v>
      </c>
    </row>
    <row r="2126" spans="1:7">
      <c r="A2126" s="3"/>
      <c r="B2126" s="3"/>
      <c r="C2126" s="3"/>
      <c r="D2126" s="3"/>
      <c r="E2126" s="3">
        <v>3</v>
      </c>
      <c r="F2126" s="4" t="str">
        <f>HYPERLINK("http://141.218.60.56/~jnz1568/getInfo.php?workbook=18_15.xlsx&amp;sheet=U0&amp;row=2126&amp;col=6&amp;number=3.2&amp;sourceID=14","3.2")</f>
        <v>3.2</v>
      </c>
      <c r="G2126" s="4" t="str">
        <f>HYPERLINK("http://141.218.60.56/~jnz1568/getInfo.php?workbook=18_15.xlsx&amp;sheet=U0&amp;row=2126&amp;col=7&amp;number=0.132&amp;sourceID=14","0.132")</f>
        <v>0.132</v>
      </c>
    </row>
    <row r="2127" spans="1:7">
      <c r="A2127" s="3"/>
      <c r="B2127" s="3"/>
      <c r="C2127" s="3"/>
      <c r="D2127" s="3"/>
      <c r="E2127" s="3">
        <v>4</v>
      </c>
      <c r="F2127" s="4" t="str">
        <f>HYPERLINK("http://141.218.60.56/~jnz1568/getInfo.php?workbook=18_15.xlsx&amp;sheet=U0&amp;row=2127&amp;col=6&amp;number=3.3&amp;sourceID=14","3.3")</f>
        <v>3.3</v>
      </c>
      <c r="G2127" s="4" t="str">
        <f>HYPERLINK("http://141.218.60.56/~jnz1568/getInfo.php?workbook=18_15.xlsx&amp;sheet=U0&amp;row=2127&amp;col=7&amp;number=0.13&amp;sourceID=14","0.13")</f>
        <v>0.13</v>
      </c>
    </row>
    <row r="2128" spans="1:7">
      <c r="A2128" s="3"/>
      <c r="B2128" s="3"/>
      <c r="C2128" s="3"/>
      <c r="D2128" s="3"/>
      <c r="E2128" s="3">
        <v>5</v>
      </c>
      <c r="F2128" s="4" t="str">
        <f>HYPERLINK("http://141.218.60.56/~jnz1568/getInfo.php?workbook=18_15.xlsx&amp;sheet=U0&amp;row=2128&amp;col=6&amp;number=3.4&amp;sourceID=14","3.4")</f>
        <v>3.4</v>
      </c>
      <c r="G2128" s="4" t="str">
        <f>HYPERLINK("http://141.218.60.56/~jnz1568/getInfo.php?workbook=18_15.xlsx&amp;sheet=U0&amp;row=2128&amp;col=7&amp;number=0.127&amp;sourceID=14","0.127")</f>
        <v>0.127</v>
      </c>
    </row>
    <row r="2129" spans="1:7">
      <c r="A2129" s="3"/>
      <c r="B2129" s="3"/>
      <c r="C2129" s="3"/>
      <c r="D2129" s="3"/>
      <c r="E2129" s="3">
        <v>6</v>
      </c>
      <c r="F2129" s="4" t="str">
        <f>HYPERLINK("http://141.218.60.56/~jnz1568/getInfo.php?workbook=18_15.xlsx&amp;sheet=U0&amp;row=2129&amp;col=6&amp;number=3.5&amp;sourceID=14","3.5")</f>
        <v>3.5</v>
      </c>
      <c r="G2129" s="4" t="str">
        <f>HYPERLINK("http://141.218.60.56/~jnz1568/getInfo.php?workbook=18_15.xlsx&amp;sheet=U0&amp;row=2129&amp;col=7&amp;number=0.125&amp;sourceID=14","0.125")</f>
        <v>0.125</v>
      </c>
    </row>
    <row r="2130" spans="1:7">
      <c r="A2130" s="3"/>
      <c r="B2130" s="3"/>
      <c r="C2130" s="3"/>
      <c r="D2130" s="3"/>
      <c r="E2130" s="3">
        <v>7</v>
      </c>
      <c r="F2130" s="4" t="str">
        <f>HYPERLINK("http://141.218.60.56/~jnz1568/getInfo.php?workbook=18_15.xlsx&amp;sheet=U0&amp;row=2130&amp;col=6&amp;number=3.6&amp;sourceID=14","3.6")</f>
        <v>3.6</v>
      </c>
      <c r="G2130" s="4" t="str">
        <f>HYPERLINK("http://141.218.60.56/~jnz1568/getInfo.php?workbook=18_15.xlsx&amp;sheet=U0&amp;row=2130&amp;col=7&amp;number=0.121&amp;sourceID=14","0.121")</f>
        <v>0.121</v>
      </c>
    </row>
    <row r="2131" spans="1:7">
      <c r="A2131" s="3"/>
      <c r="B2131" s="3"/>
      <c r="C2131" s="3"/>
      <c r="D2131" s="3"/>
      <c r="E2131" s="3">
        <v>8</v>
      </c>
      <c r="F2131" s="4" t="str">
        <f>HYPERLINK("http://141.218.60.56/~jnz1568/getInfo.php?workbook=18_15.xlsx&amp;sheet=U0&amp;row=2131&amp;col=6&amp;number=3.7&amp;sourceID=14","3.7")</f>
        <v>3.7</v>
      </c>
      <c r="G2131" s="4" t="str">
        <f>HYPERLINK("http://141.218.60.56/~jnz1568/getInfo.php?workbook=18_15.xlsx&amp;sheet=U0&amp;row=2131&amp;col=7&amp;number=0.117&amp;sourceID=14","0.117")</f>
        <v>0.117</v>
      </c>
    </row>
    <row r="2132" spans="1:7">
      <c r="A2132" s="3"/>
      <c r="B2132" s="3"/>
      <c r="C2132" s="3"/>
      <c r="D2132" s="3"/>
      <c r="E2132" s="3">
        <v>9</v>
      </c>
      <c r="F2132" s="4" t="str">
        <f>HYPERLINK("http://141.218.60.56/~jnz1568/getInfo.php?workbook=18_15.xlsx&amp;sheet=U0&amp;row=2132&amp;col=6&amp;number=3.8&amp;sourceID=14","3.8")</f>
        <v>3.8</v>
      </c>
      <c r="G2132" s="4" t="str">
        <f>HYPERLINK("http://141.218.60.56/~jnz1568/getInfo.php?workbook=18_15.xlsx&amp;sheet=U0&amp;row=2132&amp;col=7&amp;number=0.114&amp;sourceID=14","0.114")</f>
        <v>0.114</v>
      </c>
    </row>
    <row r="2133" spans="1:7">
      <c r="A2133" s="3"/>
      <c r="B2133" s="3"/>
      <c r="C2133" s="3"/>
      <c r="D2133" s="3"/>
      <c r="E2133" s="3">
        <v>10</v>
      </c>
      <c r="F2133" s="4" t="str">
        <f>HYPERLINK("http://141.218.60.56/~jnz1568/getInfo.php?workbook=18_15.xlsx&amp;sheet=U0&amp;row=2133&amp;col=6&amp;number=3.9&amp;sourceID=14","3.9")</f>
        <v>3.9</v>
      </c>
      <c r="G2133" s="4" t="str">
        <f>HYPERLINK("http://141.218.60.56/~jnz1568/getInfo.php?workbook=18_15.xlsx&amp;sheet=U0&amp;row=2133&amp;col=7&amp;number=0.11&amp;sourceID=14","0.11")</f>
        <v>0.11</v>
      </c>
    </row>
    <row r="2134" spans="1:7">
      <c r="A2134" s="3"/>
      <c r="B2134" s="3"/>
      <c r="C2134" s="3"/>
      <c r="D2134" s="3"/>
      <c r="E2134" s="3">
        <v>11</v>
      </c>
      <c r="F2134" s="4" t="str">
        <f>HYPERLINK("http://141.218.60.56/~jnz1568/getInfo.php?workbook=18_15.xlsx&amp;sheet=U0&amp;row=2134&amp;col=6&amp;number=4&amp;sourceID=14","4")</f>
        <v>4</v>
      </c>
      <c r="G2134" s="4" t="str">
        <f>HYPERLINK("http://141.218.60.56/~jnz1568/getInfo.php?workbook=18_15.xlsx&amp;sheet=U0&amp;row=2134&amp;col=7&amp;number=0.109&amp;sourceID=14","0.109")</f>
        <v>0.109</v>
      </c>
    </row>
    <row r="2135" spans="1:7">
      <c r="A2135" s="3"/>
      <c r="B2135" s="3"/>
      <c r="C2135" s="3"/>
      <c r="D2135" s="3"/>
      <c r="E2135" s="3">
        <v>12</v>
      </c>
      <c r="F2135" s="4" t="str">
        <f>HYPERLINK("http://141.218.60.56/~jnz1568/getInfo.php?workbook=18_15.xlsx&amp;sheet=U0&amp;row=2135&amp;col=6&amp;number=4.1&amp;sourceID=14","4.1")</f>
        <v>4.1</v>
      </c>
      <c r="G2135" s="4" t="str">
        <f>HYPERLINK("http://141.218.60.56/~jnz1568/getInfo.php?workbook=18_15.xlsx&amp;sheet=U0&amp;row=2135&amp;col=7&amp;number=0.109&amp;sourceID=14","0.109")</f>
        <v>0.109</v>
      </c>
    </row>
    <row r="2136" spans="1:7">
      <c r="A2136" s="3"/>
      <c r="B2136" s="3"/>
      <c r="C2136" s="3"/>
      <c r="D2136" s="3"/>
      <c r="E2136" s="3">
        <v>13</v>
      </c>
      <c r="F2136" s="4" t="str">
        <f>HYPERLINK("http://141.218.60.56/~jnz1568/getInfo.php?workbook=18_15.xlsx&amp;sheet=U0&amp;row=2136&amp;col=6&amp;number=4.2&amp;sourceID=14","4.2")</f>
        <v>4.2</v>
      </c>
      <c r="G2136" s="4" t="str">
        <f>HYPERLINK("http://141.218.60.56/~jnz1568/getInfo.php?workbook=18_15.xlsx&amp;sheet=U0&amp;row=2136&amp;col=7&amp;number=0.111&amp;sourceID=14","0.111")</f>
        <v>0.111</v>
      </c>
    </row>
    <row r="2137" spans="1:7">
      <c r="A2137" s="3"/>
      <c r="B2137" s="3"/>
      <c r="C2137" s="3"/>
      <c r="D2137" s="3"/>
      <c r="E2137" s="3">
        <v>14</v>
      </c>
      <c r="F2137" s="4" t="str">
        <f>HYPERLINK("http://141.218.60.56/~jnz1568/getInfo.php?workbook=18_15.xlsx&amp;sheet=U0&amp;row=2137&amp;col=6&amp;number=4.3&amp;sourceID=14","4.3")</f>
        <v>4.3</v>
      </c>
      <c r="G2137" s="4" t="str">
        <f>HYPERLINK("http://141.218.60.56/~jnz1568/getInfo.php?workbook=18_15.xlsx&amp;sheet=U0&amp;row=2137&amp;col=7&amp;number=0.115&amp;sourceID=14","0.115")</f>
        <v>0.115</v>
      </c>
    </row>
    <row r="2138" spans="1:7">
      <c r="A2138" s="3"/>
      <c r="B2138" s="3"/>
      <c r="C2138" s="3"/>
      <c r="D2138" s="3"/>
      <c r="E2138" s="3">
        <v>15</v>
      </c>
      <c r="F2138" s="4" t="str">
        <f>HYPERLINK("http://141.218.60.56/~jnz1568/getInfo.php?workbook=18_15.xlsx&amp;sheet=U0&amp;row=2138&amp;col=6&amp;number=4.4&amp;sourceID=14","4.4")</f>
        <v>4.4</v>
      </c>
      <c r="G2138" s="4" t="str">
        <f>HYPERLINK("http://141.218.60.56/~jnz1568/getInfo.php?workbook=18_15.xlsx&amp;sheet=U0&amp;row=2138&amp;col=7&amp;number=0.119&amp;sourceID=14","0.119")</f>
        <v>0.119</v>
      </c>
    </row>
    <row r="2139" spans="1:7">
      <c r="A2139" s="3"/>
      <c r="B2139" s="3"/>
      <c r="C2139" s="3"/>
      <c r="D2139" s="3"/>
      <c r="E2139" s="3">
        <v>16</v>
      </c>
      <c r="F2139" s="4" t="str">
        <f>HYPERLINK("http://141.218.60.56/~jnz1568/getInfo.php?workbook=18_15.xlsx&amp;sheet=U0&amp;row=2139&amp;col=6&amp;number=4.5&amp;sourceID=14","4.5")</f>
        <v>4.5</v>
      </c>
      <c r="G2139" s="4" t="str">
        <f>HYPERLINK("http://141.218.60.56/~jnz1568/getInfo.php?workbook=18_15.xlsx&amp;sheet=U0&amp;row=2139&amp;col=7&amp;number=0.123&amp;sourceID=14","0.123")</f>
        <v>0.123</v>
      </c>
    </row>
    <row r="2140" spans="1:7">
      <c r="A2140" s="3"/>
      <c r="B2140" s="3"/>
      <c r="C2140" s="3"/>
      <c r="D2140" s="3"/>
      <c r="E2140" s="3">
        <v>17</v>
      </c>
      <c r="F2140" s="4" t="str">
        <f>HYPERLINK("http://141.218.60.56/~jnz1568/getInfo.php?workbook=18_15.xlsx&amp;sheet=U0&amp;row=2140&amp;col=6&amp;number=4.6&amp;sourceID=14","4.6")</f>
        <v>4.6</v>
      </c>
      <c r="G2140" s="4" t="str">
        <f>HYPERLINK("http://141.218.60.56/~jnz1568/getInfo.php?workbook=18_15.xlsx&amp;sheet=U0&amp;row=2140&amp;col=7&amp;number=0.127&amp;sourceID=14","0.127")</f>
        <v>0.127</v>
      </c>
    </row>
    <row r="2141" spans="1:7">
      <c r="A2141" s="3"/>
      <c r="B2141" s="3"/>
      <c r="C2141" s="3"/>
      <c r="D2141" s="3"/>
      <c r="E2141" s="3">
        <v>18</v>
      </c>
      <c r="F2141" s="4" t="str">
        <f>HYPERLINK("http://141.218.60.56/~jnz1568/getInfo.php?workbook=18_15.xlsx&amp;sheet=U0&amp;row=2141&amp;col=6&amp;number=4.7&amp;sourceID=14","4.7")</f>
        <v>4.7</v>
      </c>
      <c r="G2141" s="4" t="str">
        <f>HYPERLINK("http://141.218.60.56/~jnz1568/getInfo.php?workbook=18_15.xlsx&amp;sheet=U0&amp;row=2141&amp;col=7&amp;number=0.131&amp;sourceID=14","0.131")</f>
        <v>0.131</v>
      </c>
    </row>
    <row r="2142" spans="1:7">
      <c r="A2142" s="3"/>
      <c r="B2142" s="3"/>
      <c r="C2142" s="3"/>
      <c r="D2142" s="3"/>
      <c r="E2142" s="3">
        <v>19</v>
      </c>
      <c r="F2142" s="4" t="str">
        <f>HYPERLINK("http://141.218.60.56/~jnz1568/getInfo.php?workbook=18_15.xlsx&amp;sheet=U0&amp;row=2142&amp;col=6&amp;number=4.8&amp;sourceID=14","4.8")</f>
        <v>4.8</v>
      </c>
      <c r="G2142" s="4" t="str">
        <f>HYPERLINK("http://141.218.60.56/~jnz1568/getInfo.php?workbook=18_15.xlsx&amp;sheet=U0&amp;row=2142&amp;col=7&amp;number=0.136&amp;sourceID=14","0.136")</f>
        <v>0.136</v>
      </c>
    </row>
    <row r="2143" spans="1:7">
      <c r="A2143" s="3"/>
      <c r="B2143" s="3"/>
      <c r="C2143" s="3"/>
      <c r="D2143" s="3"/>
      <c r="E2143" s="3">
        <v>20</v>
      </c>
      <c r="F2143" s="4" t="str">
        <f>HYPERLINK("http://141.218.60.56/~jnz1568/getInfo.php?workbook=18_15.xlsx&amp;sheet=U0&amp;row=2143&amp;col=6&amp;number=4.9&amp;sourceID=14","4.9")</f>
        <v>4.9</v>
      </c>
      <c r="G2143" s="4" t="str">
        <f>HYPERLINK("http://141.218.60.56/~jnz1568/getInfo.php?workbook=18_15.xlsx&amp;sheet=U0&amp;row=2143&amp;col=7&amp;number=0.14&amp;sourceID=14","0.14")</f>
        <v>0.14</v>
      </c>
    </row>
    <row r="2144" spans="1:7">
      <c r="A2144" s="3">
        <v>18</v>
      </c>
      <c r="B2144" s="3">
        <v>15</v>
      </c>
      <c r="C2144" s="3">
        <v>4</v>
      </c>
      <c r="D2144" s="3">
        <v>29</v>
      </c>
      <c r="E2144" s="3">
        <v>1</v>
      </c>
      <c r="F2144" s="4" t="str">
        <f>HYPERLINK("http://141.218.60.56/~jnz1568/getInfo.php?workbook=18_15.xlsx&amp;sheet=U0&amp;row=2144&amp;col=6&amp;number=3&amp;sourceID=14","3")</f>
        <v>3</v>
      </c>
      <c r="G2144" s="4" t="str">
        <f>HYPERLINK("http://141.218.60.56/~jnz1568/getInfo.php?workbook=18_15.xlsx&amp;sheet=U0&amp;row=2144&amp;col=7&amp;number=0.251&amp;sourceID=14","0.251")</f>
        <v>0.251</v>
      </c>
    </row>
    <row r="2145" spans="1:7">
      <c r="A2145" s="3"/>
      <c r="B2145" s="3"/>
      <c r="C2145" s="3"/>
      <c r="D2145" s="3"/>
      <c r="E2145" s="3">
        <v>2</v>
      </c>
      <c r="F2145" s="4" t="str">
        <f>HYPERLINK("http://141.218.60.56/~jnz1568/getInfo.php?workbook=18_15.xlsx&amp;sheet=U0&amp;row=2145&amp;col=6&amp;number=3.1&amp;sourceID=14","3.1")</f>
        <v>3.1</v>
      </c>
      <c r="G2145" s="4" t="str">
        <f>HYPERLINK("http://141.218.60.56/~jnz1568/getInfo.php?workbook=18_15.xlsx&amp;sheet=U0&amp;row=2145&amp;col=7&amp;number=0.249&amp;sourceID=14","0.249")</f>
        <v>0.249</v>
      </c>
    </row>
    <row r="2146" spans="1:7">
      <c r="A2146" s="3"/>
      <c r="B2146" s="3"/>
      <c r="C2146" s="3"/>
      <c r="D2146" s="3"/>
      <c r="E2146" s="3">
        <v>3</v>
      </c>
      <c r="F2146" s="4" t="str">
        <f>HYPERLINK("http://141.218.60.56/~jnz1568/getInfo.php?workbook=18_15.xlsx&amp;sheet=U0&amp;row=2146&amp;col=6&amp;number=3.2&amp;sourceID=14","3.2")</f>
        <v>3.2</v>
      </c>
      <c r="G2146" s="4" t="str">
        <f>HYPERLINK("http://141.218.60.56/~jnz1568/getInfo.php?workbook=18_15.xlsx&amp;sheet=U0&amp;row=2146&amp;col=7&amp;number=0.248&amp;sourceID=14","0.248")</f>
        <v>0.248</v>
      </c>
    </row>
    <row r="2147" spans="1:7">
      <c r="A2147" s="3"/>
      <c r="B2147" s="3"/>
      <c r="C2147" s="3"/>
      <c r="D2147" s="3"/>
      <c r="E2147" s="3">
        <v>4</v>
      </c>
      <c r="F2147" s="4" t="str">
        <f>HYPERLINK("http://141.218.60.56/~jnz1568/getInfo.php?workbook=18_15.xlsx&amp;sheet=U0&amp;row=2147&amp;col=6&amp;number=3.3&amp;sourceID=14","3.3")</f>
        <v>3.3</v>
      </c>
      <c r="G2147" s="4" t="str">
        <f>HYPERLINK("http://141.218.60.56/~jnz1568/getInfo.php?workbook=18_15.xlsx&amp;sheet=U0&amp;row=2147&amp;col=7&amp;number=0.246&amp;sourceID=14","0.246")</f>
        <v>0.246</v>
      </c>
    </row>
    <row r="2148" spans="1:7">
      <c r="A2148" s="3"/>
      <c r="B2148" s="3"/>
      <c r="C2148" s="3"/>
      <c r="D2148" s="3"/>
      <c r="E2148" s="3">
        <v>5</v>
      </c>
      <c r="F2148" s="4" t="str">
        <f>HYPERLINK("http://141.218.60.56/~jnz1568/getInfo.php?workbook=18_15.xlsx&amp;sheet=U0&amp;row=2148&amp;col=6&amp;number=3.4&amp;sourceID=14","3.4")</f>
        <v>3.4</v>
      </c>
      <c r="G2148" s="4" t="str">
        <f>HYPERLINK("http://141.218.60.56/~jnz1568/getInfo.php?workbook=18_15.xlsx&amp;sheet=U0&amp;row=2148&amp;col=7&amp;number=0.243&amp;sourceID=14","0.243")</f>
        <v>0.243</v>
      </c>
    </row>
    <row r="2149" spans="1:7">
      <c r="A2149" s="3"/>
      <c r="B2149" s="3"/>
      <c r="C2149" s="3"/>
      <c r="D2149" s="3"/>
      <c r="E2149" s="3">
        <v>6</v>
      </c>
      <c r="F2149" s="4" t="str">
        <f>HYPERLINK("http://141.218.60.56/~jnz1568/getInfo.php?workbook=18_15.xlsx&amp;sheet=U0&amp;row=2149&amp;col=6&amp;number=3.5&amp;sourceID=14","3.5")</f>
        <v>3.5</v>
      </c>
      <c r="G2149" s="4" t="str">
        <f>HYPERLINK("http://141.218.60.56/~jnz1568/getInfo.php?workbook=18_15.xlsx&amp;sheet=U0&amp;row=2149&amp;col=7&amp;number=0.24&amp;sourceID=14","0.24")</f>
        <v>0.24</v>
      </c>
    </row>
    <row r="2150" spans="1:7">
      <c r="A2150" s="3"/>
      <c r="B2150" s="3"/>
      <c r="C2150" s="3"/>
      <c r="D2150" s="3"/>
      <c r="E2150" s="3">
        <v>7</v>
      </c>
      <c r="F2150" s="4" t="str">
        <f>HYPERLINK("http://141.218.60.56/~jnz1568/getInfo.php?workbook=18_15.xlsx&amp;sheet=U0&amp;row=2150&amp;col=6&amp;number=3.6&amp;sourceID=14","3.6")</f>
        <v>3.6</v>
      </c>
      <c r="G2150" s="4" t="str">
        <f>HYPERLINK("http://141.218.60.56/~jnz1568/getInfo.php?workbook=18_15.xlsx&amp;sheet=U0&amp;row=2150&amp;col=7&amp;number=0.237&amp;sourceID=14","0.237")</f>
        <v>0.237</v>
      </c>
    </row>
    <row r="2151" spans="1:7">
      <c r="A2151" s="3"/>
      <c r="B2151" s="3"/>
      <c r="C2151" s="3"/>
      <c r="D2151" s="3"/>
      <c r="E2151" s="3">
        <v>8</v>
      </c>
      <c r="F2151" s="4" t="str">
        <f>HYPERLINK("http://141.218.60.56/~jnz1568/getInfo.php?workbook=18_15.xlsx&amp;sheet=U0&amp;row=2151&amp;col=6&amp;number=3.7&amp;sourceID=14","3.7")</f>
        <v>3.7</v>
      </c>
      <c r="G2151" s="4" t="str">
        <f>HYPERLINK("http://141.218.60.56/~jnz1568/getInfo.php?workbook=18_15.xlsx&amp;sheet=U0&amp;row=2151&amp;col=7&amp;number=0.233&amp;sourceID=14","0.233")</f>
        <v>0.233</v>
      </c>
    </row>
    <row r="2152" spans="1:7">
      <c r="A2152" s="3"/>
      <c r="B2152" s="3"/>
      <c r="C2152" s="3"/>
      <c r="D2152" s="3"/>
      <c r="E2152" s="3">
        <v>9</v>
      </c>
      <c r="F2152" s="4" t="str">
        <f>HYPERLINK("http://141.218.60.56/~jnz1568/getInfo.php?workbook=18_15.xlsx&amp;sheet=U0&amp;row=2152&amp;col=6&amp;number=3.8&amp;sourceID=14","3.8")</f>
        <v>3.8</v>
      </c>
      <c r="G2152" s="4" t="str">
        <f>HYPERLINK("http://141.218.60.56/~jnz1568/getInfo.php?workbook=18_15.xlsx&amp;sheet=U0&amp;row=2152&amp;col=7&amp;number=0.229&amp;sourceID=14","0.229")</f>
        <v>0.229</v>
      </c>
    </row>
    <row r="2153" spans="1:7">
      <c r="A2153" s="3"/>
      <c r="B2153" s="3"/>
      <c r="C2153" s="3"/>
      <c r="D2153" s="3"/>
      <c r="E2153" s="3">
        <v>10</v>
      </c>
      <c r="F2153" s="4" t="str">
        <f>HYPERLINK("http://141.218.60.56/~jnz1568/getInfo.php?workbook=18_15.xlsx&amp;sheet=U0&amp;row=2153&amp;col=6&amp;number=3.9&amp;sourceID=14","3.9")</f>
        <v>3.9</v>
      </c>
      <c r="G2153" s="4" t="str">
        <f>HYPERLINK("http://141.218.60.56/~jnz1568/getInfo.php?workbook=18_15.xlsx&amp;sheet=U0&amp;row=2153&amp;col=7&amp;number=0.226&amp;sourceID=14","0.226")</f>
        <v>0.226</v>
      </c>
    </row>
    <row r="2154" spans="1:7">
      <c r="A2154" s="3"/>
      <c r="B2154" s="3"/>
      <c r="C2154" s="3"/>
      <c r="D2154" s="3"/>
      <c r="E2154" s="3">
        <v>11</v>
      </c>
      <c r="F2154" s="4" t="str">
        <f>HYPERLINK("http://141.218.60.56/~jnz1568/getInfo.php?workbook=18_15.xlsx&amp;sheet=U0&amp;row=2154&amp;col=6&amp;number=4&amp;sourceID=14","4")</f>
        <v>4</v>
      </c>
      <c r="G2154" s="4" t="str">
        <f>HYPERLINK("http://141.218.60.56/~jnz1568/getInfo.php?workbook=18_15.xlsx&amp;sheet=U0&amp;row=2154&amp;col=7&amp;number=0.224&amp;sourceID=14","0.224")</f>
        <v>0.224</v>
      </c>
    </row>
    <row r="2155" spans="1:7">
      <c r="A2155" s="3"/>
      <c r="B2155" s="3"/>
      <c r="C2155" s="3"/>
      <c r="D2155" s="3"/>
      <c r="E2155" s="3">
        <v>12</v>
      </c>
      <c r="F2155" s="4" t="str">
        <f>HYPERLINK("http://141.218.60.56/~jnz1568/getInfo.php?workbook=18_15.xlsx&amp;sheet=U0&amp;row=2155&amp;col=6&amp;number=4.1&amp;sourceID=14","4.1")</f>
        <v>4.1</v>
      </c>
      <c r="G2155" s="4" t="str">
        <f>HYPERLINK("http://141.218.60.56/~jnz1568/getInfo.php?workbook=18_15.xlsx&amp;sheet=U0&amp;row=2155&amp;col=7&amp;number=0.224&amp;sourceID=14","0.224")</f>
        <v>0.224</v>
      </c>
    </row>
    <row r="2156" spans="1:7">
      <c r="A2156" s="3"/>
      <c r="B2156" s="3"/>
      <c r="C2156" s="3"/>
      <c r="D2156" s="3"/>
      <c r="E2156" s="3">
        <v>13</v>
      </c>
      <c r="F2156" s="4" t="str">
        <f>HYPERLINK("http://141.218.60.56/~jnz1568/getInfo.php?workbook=18_15.xlsx&amp;sheet=U0&amp;row=2156&amp;col=6&amp;number=4.2&amp;sourceID=14","4.2")</f>
        <v>4.2</v>
      </c>
      <c r="G2156" s="4" t="str">
        <f>HYPERLINK("http://141.218.60.56/~jnz1568/getInfo.php?workbook=18_15.xlsx&amp;sheet=U0&amp;row=2156&amp;col=7&amp;number=0.227&amp;sourceID=14","0.227")</f>
        <v>0.227</v>
      </c>
    </row>
    <row r="2157" spans="1:7">
      <c r="A2157" s="3"/>
      <c r="B2157" s="3"/>
      <c r="C2157" s="3"/>
      <c r="D2157" s="3"/>
      <c r="E2157" s="3">
        <v>14</v>
      </c>
      <c r="F2157" s="4" t="str">
        <f>HYPERLINK("http://141.218.60.56/~jnz1568/getInfo.php?workbook=18_15.xlsx&amp;sheet=U0&amp;row=2157&amp;col=6&amp;number=4.3&amp;sourceID=14","4.3")</f>
        <v>4.3</v>
      </c>
      <c r="G2157" s="4" t="str">
        <f>HYPERLINK("http://141.218.60.56/~jnz1568/getInfo.php?workbook=18_15.xlsx&amp;sheet=U0&amp;row=2157&amp;col=7&amp;number=0.231&amp;sourceID=14","0.231")</f>
        <v>0.231</v>
      </c>
    </row>
    <row r="2158" spans="1:7">
      <c r="A2158" s="3"/>
      <c r="B2158" s="3"/>
      <c r="C2158" s="3"/>
      <c r="D2158" s="3"/>
      <c r="E2158" s="3">
        <v>15</v>
      </c>
      <c r="F2158" s="4" t="str">
        <f>HYPERLINK("http://141.218.60.56/~jnz1568/getInfo.php?workbook=18_15.xlsx&amp;sheet=U0&amp;row=2158&amp;col=6&amp;number=4.4&amp;sourceID=14","4.4")</f>
        <v>4.4</v>
      </c>
      <c r="G2158" s="4" t="str">
        <f>HYPERLINK("http://141.218.60.56/~jnz1568/getInfo.php?workbook=18_15.xlsx&amp;sheet=U0&amp;row=2158&amp;col=7&amp;number=0.234&amp;sourceID=14","0.234")</f>
        <v>0.234</v>
      </c>
    </row>
    <row r="2159" spans="1:7">
      <c r="A2159" s="3"/>
      <c r="B2159" s="3"/>
      <c r="C2159" s="3"/>
      <c r="D2159" s="3"/>
      <c r="E2159" s="3">
        <v>16</v>
      </c>
      <c r="F2159" s="4" t="str">
        <f>HYPERLINK("http://141.218.60.56/~jnz1568/getInfo.php?workbook=18_15.xlsx&amp;sheet=U0&amp;row=2159&amp;col=6&amp;number=4.5&amp;sourceID=14","4.5")</f>
        <v>4.5</v>
      </c>
      <c r="G2159" s="4" t="str">
        <f>HYPERLINK("http://141.218.60.56/~jnz1568/getInfo.php?workbook=18_15.xlsx&amp;sheet=U0&amp;row=2159&amp;col=7&amp;number=0.237&amp;sourceID=14","0.237")</f>
        <v>0.237</v>
      </c>
    </row>
    <row r="2160" spans="1:7">
      <c r="A2160" s="3"/>
      <c r="B2160" s="3"/>
      <c r="C2160" s="3"/>
      <c r="D2160" s="3"/>
      <c r="E2160" s="3">
        <v>17</v>
      </c>
      <c r="F2160" s="4" t="str">
        <f>HYPERLINK("http://141.218.60.56/~jnz1568/getInfo.php?workbook=18_15.xlsx&amp;sheet=U0&amp;row=2160&amp;col=6&amp;number=4.6&amp;sourceID=14","4.6")</f>
        <v>4.6</v>
      </c>
      <c r="G2160" s="4" t="str">
        <f>HYPERLINK("http://141.218.60.56/~jnz1568/getInfo.php?workbook=18_15.xlsx&amp;sheet=U0&amp;row=2160&amp;col=7&amp;number=0.239&amp;sourceID=14","0.239")</f>
        <v>0.239</v>
      </c>
    </row>
    <row r="2161" spans="1:7">
      <c r="A2161" s="3"/>
      <c r="B2161" s="3"/>
      <c r="C2161" s="3"/>
      <c r="D2161" s="3"/>
      <c r="E2161" s="3">
        <v>18</v>
      </c>
      <c r="F2161" s="4" t="str">
        <f>HYPERLINK("http://141.218.60.56/~jnz1568/getInfo.php?workbook=18_15.xlsx&amp;sheet=U0&amp;row=2161&amp;col=6&amp;number=4.7&amp;sourceID=14","4.7")</f>
        <v>4.7</v>
      </c>
      <c r="G2161" s="4" t="str">
        <f>HYPERLINK("http://141.218.60.56/~jnz1568/getInfo.php?workbook=18_15.xlsx&amp;sheet=U0&amp;row=2161&amp;col=7&amp;number=0.243&amp;sourceID=14","0.243")</f>
        <v>0.243</v>
      </c>
    </row>
    <row r="2162" spans="1:7">
      <c r="A2162" s="3"/>
      <c r="B2162" s="3"/>
      <c r="C2162" s="3"/>
      <c r="D2162" s="3"/>
      <c r="E2162" s="3">
        <v>19</v>
      </c>
      <c r="F2162" s="4" t="str">
        <f>HYPERLINK("http://141.218.60.56/~jnz1568/getInfo.php?workbook=18_15.xlsx&amp;sheet=U0&amp;row=2162&amp;col=6&amp;number=4.8&amp;sourceID=14","4.8")</f>
        <v>4.8</v>
      </c>
      <c r="G2162" s="4" t="str">
        <f>HYPERLINK("http://141.218.60.56/~jnz1568/getInfo.php?workbook=18_15.xlsx&amp;sheet=U0&amp;row=2162&amp;col=7&amp;number=0.248&amp;sourceID=14","0.248")</f>
        <v>0.248</v>
      </c>
    </row>
    <row r="2163" spans="1:7">
      <c r="A2163" s="3"/>
      <c r="B2163" s="3"/>
      <c r="C2163" s="3"/>
      <c r="D2163" s="3"/>
      <c r="E2163" s="3">
        <v>20</v>
      </c>
      <c r="F2163" s="4" t="str">
        <f>HYPERLINK("http://141.218.60.56/~jnz1568/getInfo.php?workbook=18_15.xlsx&amp;sheet=U0&amp;row=2163&amp;col=6&amp;number=4.9&amp;sourceID=14","4.9")</f>
        <v>4.9</v>
      </c>
      <c r="G2163" s="4" t="str">
        <f>HYPERLINK("http://141.218.60.56/~jnz1568/getInfo.php?workbook=18_15.xlsx&amp;sheet=U0&amp;row=2163&amp;col=7&amp;number=0.254&amp;sourceID=14","0.254")</f>
        <v>0.254</v>
      </c>
    </row>
    <row r="2164" spans="1:7">
      <c r="A2164" s="3">
        <v>18</v>
      </c>
      <c r="B2164" s="3">
        <v>15</v>
      </c>
      <c r="C2164" s="3">
        <v>4</v>
      </c>
      <c r="D2164" s="3">
        <v>30</v>
      </c>
      <c r="E2164" s="3">
        <v>1</v>
      </c>
      <c r="F2164" s="4" t="str">
        <f>HYPERLINK("http://141.218.60.56/~jnz1568/getInfo.php?workbook=18_15.xlsx&amp;sheet=U0&amp;row=2164&amp;col=6&amp;number=3&amp;sourceID=14","3")</f>
        <v>3</v>
      </c>
      <c r="G2164" s="4" t="str">
        <f>HYPERLINK("http://141.218.60.56/~jnz1568/getInfo.php?workbook=18_15.xlsx&amp;sheet=U0&amp;row=2164&amp;col=7&amp;number=0.368&amp;sourceID=14","0.368")</f>
        <v>0.368</v>
      </c>
    </row>
    <row r="2165" spans="1:7">
      <c r="A2165" s="3"/>
      <c r="B2165" s="3"/>
      <c r="C2165" s="3"/>
      <c r="D2165" s="3"/>
      <c r="E2165" s="3">
        <v>2</v>
      </c>
      <c r="F2165" s="4" t="str">
        <f>HYPERLINK("http://141.218.60.56/~jnz1568/getInfo.php?workbook=18_15.xlsx&amp;sheet=U0&amp;row=2165&amp;col=6&amp;number=3.1&amp;sourceID=14","3.1")</f>
        <v>3.1</v>
      </c>
      <c r="G2165" s="4" t="str">
        <f>HYPERLINK("http://141.218.60.56/~jnz1568/getInfo.php?workbook=18_15.xlsx&amp;sheet=U0&amp;row=2165&amp;col=7&amp;number=0.366&amp;sourceID=14","0.366")</f>
        <v>0.366</v>
      </c>
    </row>
    <row r="2166" spans="1:7">
      <c r="A2166" s="3"/>
      <c r="B2166" s="3"/>
      <c r="C2166" s="3"/>
      <c r="D2166" s="3"/>
      <c r="E2166" s="3">
        <v>3</v>
      </c>
      <c r="F2166" s="4" t="str">
        <f>HYPERLINK("http://141.218.60.56/~jnz1568/getInfo.php?workbook=18_15.xlsx&amp;sheet=U0&amp;row=2166&amp;col=6&amp;number=3.2&amp;sourceID=14","3.2")</f>
        <v>3.2</v>
      </c>
      <c r="G2166" s="4" t="str">
        <f>HYPERLINK("http://141.218.60.56/~jnz1568/getInfo.php?workbook=18_15.xlsx&amp;sheet=U0&amp;row=2166&amp;col=7&amp;number=0.364&amp;sourceID=14","0.364")</f>
        <v>0.364</v>
      </c>
    </row>
    <row r="2167" spans="1:7">
      <c r="A2167" s="3"/>
      <c r="B2167" s="3"/>
      <c r="C2167" s="3"/>
      <c r="D2167" s="3"/>
      <c r="E2167" s="3">
        <v>4</v>
      </c>
      <c r="F2167" s="4" t="str">
        <f>HYPERLINK("http://141.218.60.56/~jnz1568/getInfo.php?workbook=18_15.xlsx&amp;sheet=U0&amp;row=2167&amp;col=6&amp;number=3.3&amp;sourceID=14","3.3")</f>
        <v>3.3</v>
      </c>
      <c r="G2167" s="4" t="str">
        <f>HYPERLINK("http://141.218.60.56/~jnz1568/getInfo.php?workbook=18_15.xlsx&amp;sheet=U0&amp;row=2167&amp;col=7&amp;number=0.362&amp;sourceID=14","0.362")</f>
        <v>0.362</v>
      </c>
    </row>
    <row r="2168" spans="1:7">
      <c r="A2168" s="3"/>
      <c r="B2168" s="3"/>
      <c r="C2168" s="3"/>
      <c r="D2168" s="3"/>
      <c r="E2168" s="3">
        <v>5</v>
      </c>
      <c r="F2168" s="4" t="str">
        <f>HYPERLINK("http://141.218.60.56/~jnz1568/getInfo.php?workbook=18_15.xlsx&amp;sheet=U0&amp;row=2168&amp;col=6&amp;number=3.4&amp;sourceID=14","3.4")</f>
        <v>3.4</v>
      </c>
      <c r="G2168" s="4" t="str">
        <f>HYPERLINK("http://141.218.60.56/~jnz1568/getInfo.php?workbook=18_15.xlsx&amp;sheet=U0&amp;row=2168&amp;col=7&amp;number=0.358&amp;sourceID=14","0.358")</f>
        <v>0.358</v>
      </c>
    </row>
    <row r="2169" spans="1:7">
      <c r="A2169" s="3"/>
      <c r="B2169" s="3"/>
      <c r="C2169" s="3"/>
      <c r="D2169" s="3"/>
      <c r="E2169" s="3">
        <v>6</v>
      </c>
      <c r="F2169" s="4" t="str">
        <f>HYPERLINK("http://141.218.60.56/~jnz1568/getInfo.php?workbook=18_15.xlsx&amp;sheet=U0&amp;row=2169&amp;col=6&amp;number=3.5&amp;sourceID=14","3.5")</f>
        <v>3.5</v>
      </c>
      <c r="G2169" s="4" t="str">
        <f>HYPERLINK("http://141.218.60.56/~jnz1568/getInfo.php?workbook=18_15.xlsx&amp;sheet=U0&amp;row=2169&amp;col=7&amp;number=0.355&amp;sourceID=14","0.355")</f>
        <v>0.355</v>
      </c>
    </row>
    <row r="2170" spans="1:7">
      <c r="A2170" s="3"/>
      <c r="B2170" s="3"/>
      <c r="C2170" s="3"/>
      <c r="D2170" s="3"/>
      <c r="E2170" s="3">
        <v>7</v>
      </c>
      <c r="F2170" s="4" t="str">
        <f>HYPERLINK("http://141.218.60.56/~jnz1568/getInfo.php?workbook=18_15.xlsx&amp;sheet=U0&amp;row=2170&amp;col=6&amp;number=3.6&amp;sourceID=14","3.6")</f>
        <v>3.6</v>
      </c>
      <c r="G2170" s="4" t="str">
        <f>HYPERLINK("http://141.218.60.56/~jnz1568/getInfo.php?workbook=18_15.xlsx&amp;sheet=U0&amp;row=2170&amp;col=7&amp;number=0.35&amp;sourceID=14","0.35")</f>
        <v>0.35</v>
      </c>
    </row>
    <row r="2171" spans="1:7">
      <c r="A2171" s="3"/>
      <c r="B2171" s="3"/>
      <c r="C2171" s="3"/>
      <c r="D2171" s="3"/>
      <c r="E2171" s="3">
        <v>8</v>
      </c>
      <c r="F2171" s="4" t="str">
        <f>HYPERLINK("http://141.218.60.56/~jnz1568/getInfo.php?workbook=18_15.xlsx&amp;sheet=U0&amp;row=2171&amp;col=6&amp;number=3.7&amp;sourceID=14","3.7")</f>
        <v>3.7</v>
      </c>
      <c r="G2171" s="4" t="str">
        <f>HYPERLINK("http://141.218.60.56/~jnz1568/getInfo.php?workbook=18_15.xlsx&amp;sheet=U0&amp;row=2171&amp;col=7&amp;number=0.344&amp;sourceID=14","0.344")</f>
        <v>0.344</v>
      </c>
    </row>
    <row r="2172" spans="1:7">
      <c r="A2172" s="3"/>
      <c r="B2172" s="3"/>
      <c r="C2172" s="3"/>
      <c r="D2172" s="3"/>
      <c r="E2172" s="3">
        <v>9</v>
      </c>
      <c r="F2172" s="4" t="str">
        <f>HYPERLINK("http://141.218.60.56/~jnz1568/getInfo.php?workbook=18_15.xlsx&amp;sheet=U0&amp;row=2172&amp;col=6&amp;number=3.8&amp;sourceID=14","3.8")</f>
        <v>3.8</v>
      </c>
      <c r="G2172" s="4" t="str">
        <f>HYPERLINK("http://141.218.60.56/~jnz1568/getInfo.php?workbook=18_15.xlsx&amp;sheet=U0&amp;row=2172&amp;col=7&amp;number=0.337&amp;sourceID=14","0.337")</f>
        <v>0.337</v>
      </c>
    </row>
    <row r="2173" spans="1:7">
      <c r="A2173" s="3"/>
      <c r="B2173" s="3"/>
      <c r="C2173" s="3"/>
      <c r="D2173" s="3"/>
      <c r="E2173" s="3">
        <v>10</v>
      </c>
      <c r="F2173" s="4" t="str">
        <f>HYPERLINK("http://141.218.60.56/~jnz1568/getInfo.php?workbook=18_15.xlsx&amp;sheet=U0&amp;row=2173&amp;col=6&amp;number=3.9&amp;sourceID=14","3.9")</f>
        <v>3.9</v>
      </c>
      <c r="G2173" s="4" t="str">
        <f>HYPERLINK("http://141.218.60.56/~jnz1568/getInfo.php?workbook=18_15.xlsx&amp;sheet=U0&amp;row=2173&amp;col=7&amp;number=0.329&amp;sourceID=14","0.329")</f>
        <v>0.329</v>
      </c>
    </row>
    <row r="2174" spans="1:7">
      <c r="A2174" s="3"/>
      <c r="B2174" s="3"/>
      <c r="C2174" s="3"/>
      <c r="D2174" s="3"/>
      <c r="E2174" s="3">
        <v>11</v>
      </c>
      <c r="F2174" s="4" t="str">
        <f>HYPERLINK("http://141.218.60.56/~jnz1568/getInfo.php?workbook=18_15.xlsx&amp;sheet=U0&amp;row=2174&amp;col=6&amp;number=4&amp;sourceID=14","4")</f>
        <v>4</v>
      </c>
      <c r="G2174" s="4" t="str">
        <f>HYPERLINK("http://141.218.60.56/~jnz1568/getInfo.php?workbook=18_15.xlsx&amp;sheet=U0&amp;row=2174&amp;col=7&amp;number=0.32&amp;sourceID=14","0.32")</f>
        <v>0.32</v>
      </c>
    </row>
    <row r="2175" spans="1:7">
      <c r="A2175" s="3"/>
      <c r="B2175" s="3"/>
      <c r="C2175" s="3"/>
      <c r="D2175" s="3"/>
      <c r="E2175" s="3">
        <v>12</v>
      </c>
      <c r="F2175" s="4" t="str">
        <f>HYPERLINK("http://141.218.60.56/~jnz1568/getInfo.php?workbook=18_15.xlsx&amp;sheet=U0&amp;row=2175&amp;col=6&amp;number=4.1&amp;sourceID=14","4.1")</f>
        <v>4.1</v>
      </c>
      <c r="G2175" s="4" t="str">
        <f>HYPERLINK("http://141.218.60.56/~jnz1568/getInfo.php?workbook=18_15.xlsx&amp;sheet=U0&amp;row=2175&amp;col=7&amp;number=0.31&amp;sourceID=14","0.31")</f>
        <v>0.31</v>
      </c>
    </row>
    <row r="2176" spans="1:7">
      <c r="A2176" s="3"/>
      <c r="B2176" s="3"/>
      <c r="C2176" s="3"/>
      <c r="D2176" s="3"/>
      <c r="E2176" s="3">
        <v>13</v>
      </c>
      <c r="F2176" s="4" t="str">
        <f>HYPERLINK("http://141.218.60.56/~jnz1568/getInfo.php?workbook=18_15.xlsx&amp;sheet=U0&amp;row=2176&amp;col=6&amp;number=4.2&amp;sourceID=14","4.2")</f>
        <v>4.2</v>
      </c>
      <c r="G2176" s="4" t="str">
        <f>HYPERLINK("http://141.218.60.56/~jnz1568/getInfo.php?workbook=18_15.xlsx&amp;sheet=U0&amp;row=2176&amp;col=7&amp;number=0.301&amp;sourceID=14","0.301")</f>
        <v>0.301</v>
      </c>
    </row>
    <row r="2177" spans="1:7">
      <c r="A2177" s="3"/>
      <c r="B2177" s="3"/>
      <c r="C2177" s="3"/>
      <c r="D2177" s="3"/>
      <c r="E2177" s="3">
        <v>14</v>
      </c>
      <c r="F2177" s="4" t="str">
        <f>HYPERLINK("http://141.218.60.56/~jnz1568/getInfo.php?workbook=18_15.xlsx&amp;sheet=U0&amp;row=2177&amp;col=6&amp;number=4.3&amp;sourceID=14","4.3")</f>
        <v>4.3</v>
      </c>
      <c r="G2177" s="4" t="str">
        <f>HYPERLINK("http://141.218.60.56/~jnz1568/getInfo.php?workbook=18_15.xlsx&amp;sheet=U0&amp;row=2177&amp;col=7&amp;number=0.293&amp;sourceID=14","0.293")</f>
        <v>0.293</v>
      </c>
    </row>
    <row r="2178" spans="1:7">
      <c r="A2178" s="3"/>
      <c r="B2178" s="3"/>
      <c r="C2178" s="3"/>
      <c r="D2178" s="3"/>
      <c r="E2178" s="3">
        <v>15</v>
      </c>
      <c r="F2178" s="4" t="str">
        <f>HYPERLINK("http://141.218.60.56/~jnz1568/getInfo.php?workbook=18_15.xlsx&amp;sheet=U0&amp;row=2178&amp;col=6&amp;number=4.4&amp;sourceID=14","4.4")</f>
        <v>4.4</v>
      </c>
      <c r="G2178" s="4" t="str">
        <f>HYPERLINK("http://141.218.60.56/~jnz1568/getInfo.php?workbook=18_15.xlsx&amp;sheet=U0&amp;row=2178&amp;col=7&amp;number=0.288&amp;sourceID=14","0.288")</f>
        <v>0.288</v>
      </c>
    </row>
    <row r="2179" spans="1:7">
      <c r="A2179" s="3"/>
      <c r="B2179" s="3"/>
      <c r="C2179" s="3"/>
      <c r="D2179" s="3"/>
      <c r="E2179" s="3">
        <v>16</v>
      </c>
      <c r="F2179" s="4" t="str">
        <f>HYPERLINK("http://141.218.60.56/~jnz1568/getInfo.php?workbook=18_15.xlsx&amp;sheet=U0&amp;row=2179&amp;col=6&amp;number=4.5&amp;sourceID=14","4.5")</f>
        <v>4.5</v>
      </c>
      <c r="G2179" s="4" t="str">
        <f>HYPERLINK("http://141.218.60.56/~jnz1568/getInfo.php?workbook=18_15.xlsx&amp;sheet=U0&amp;row=2179&amp;col=7&amp;number=0.284&amp;sourceID=14","0.284")</f>
        <v>0.284</v>
      </c>
    </row>
    <row r="2180" spans="1:7">
      <c r="A2180" s="3"/>
      <c r="B2180" s="3"/>
      <c r="C2180" s="3"/>
      <c r="D2180" s="3"/>
      <c r="E2180" s="3">
        <v>17</v>
      </c>
      <c r="F2180" s="4" t="str">
        <f>HYPERLINK("http://141.218.60.56/~jnz1568/getInfo.php?workbook=18_15.xlsx&amp;sheet=U0&amp;row=2180&amp;col=6&amp;number=4.6&amp;sourceID=14","4.6")</f>
        <v>4.6</v>
      </c>
      <c r="G2180" s="4" t="str">
        <f>HYPERLINK("http://141.218.60.56/~jnz1568/getInfo.php?workbook=18_15.xlsx&amp;sheet=U0&amp;row=2180&amp;col=7&amp;number=0.282&amp;sourceID=14","0.282")</f>
        <v>0.282</v>
      </c>
    </row>
    <row r="2181" spans="1:7">
      <c r="A2181" s="3"/>
      <c r="B2181" s="3"/>
      <c r="C2181" s="3"/>
      <c r="D2181" s="3"/>
      <c r="E2181" s="3">
        <v>18</v>
      </c>
      <c r="F2181" s="4" t="str">
        <f>HYPERLINK("http://141.218.60.56/~jnz1568/getInfo.php?workbook=18_15.xlsx&amp;sheet=U0&amp;row=2181&amp;col=6&amp;number=4.7&amp;sourceID=14","4.7")</f>
        <v>4.7</v>
      </c>
      <c r="G2181" s="4" t="str">
        <f>HYPERLINK("http://141.218.60.56/~jnz1568/getInfo.php?workbook=18_15.xlsx&amp;sheet=U0&amp;row=2181&amp;col=7&amp;number=0.28&amp;sourceID=14","0.28")</f>
        <v>0.28</v>
      </c>
    </row>
    <row r="2182" spans="1:7">
      <c r="A2182" s="3"/>
      <c r="B2182" s="3"/>
      <c r="C2182" s="3"/>
      <c r="D2182" s="3"/>
      <c r="E2182" s="3">
        <v>19</v>
      </c>
      <c r="F2182" s="4" t="str">
        <f>HYPERLINK("http://141.218.60.56/~jnz1568/getInfo.php?workbook=18_15.xlsx&amp;sheet=U0&amp;row=2182&amp;col=6&amp;number=4.8&amp;sourceID=14","4.8")</f>
        <v>4.8</v>
      </c>
      <c r="G2182" s="4" t="str">
        <f>HYPERLINK("http://141.218.60.56/~jnz1568/getInfo.php?workbook=18_15.xlsx&amp;sheet=U0&amp;row=2182&amp;col=7&amp;number=0.279&amp;sourceID=14","0.279")</f>
        <v>0.279</v>
      </c>
    </row>
    <row r="2183" spans="1:7">
      <c r="A2183" s="3"/>
      <c r="B2183" s="3"/>
      <c r="C2183" s="3"/>
      <c r="D2183" s="3"/>
      <c r="E2183" s="3">
        <v>20</v>
      </c>
      <c r="F2183" s="4" t="str">
        <f>HYPERLINK("http://141.218.60.56/~jnz1568/getInfo.php?workbook=18_15.xlsx&amp;sheet=U0&amp;row=2183&amp;col=6&amp;number=4.9&amp;sourceID=14","4.9")</f>
        <v>4.9</v>
      </c>
      <c r="G2183" s="4" t="str">
        <f>HYPERLINK("http://141.218.60.56/~jnz1568/getInfo.php?workbook=18_15.xlsx&amp;sheet=U0&amp;row=2183&amp;col=7&amp;number=0.279&amp;sourceID=14","0.279")</f>
        <v>0.279</v>
      </c>
    </row>
    <row r="2184" spans="1:7">
      <c r="A2184" s="3">
        <v>18</v>
      </c>
      <c r="B2184" s="3">
        <v>15</v>
      </c>
      <c r="C2184" s="3">
        <v>5</v>
      </c>
      <c r="D2184" s="3">
        <v>6</v>
      </c>
      <c r="E2184" s="3">
        <v>1</v>
      </c>
      <c r="F2184" s="4" t="str">
        <f>HYPERLINK("http://141.218.60.56/~jnz1568/getInfo.php?workbook=18_15.xlsx&amp;sheet=U0&amp;row=2184&amp;col=6&amp;number=3&amp;sourceID=14","3")</f>
        <v>3</v>
      </c>
      <c r="G2184" s="4" t="str">
        <f>HYPERLINK("http://141.218.60.56/~jnz1568/getInfo.php?workbook=18_15.xlsx&amp;sheet=U0&amp;row=2184&amp;col=7&amp;number=0.224&amp;sourceID=14","0.224")</f>
        <v>0.224</v>
      </c>
    </row>
    <row r="2185" spans="1:7">
      <c r="A2185" s="3"/>
      <c r="B2185" s="3"/>
      <c r="C2185" s="3"/>
      <c r="D2185" s="3"/>
      <c r="E2185" s="3">
        <v>2</v>
      </c>
      <c r="F2185" s="4" t="str">
        <f>HYPERLINK("http://141.218.60.56/~jnz1568/getInfo.php?workbook=18_15.xlsx&amp;sheet=U0&amp;row=2185&amp;col=6&amp;number=3.1&amp;sourceID=14","3.1")</f>
        <v>3.1</v>
      </c>
      <c r="G2185" s="4" t="str">
        <f>HYPERLINK("http://141.218.60.56/~jnz1568/getInfo.php?workbook=18_15.xlsx&amp;sheet=U0&amp;row=2185&amp;col=7&amp;number=0.222&amp;sourceID=14","0.222")</f>
        <v>0.222</v>
      </c>
    </row>
    <row r="2186" spans="1:7">
      <c r="A2186" s="3"/>
      <c r="B2186" s="3"/>
      <c r="C2186" s="3"/>
      <c r="D2186" s="3"/>
      <c r="E2186" s="3">
        <v>3</v>
      </c>
      <c r="F2186" s="4" t="str">
        <f>HYPERLINK("http://141.218.60.56/~jnz1568/getInfo.php?workbook=18_15.xlsx&amp;sheet=U0&amp;row=2186&amp;col=6&amp;number=3.2&amp;sourceID=14","3.2")</f>
        <v>3.2</v>
      </c>
      <c r="G2186" s="4" t="str">
        <f>HYPERLINK("http://141.218.60.56/~jnz1568/getInfo.php?workbook=18_15.xlsx&amp;sheet=U0&amp;row=2186&amp;col=7&amp;number=0.22&amp;sourceID=14","0.22")</f>
        <v>0.22</v>
      </c>
    </row>
    <row r="2187" spans="1:7">
      <c r="A2187" s="3"/>
      <c r="B2187" s="3"/>
      <c r="C2187" s="3"/>
      <c r="D2187" s="3"/>
      <c r="E2187" s="3">
        <v>4</v>
      </c>
      <c r="F2187" s="4" t="str">
        <f>HYPERLINK("http://141.218.60.56/~jnz1568/getInfo.php?workbook=18_15.xlsx&amp;sheet=U0&amp;row=2187&amp;col=6&amp;number=3.3&amp;sourceID=14","3.3")</f>
        <v>3.3</v>
      </c>
      <c r="G2187" s="4" t="str">
        <f>HYPERLINK("http://141.218.60.56/~jnz1568/getInfo.php?workbook=18_15.xlsx&amp;sheet=U0&amp;row=2187&amp;col=7&amp;number=0.217&amp;sourceID=14","0.217")</f>
        <v>0.217</v>
      </c>
    </row>
    <row r="2188" spans="1:7">
      <c r="A2188" s="3"/>
      <c r="B2188" s="3"/>
      <c r="C2188" s="3"/>
      <c r="D2188" s="3"/>
      <c r="E2188" s="3">
        <v>5</v>
      </c>
      <c r="F2188" s="4" t="str">
        <f>HYPERLINK("http://141.218.60.56/~jnz1568/getInfo.php?workbook=18_15.xlsx&amp;sheet=U0&amp;row=2188&amp;col=6&amp;number=3.4&amp;sourceID=14","3.4")</f>
        <v>3.4</v>
      </c>
      <c r="G2188" s="4" t="str">
        <f>HYPERLINK("http://141.218.60.56/~jnz1568/getInfo.php?workbook=18_15.xlsx&amp;sheet=U0&amp;row=2188&amp;col=7&amp;number=0.214&amp;sourceID=14","0.214")</f>
        <v>0.214</v>
      </c>
    </row>
    <row r="2189" spans="1:7">
      <c r="A2189" s="3"/>
      <c r="B2189" s="3"/>
      <c r="C2189" s="3"/>
      <c r="D2189" s="3"/>
      <c r="E2189" s="3">
        <v>6</v>
      </c>
      <c r="F2189" s="4" t="str">
        <f>HYPERLINK("http://141.218.60.56/~jnz1568/getInfo.php?workbook=18_15.xlsx&amp;sheet=U0&amp;row=2189&amp;col=6&amp;number=3.5&amp;sourceID=14","3.5")</f>
        <v>3.5</v>
      </c>
      <c r="G2189" s="4" t="str">
        <f>HYPERLINK("http://141.218.60.56/~jnz1568/getInfo.php?workbook=18_15.xlsx&amp;sheet=U0&amp;row=2189&amp;col=7&amp;number=0.21&amp;sourceID=14","0.21")</f>
        <v>0.21</v>
      </c>
    </row>
    <row r="2190" spans="1:7">
      <c r="A2190" s="3"/>
      <c r="B2190" s="3"/>
      <c r="C2190" s="3"/>
      <c r="D2190" s="3"/>
      <c r="E2190" s="3">
        <v>7</v>
      </c>
      <c r="F2190" s="4" t="str">
        <f>HYPERLINK("http://141.218.60.56/~jnz1568/getInfo.php?workbook=18_15.xlsx&amp;sheet=U0&amp;row=2190&amp;col=6&amp;number=3.6&amp;sourceID=14","3.6")</f>
        <v>3.6</v>
      </c>
      <c r="G2190" s="4" t="str">
        <f>HYPERLINK("http://141.218.60.56/~jnz1568/getInfo.php?workbook=18_15.xlsx&amp;sheet=U0&amp;row=2190&amp;col=7&amp;number=0.205&amp;sourceID=14","0.205")</f>
        <v>0.205</v>
      </c>
    </row>
    <row r="2191" spans="1:7">
      <c r="A2191" s="3"/>
      <c r="B2191" s="3"/>
      <c r="C2191" s="3"/>
      <c r="D2191" s="3"/>
      <c r="E2191" s="3">
        <v>8</v>
      </c>
      <c r="F2191" s="4" t="str">
        <f>HYPERLINK("http://141.218.60.56/~jnz1568/getInfo.php?workbook=18_15.xlsx&amp;sheet=U0&amp;row=2191&amp;col=6&amp;number=3.7&amp;sourceID=14","3.7")</f>
        <v>3.7</v>
      </c>
      <c r="G2191" s="4" t="str">
        <f>HYPERLINK("http://141.218.60.56/~jnz1568/getInfo.php?workbook=18_15.xlsx&amp;sheet=U0&amp;row=2191&amp;col=7&amp;number=0.2&amp;sourceID=14","0.2")</f>
        <v>0.2</v>
      </c>
    </row>
    <row r="2192" spans="1:7">
      <c r="A2192" s="3"/>
      <c r="B2192" s="3"/>
      <c r="C2192" s="3"/>
      <c r="D2192" s="3"/>
      <c r="E2192" s="3">
        <v>9</v>
      </c>
      <c r="F2192" s="4" t="str">
        <f>HYPERLINK("http://141.218.60.56/~jnz1568/getInfo.php?workbook=18_15.xlsx&amp;sheet=U0&amp;row=2192&amp;col=6&amp;number=3.8&amp;sourceID=14","3.8")</f>
        <v>3.8</v>
      </c>
      <c r="G2192" s="4" t="str">
        <f>HYPERLINK("http://141.218.60.56/~jnz1568/getInfo.php?workbook=18_15.xlsx&amp;sheet=U0&amp;row=2192&amp;col=7&amp;number=0.194&amp;sourceID=14","0.194")</f>
        <v>0.194</v>
      </c>
    </row>
    <row r="2193" spans="1:7">
      <c r="A2193" s="3"/>
      <c r="B2193" s="3"/>
      <c r="C2193" s="3"/>
      <c r="D2193" s="3"/>
      <c r="E2193" s="3">
        <v>10</v>
      </c>
      <c r="F2193" s="4" t="str">
        <f>HYPERLINK("http://141.218.60.56/~jnz1568/getInfo.php?workbook=18_15.xlsx&amp;sheet=U0&amp;row=2193&amp;col=6&amp;number=3.9&amp;sourceID=14","3.9")</f>
        <v>3.9</v>
      </c>
      <c r="G2193" s="4" t="str">
        <f>HYPERLINK("http://141.218.60.56/~jnz1568/getInfo.php?workbook=18_15.xlsx&amp;sheet=U0&amp;row=2193&amp;col=7&amp;number=0.189&amp;sourceID=14","0.189")</f>
        <v>0.189</v>
      </c>
    </row>
    <row r="2194" spans="1:7">
      <c r="A2194" s="3"/>
      <c r="B2194" s="3"/>
      <c r="C2194" s="3"/>
      <c r="D2194" s="3"/>
      <c r="E2194" s="3">
        <v>11</v>
      </c>
      <c r="F2194" s="4" t="str">
        <f>HYPERLINK("http://141.218.60.56/~jnz1568/getInfo.php?workbook=18_15.xlsx&amp;sheet=U0&amp;row=2194&amp;col=6&amp;number=4&amp;sourceID=14","4")</f>
        <v>4</v>
      </c>
      <c r="G2194" s="4" t="str">
        <f>HYPERLINK("http://141.218.60.56/~jnz1568/getInfo.php?workbook=18_15.xlsx&amp;sheet=U0&amp;row=2194&amp;col=7&amp;number=0.184&amp;sourceID=14","0.184")</f>
        <v>0.184</v>
      </c>
    </row>
    <row r="2195" spans="1:7">
      <c r="A2195" s="3"/>
      <c r="B2195" s="3"/>
      <c r="C2195" s="3"/>
      <c r="D2195" s="3"/>
      <c r="E2195" s="3">
        <v>12</v>
      </c>
      <c r="F2195" s="4" t="str">
        <f>HYPERLINK("http://141.218.60.56/~jnz1568/getInfo.php?workbook=18_15.xlsx&amp;sheet=U0&amp;row=2195&amp;col=6&amp;number=4.1&amp;sourceID=14","4.1")</f>
        <v>4.1</v>
      </c>
      <c r="G2195" s="4" t="str">
        <f>HYPERLINK("http://141.218.60.56/~jnz1568/getInfo.php?workbook=18_15.xlsx&amp;sheet=U0&amp;row=2195&amp;col=7&amp;number=0.18&amp;sourceID=14","0.18")</f>
        <v>0.18</v>
      </c>
    </row>
    <row r="2196" spans="1:7">
      <c r="A2196" s="3"/>
      <c r="B2196" s="3"/>
      <c r="C2196" s="3"/>
      <c r="D2196" s="3"/>
      <c r="E2196" s="3">
        <v>13</v>
      </c>
      <c r="F2196" s="4" t="str">
        <f>HYPERLINK("http://141.218.60.56/~jnz1568/getInfo.php?workbook=18_15.xlsx&amp;sheet=U0&amp;row=2196&amp;col=6&amp;number=4.2&amp;sourceID=14","4.2")</f>
        <v>4.2</v>
      </c>
      <c r="G2196" s="4" t="str">
        <f>HYPERLINK("http://141.218.60.56/~jnz1568/getInfo.php?workbook=18_15.xlsx&amp;sheet=U0&amp;row=2196&amp;col=7&amp;number=0.178&amp;sourceID=14","0.178")</f>
        <v>0.178</v>
      </c>
    </row>
    <row r="2197" spans="1:7">
      <c r="A2197" s="3"/>
      <c r="B2197" s="3"/>
      <c r="C2197" s="3"/>
      <c r="D2197" s="3"/>
      <c r="E2197" s="3">
        <v>14</v>
      </c>
      <c r="F2197" s="4" t="str">
        <f>HYPERLINK("http://141.218.60.56/~jnz1568/getInfo.php?workbook=18_15.xlsx&amp;sheet=U0&amp;row=2197&amp;col=6&amp;number=4.3&amp;sourceID=14","4.3")</f>
        <v>4.3</v>
      </c>
      <c r="G2197" s="4" t="str">
        <f>HYPERLINK("http://141.218.60.56/~jnz1568/getInfo.php?workbook=18_15.xlsx&amp;sheet=U0&amp;row=2197&amp;col=7&amp;number=0.177&amp;sourceID=14","0.177")</f>
        <v>0.177</v>
      </c>
    </row>
    <row r="2198" spans="1:7">
      <c r="A2198" s="3"/>
      <c r="B2198" s="3"/>
      <c r="C2198" s="3"/>
      <c r="D2198" s="3"/>
      <c r="E2198" s="3">
        <v>15</v>
      </c>
      <c r="F2198" s="4" t="str">
        <f>HYPERLINK("http://141.218.60.56/~jnz1568/getInfo.php?workbook=18_15.xlsx&amp;sheet=U0&amp;row=2198&amp;col=6&amp;number=4.4&amp;sourceID=14","4.4")</f>
        <v>4.4</v>
      </c>
      <c r="G2198" s="4" t="str">
        <f>HYPERLINK("http://141.218.60.56/~jnz1568/getInfo.php?workbook=18_15.xlsx&amp;sheet=U0&amp;row=2198&amp;col=7&amp;number=0.178&amp;sourceID=14","0.178")</f>
        <v>0.178</v>
      </c>
    </row>
    <row r="2199" spans="1:7">
      <c r="A2199" s="3"/>
      <c r="B2199" s="3"/>
      <c r="C2199" s="3"/>
      <c r="D2199" s="3"/>
      <c r="E2199" s="3">
        <v>16</v>
      </c>
      <c r="F2199" s="4" t="str">
        <f>HYPERLINK("http://141.218.60.56/~jnz1568/getInfo.php?workbook=18_15.xlsx&amp;sheet=U0&amp;row=2199&amp;col=6&amp;number=4.5&amp;sourceID=14","4.5")</f>
        <v>4.5</v>
      </c>
      <c r="G2199" s="4" t="str">
        <f>HYPERLINK("http://141.218.60.56/~jnz1568/getInfo.php?workbook=18_15.xlsx&amp;sheet=U0&amp;row=2199&amp;col=7&amp;number=0.178&amp;sourceID=14","0.178")</f>
        <v>0.178</v>
      </c>
    </row>
    <row r="2200" spans="1:7">
      <c r="A2200" s="3"/>
      <c r="B2200" s="3"/>
      <c r="C2200" s="3"/>
      <c r="D2200" s="3"/>
      <c r="E2200" s="3">
        <v>17</v>
      </c>
      <c r="F2200" s="4" t="str">
        <f>HYPERLINK("http://141.218.60.56/~jnz1568/getInfo.php?workbook=18_15.xlsx&amp;sheet=U0&amp;row=2200&amp;col=6&amp;number=4.6&amp;sourceID=14","4.6")</f>
        <v>4.6</v>
      </c>
      <c r="G2200" s="4" t="str">
        <f>HYPERLINK("http://141.218.60.56/~jnz1568/getInfo.php?workbook=18_15.xlsx&amp;sheet=U0&amp;row=2200&amp;col=7&amp;number=0.177&amp;sourceID=14","0.177")</f>
        <v>0.177</v>
      </c>
    </row>
    <row r="2201" spans="1:7">
      <c r="A2201" s="3"/>
      <c r="B2201" s="3"/>
      <c r="C2201" s="3"/>
      <c r="D2201" s="3"/>
      <c r="E2201" s="3">
        <v>18</v>
      </c>
      <c r="F2201" s="4" t="str">
        <f>HYPERLINK("http://141.218.60.56/~jnz1568/getInfo.php?workbook=18_15.xlsx&amp;sheet=U0&amp;row=2201&amp;col=6&amp;number=4.7&amp;sourceID=14","4.7")</f>
        <v>4.7</v>
      </c>
      <c r="G2201" s="4" t="str">
        <f>HYPERLINK("http://141.218.60.56/~jnz1568/getInfo.php?workbook=18_15.xlsx&amp;sheet=U0&amp;row=2201&amp;col=7&amp;number=0.175&amp;sourceID=14","0.175")</f>
        <v>0.175</v>
      </c>
    </row>
    <row r="2202" spans="1:7">
      <c r="A2202" s="3"/>
      <c r="B2202" s="3"/>
      <c r="C2202" s="3"/>
      <c r="D2202" s="3"/>
      <c r="E2202" s="3">
        <v>19</v>
      </c>
      <c r="F2202" s="4" t="str">
        <f>HYPERLINK("http://141.218.60.56/~jnz1568/getInfo.php?workbook=18_15.xlsx&amp;sheet=U0&amp;row=2202&amp;col=6&amp;number=4.8&amp;sourceID=14","4.8")</f>
        <v>4.8</v>
      </c>
      <c r="G2202" s="4" t="str">
        <f>HYPERLINK("http://141.218.60.56/~jnz1568/getInfo.php?workbook=18_15.xlsx&amp;sheet=U0&amp;row=2202&amp;col=7&amp;number=0.172&amp;sourceID=14","0.172")</f>
        <v>0.172</v>
      </c>
    </row>
    <row r="2203" spans="1:7">
      <c r="A2203" s="3"/>
      <c r="B2203" s="3"/>
      <c r="C2203" s="3"/>
      <c r="D2203" s="3"/>
      <c r="E2203" s="3">
        <v>20</v>
      </c>
      <c r="F2203" s="4" t="str">
        <f>HYPERLINK("http://141.218.60.56/~jnz1568/getInfo.php?workbook=18_15.xlsx&amp;sheet=U0&amp;row=2203&amp;col=6&amp;number=4.9&amp;sourceID=14","4.9")</f>
        <v>4.9</v>
      </c>
      <c r="G2203" s="4" t="str">
        <f>HYPERLINK("http://141.218.60.56/~jnz1568/getInfo.php?workbook=18_15.xlsx&amp;sheet=U0&amp;row=2203&amp;col=7&amp;number=0.167&amp;sourceID=14","0.167")</f>
        <v>0.167</v>
      </c>
    </row>
    <row r="2204" spans="1:7">
      <c r="A2204" s="3">
        <v>18</v>
      </c>
      <c r="B2204" s="3">
        <v>15</v>
      </c>
      <c r="C2204" s="3">
        <v>5</v>
      </c>
      <c r="D2204" s="3">
        <v>7</v>
      </c>
      <c r="E2204" s="3">
        <v>1</v>
      </c>
      <c r="F2204" s="4" t="str">
        <f>HYPERLINK("http://141.218.60.56/~jnz1568/getInfo.php?workbook=18_15.xlsx&amp;sheet=U0&amp;row=2204&amp;col=6&amp;number=3&amp;sourceID=14","3")</f>
        <v>3</v>
      </c>
      <c r="G2204" s="4" t="str">
        <f>HYPERLINK("http://141.218.60.56/~jnz1568/getInfo.php?workbook=18_15.xlsx&amp;sheet=U0&amp;row=2204&amp;col=7&amp;number=0.502&amp;sourceID=14","0.502")</f>
        <v>0.502</v>
      </c>
    </row>
    <row r="2205" spans="1:7">
      <c r="A2205" s="3"/>
      <c r="B2205" s="3"/>
      <c r="C2205" s="3"/>
      <c r="D2205" s="3"/>
      <c r="E2205" s="3">
        <v>2</v>
      </c>
      <c r="F2205" s="4" t="str">
        <f>HYPERLINK("http://141.218.60.56/~jnz1568/getInfo.php?workbook=18_15.xlsx&amp;sheet=U0&amp;row=2205&amp;col=6&amp;number=3.1&amp;sourceID=14","3.1")</f>
        <v>3.1</v>
      </c>
      <c r="G2205" s="4" t="str">
        <f>HYPERLINK("http://141.218.60.56/~jnz1568/getInfo.php?workbook=18_15.xlsx&amp;sheet=U0&amp;row=2205&amp;col=7&amp;number=0.499&amp;sourceID=14","0.499")</f>
        <v>0.499</v>
      </c>
    </row>
    <row r="2206" spans="1:7">
      <c r="A2206" s="3"/>
      <c r="B2206" s="3"/>
      <c r="C2206" s="3"/>
      <c r="D2206" s="3"/>
      <c r="E2206" s="3">
        <v>3</v>
      </c>
      <c r="F2206" s="4" t="str">
        <f>HYPERLINK("http://141.218.60.56/~jnz1568/getInfo.php?workbook=18_15.xlsx&amp;sheet=U0&amp;row=2206&amp;col=6&amp;number=3.2&amp;sourceID=14","3.2")</f>
        <v>3.2</v>
      </c>
      <c r="G2206" s="4" t="str">
        <f>HYPERLINK("http://141.218.60.56/~jnz1568/getInfo.php?workbook=18_15.xlsx&amp;sheet=U0&amp;row=2206&amp;col=7&amp;number=0.495&amp;sourceID=14","0.495")</f>
        <v>0.495</v>
      </c>
    </row>
    <row r="2207" spans="1:7">
      <c r="A2207" s="3"/>
      <c r="B2207" s="3"/>
      <c r="C2207" s="3"/>
      <c r="D2207" s="3"/>
      <c r="E2207" s="3">
        <v>4</v>
      </c>
      <c r="F2207" s="4" t="str">
        <f>HYPERLINK("http://141.218.60.56/~jnz1568/getInfo.php?workbook=18_15.xlsx&amp;sheet=U0&amp;row=2207&amp;col=6&amp;number=3.3&amp;sourceID=14","3.3")</f>
        <v>3.3</v>
      </c>
      <c r="G2207" s="4" t="str">
        <f>HYPERLINK("http://141.218.60.56/~jnz1568/getInfo.php?workbook=18_15.xlsx&amp;sheet=U0&amp;row=2207&amp;col=7&amp;number=0.491&amp;sourceID=14","0.491")</f>
        <v>0.491</v>
      </c>
    </row>
    <row r="2208" spans="1:7">
      <c r="A2208" s="3"/>
      <c r="B2208" s="3"/>
      <c r="C2208" s="3"/>
      <c r="D2208" s="3"/>
      <c r="E2208" s="3">
        <v>5</v>
      </c>
      <c r="F2208" s="4" t="str">
        <f>HYPERLINK("http://141.218.60.56/~jnz1568/getInfo.php?workbook=18_15.xlsx&amp;sheet=U0&amp;row=2208&amp;col=6&amp;number=3.4&amp;sourceID=14","3.4")</f>
        <v>3.4</v>
      </c>
      <c r="G2208" s="4" t="str">
        <f>HYPERLINK("http://141.218.60.56/~jnz1568/getInfo.php?workbook=18_15.xlsx&amp;sheet=U0&amp;row=2208&amp;col=7&amp;number=0.485&amp;sourceID=14","0.485")</f>
        <v>0.485</v>
      </c>
    </row>
    <row r="2209" spans="1:7">
      <c r="A2209" s="3"/>
      <c r="B2209" s="3"/>
      <c r="C2209" s="3"/>
      <c r="D2209" s="3"/>
      <c r="E2209" s="3">
        <v>6</v>
      </c>
      <c r="F2209" s="4" t="str">
        <f>HYPERLINK("http://141.218.60.56/~jnz1568/getInfo.php?workbook=18_15.xlsx&amp;sheet=U0&amp;row=2209&amp;col=6&amp;number=3.5&amp;sourceID=14","3.5")</f>
        <v>3.5</v>
      </c>
      <c r="G2209" s="4" t="str">
        <f>HYPERLINK("http://141.218.60.56/~jnz1568/getInfo.php?workbook=18_15.xlsx&amp;sheet=U0&amp;row=2209&amp;col=7&amp;number=0.478&amp;sourceID=14","0.478")</f>
        <v>0.478</v>
      </c>
    </row>
    <row r="2210" spans="1:7">
      <c r="A2210" s="3"/>
      <c r="B2210" s="3"/>
      <c r="C2210" s="3"/>
      <c r="D2210" s="3"/>
      <c r="E2210" s="3">
        <v>7</v>
      </c>
      <c r="F2210" s="4" t="str">
        <f>HYPERLINK("http://141.218.60.56/~jnz1568/getInfo.php?workbook=18_15.xlsx&amp;sheet=U0&amp;row=2210&amp;col=6&amp;number=3.6&amp;sourceID=14","3.6")</f>
        <v>3.6</v>
      </c>
      <c r="G2210" s="4" t="str">
        <f>HYPERLINK("http://141.218.60.56/~jnz1568/getInfo.php?workbook=18_15.xlsx&amp;sheet=U0&amp;row=2210&amp;col=7&amp;number=0.47&amp;sourceID=14","0.47")</f>
        <v>0.47</v>
      </c>
    </row>
    <row r="2211" spans="1:7">
      <c r="A2211" s="3"/>
      <c r="B2211" s="3"/>
      <c r="C2211" s="3"/>
      <c r="D2211" s="3"/>
      <c r="E2211" s="3">
        <v>8</v>
      </c>
      <c r="F2211" s="4" t="str">
        <f>HYPERLINK("http://141.218.60.56/~jnz1568/getInfo.php?workbook=18_15.xlsx&amp;sheet=U0&amp;row=2211&amp;col=6&amp;number=3.7&amp;sourceID=14","3.7")</f>
        <v>3.7</v>
      </c>
      <c r="G2211" s="4" t="str">
        <f>HYPERLINK("http://141.218.60.56/~jnz1568/getInfo.php?workbook=18_15.xlsx&amp;sheet=U0&amp;row=2211&amp;col=7&amp;number=0.46&amp;sourceID=14","0.46")</f>
        <v>0.46</v>
      </c>
    </row>
    <row r="2212" spans="1:7">
      <c r="A2212" s="3"/>
      <c r="B2212" s="3"/>
      <c r="C2212" s="3"/>
      <c r="D2212" s="3"/>
      <c r="E2212" s="3">
        <v>9</v>
      </c>
      <c r="F2212" s="4" t="str">
        <f>HYPERLINK("http://141.218.60.56/~jnz1568/getInfo.php?workbook=18_15.xlsx&amp;sheet=U0&amp;row=2212&amp;col=6&amp;number=3.8&amp;sourceID=14","3.8")</f>
        <v>3.8</v>
      </c>
      <c r="G2212" s="4" t="str">
        <f>HYPERLINK("http://141.218.60.56/~jnz1568/getInfo.php?workbook=18_15.xlsx&amp;sheet=U0&amp;row=2212&amp;col=7&amp;number=0.449&amp;sourceID=14","0.449")</f>
        <v>0.449</v>
      </c>
    </row>
    <row r="2213" spans="1:7">
      <c r="A2213" s="3"/>
      <c r="B2213" s="3"/>
      <c r="C2213" s="3"/>
      <c r="D2213" s="3"/>
      <c r="E2213" s="3">
        <v>10</v>
      </c>
      <c r="F2213" s="4" t="str">
        <f>HYPERLINK("http://141.218.60.56/~jnz1568/getInfo.php?workbook=18_15.xlsx&amp;sheet=U0&amp;row=2213&amp;col=6&amp;number=3.9&amp;sourceID=14","3.9")</f>
        <v>3.9</v>
      </c>
      <c r="G2213" s="4" t="str">
        <f>HYPERLINK("http://141.218.60.56/~jnz1568/getInfo.php?workbook=18_15.xlsx&amp;sheet=U0&amp;row=2213&amp;col=7&amp;number=0.437&amp;sourceID=14","0.437")</f>
        <v>0.437</v>
      </c>
    </row>
    <row r="2214" spans="1:7">
      <c r="A2214" s="3"/>
      <c r="B2214" s="3"/>
      <c r="C2214" s="3"/>
      <c r="D2214" s="3"/>
      <c r="E2214" s="3">
        <v>11</v>
      </c>
      <c r="F2214" s="4" t="str">
        <f>HYPERLINK("http://141.218.60.56/~jnz1568/getInfo.php?workbook=18_15.xlsx&amp;sheet=U0&amp;row=2214&amp;col=6&amp;number=4&amp;sourceID=14","4")</f>
        <v>4</v>
      </c>
      <c r="G2214" s="4" t="str">
        <f>HYPERLINK("http://141.218.60.56/~jnz1568/getInfo.php?workbook=18_15.xlsx&amp;sheet=U0&amp;row=2214&amp;col=7&amp;number=0.425&amp;sourceID=14","0.425")</f>
        <v>0.425</v>
      </c>
    </row>
    <row r="2215" spans="1:7">
      <c r="A2215" s="3"/>
      <c r="B2215" s="3"/>
      <c r="C2215" s="3"/>
      <c r="D2215" s="3"/>
      <c r="E2215" s="3">
        <v>12</v>
      </c>
      <c r="F2215" s="4" t="str">
        <f>HYPERLINK("http://141.218.60.56/~jnz1568/getInfo.php?workbook=18_15.xlsx&amp;sheet=U0&amp;row=2215&amp;col=6&amp;number=4.1&amp;sourceID=14","4.1")</f>
        <v>4.1</v>
      </c>
      <c r="G2215" s="4" t="str">
        <f>HYPERLINK("http://141.218.60.56/~jnz1568/getInfo.php?workbook=18_15.xlsx&amp;sheet=U0&amp;row=2215&amp;col=7&amp;number=0.415&amp;sourceID=14","0.415")</f>
        <v>0.415</v>
      </c>
    </row>
    <row r="2216" spans="1:7">
      <c r="A2216" s="3"/>
      <c r="B2216" s="3"/>
      <c r="C2216" s="3"/>
      <c r="D2216" s="3"/>
      <c r="E2216" s="3">
        <v>13</v>
      </c>
      <c r="F2216" s="4" t="str">
        <f>HYPERLINK("http://141.218.60.56/~jnz1568/getInfo.php?workbook=18_15.xlsx&amp;sheet=U0&amp;row=2216&amp;col=6&amp;number=4.2&amp;sourceID=14","4.2")</f>
        <v>4.2</v>
      </c>
      <c r="G2216" s="4" t="str">
        <f>HYPERLINK("http://141.218.60.56/~jnz1568/getInfo.php?workbook=18_15.xlsx&amp;sheet=U0&amp;row=2216&amp;col=7&amp;number=0.409&amp;sourceID=14","0.409")</f>
        <v>0.409</v>
      </c>
    </row>
    <row r="2217" spans="1:7">
      <c r="A2217" s="3"/>
      <c r="B2217" s="3"/>
      <c r="C2217" s="3"/>
      <c r="D2217" s="3"/>
      <c r="E2217" s="3">
        <v>14</v>
      </c>
      <c r="F2217" s="4" t="str">
        <f>HYPERLINK("http://141.218.60.56/~jnz1568/getInfo.php?workbook=18_15.xlsx&amp;sheet=U0&amp;row=2217&amp;col=6&amp;number=4.3&amp;sourceID=14","4.3")</f>
        <v>4.3</v>
      </c>
      <c r="G2217" s="4" t="str">
        <f>HYPERLINK("http://141.218.60.56/~jnz1568/getInfo.php?workbook=18_15.xlsx&amp;sheet=U0&amp;row=2217&amp;col=7&amp;number=0.406&amp;sourceID=14","0.406")</f>
        <v>0.406</v>
      </c>
    </row>
    <row r="2218" spans="1:7">
      <c r="A2218" s="3"/>
      <c r="B2218" s="3"/>
      <c r="C2218" s="3"/>
      <c r="D2218" s="3"/>
      <c r="E2218" s="3">
        <v>15</v>
      </c>
      <c r="F2218" s="4" t="str">
        <f>HYPERLINK("http://141.218.60.56/~jnz1568/getInfo.php?workbook=18_15.xlsx&amp;sheet=U0&amp;row=2218&amp;col=6&amp;number=4.4&amp;sourceID=14","4.4")</f>
        <v>4.4</v>
      </c>
      <c r="G2218" s="4" t="str">
        <f>HYPERLINK("http://141.218.60.56/~jnz1568/getInfo.php?workbook=18_15.xlsx&amp;sheet=U0&amp;row=2218&amp;col=7&amp;number=0.405&amp;sourceID=14","0.405")</f>
        <v>0.405</v>
      </c>
    </row>
    <row r="2219" spans="1:7">
      <c r="A2219" s="3"/>
      <c r="B2219" s="3"/>
      <c r="C2219" s="3"/>
      <c r="D2219" s="3"/>
      <c r="E2219" s="3">
        <v>16</v>
      </c>
      <c r="F2219" s="4" t="str">
        <f>HYPERLINK("http://141.218.60.56/~jnz1568/getInfo.php?workbook=18_15.xlsx&amp;sheet=U0&amp;row=2219&amp;col=6&amp;number=4.5&amp;sourceID=14","4.5")</f>
        <v>4.5</v>
      </c>
      <c r="G2219" s="4" t="str">
        <f>HYPERLINK("http://141.218.60.56/~jnz1568/getInfo.php?workbook=18_15.xlsx&amp;sheet=U0&amp;row=2219&amp;col=7&amp;number=0.403&amp;sourceID=14","0.403")</f>
        <v>0.403</v>
      </c>
    </row>
    <row r="2220" spans="1:7">
      <c r="A2220" s="3"/>
      <c r="B2220" s="3"/>
      <c r="C2220" s="3"/>
      <c r="D2220" s="3"/>
      <c r="E2220" s="3">
        <v>17</v>
      </c>
      <c r="F2220" s="4" t="str">
        <f>HYPERLINK("http://141.218.60.56/~jnz1568/getInfo.php?workbook=18_15.xlsx&amp;sheet=U0&amp;row=2220&amp;col=6&amp;number=4.6&amp;sourceID=14","4.6")</f>
        <v>4.6</v>
      </c>
      <c r="G2220" s="4" t="str">
        <f>HYPERLINK("http://141.218.60.56/~jnz1568/getInfo.php?workbook=18_15.xlsx&amp;sheet=U0&amp;row=2220&amp;col=7&amp;number=0.4&amp;sourceID=14","0.4")</f>
        <v>0.4</v>
      </c>
    </row>
    <row r="2221" spans="1:7">
      <c r="A2221" s="3"/>
      <c r="B2221" s="3"/>
      <c r="C2221" s="3"/>
      <c r="D2221" s="3"/>
      <c r="E2221" s="3">
        <v>18</v>
      </c>
      <c r="F2221" s="4" t="str">
        <f>HYPERLINK("http://141.218.60.56/~jnz1568/getInfo.php?workbook=18_15.xlsx&amp;sheet=U0&amp;row=2221&amp;col=6&amp;number=4.7&amp;sourceID=14","4.7")</f>
        <v>4.7</v>
      </c>
      <c r="G2221" s="4" t="str">
        <f>HYPERLINK("http://141.218.60.56/~jnz1568/getInfo.php?workbook=18_15.xlsx&amp;sheet=U0&amp;row=2221&amp;col=7&amp;number=0.393&amp;sourceID=14","0.393")</f>
        <v>0.393</v>
      </c>
    </row>
    <row r="2222" spans="1:7">
      <c r="A2222" s="3"/>
      <c r="B2222" s="3"/>
      <c r="C2222" s="3"/>
      <c r="D2222" s="3"/>
      <c r="E2222" s="3">
        <v>19</v>
      </c>
      <c r="F2222" s="4" t="str">
        <f>HYPERLINK("http://141.218.60.56/~jnz1568/getInfo.php?workbook=18_15.xlsx&amp;sheet=U0&amp;row=2222&amp;col=6&amp;number=4.8&amp;sourceID=14","4.8")</f>
        <v>4.8</v>
      </c>
      <c r="G2222" s="4" t="str">
        <f>HYPERLINK("http://141.218.60.56/~jnz1568/getInfo.php?workbook=18_15.xlsx&amp;sheet=U0&amp;row=2222&amp;col=7&amp;number=0.382&amp;sourceID=14","0.382")</f>
        <v>0.382</v>
      </c>
    </row>
    <row r="2223" spans="1:7">
      <c r="A2223" s="3"/>
      <c r="B2223" s="3"/>
      <c r="C2223" s="3"/>
      <c r="D2223" s="3"/>
      <c r="E2223" s="3">
        <v>20</v>
      </c>
      <c r="F2223" s="4" t="str">
        <f>HYPERLINK("http://141.218.60.56/~jnz1568/getInfo.php?workbook=18_15.xlsx&amp;sheet=U0&amp;row=2223&amp;col=6&amp;number=4.9&amp;sourceID=14","4.9")</f>
        <v>4.9</v>
      </c>
      <c r="G2223" s="4" t="str">
        <f>HYPERLINK("http://141.218.60.56/~jnz1568/getInfo.php?workbook=18_15.xlsx&amp;sheet=U0&amp;row=2223&amp;col=7&amp;number=0.367&amp;sourceID=14","0.367")</f>
        <v>0.367</v>
      </c>
    </row>
    <row r="2224" spans="1:7">
      <c r="A2224" s="3">
        <v>18</v>
      </c>
      <c r="B2224" s="3">
        <v>15</v>
      </c>
      <c r="C2224" s="3">
        <v>5</v>
      </c>
      <c r="D2224" s="3">
        <v>8</v>
      </c>
      <c r="E2224" s="3">
        <v>1</v>
      </c>
      <c r="F2224" s="4" t="str">
        <f>HYPERLINK("http://141.218.60.56/~jnz1568/getInfo.php?workbook=18_15.xlsx&amp;sheet=U0&amp;row=2224&amp;col=6&amp;number=3&amp;sourceID=14","3")</f>
        <v>3</v>
      </c>
      <c r="G2224" s="4" t="str">
        <f>HYPERLINK("http://141.218.60.56/~jnz1568/getInfo.php?workbook=18_15.xlsx&amp;sheet=U0&amp;row=2224&amp;col=7&amp;number=0.937&amp;sourceID=14","0.937")</f>
        <v>0.937</v>
      </c>
    </row>
    <row r="2225" spans="1:7">
      <c r="A2225" s="3"/>
      <c r="B2225" s="3"/>
      <c r="C2225" s="3"/>
      <c r="D2225" s="3"/>
      <c r="E2225" s="3">
        <v>2</v>
      </c>
      <c r="F2225" s="4" t="str">
        <f>HYPERLINK("http://141.218.60.56/~jnz1568/getInfo.php?workbook=18_15.xlsx&amp;sheet=U0&amp;row=2225&amp;col=6&amp;number=3.1&amp;sourceID=14","3.1")</f>
        <v>3.1</v>
      </c>
      <c r="G2225" s="4" t="str">
        <f>HYPERLINK("http://141.218.60.56/~jnz1568/getInfo.php?workbook=18_15.xlsx&amp;sheet=U0&amp;row=2225&amp;col=7&amp;number=0.931&amp;sourceID=14","0.931")</f>
        <v>0.931</v>
      </c>
    </row>
    <row r="2226" spans="1:7">
      <c r="A2226" s="3"/>
      <c r="B2226" s="3"/>
      <c r="C2226" s="3"/>
      <c r="D2226" s="3"/>
      <c r="E2226" s="3">
        <v>3</v>
      </c>
      <c r="F2226" s="4" t="str">
        <f>HYPERLINK("http://141.218.60.56/~jnz1568/getInfo.php?workbook=18_15.xlsx&amp;sheet=U0&amp;row=2226&amp;col=6&amp;number=3.2&amp;sourceID=14","3.2")</f>
        <v>3.2</v>
      </c>
      <c r="G2226" s="4" t="str">
        <f>HYPERLINK("http://141.218.60.56/~jnz1568/getInfo.php?workbook=18_15.xlsx&amp;sheet=U0&amp;row=2226&amp;col=7&amp;number=0.922&amp;sourceID=14","0.922")</f>
        <v>0.922</v>
      </c>
    </row>
    <row r="2227" spans="1:7">
      <c r="A2227" s="3"/>
      <c r="B2227" s="3"/>
      <c r="C2227" s="3"/>
      <c r="D2227" s="3"/>
      <c r="E2227" s="3">
        <v>4</v>
      </c>
      <c r="F2227" s="4" t="str">
        <f>HYPERLINK("http://141.218.60.56/~jnz1568/getInfo.php?workbook=18_15.xlsx&amp;sheet=U0&amp;row=2227&amp;col=6&amp;number=3.3&amp;sourceID=14","3.3")</f>
        <v>3.3</v>
      </c>
      <c r="G2227" s="4" t="str">
        <f>HYPERLINK("http://141.218.60.56/~jnz1568/getInfo.php?workbook=18_15.xlsx&amp;sheet=U0&amp;row=2227&amp;col=7&amp;number=0.912&amp;sourceID=14","0.912")</f>
        <v>0.912</v>
      </c>
    </row>
    <row r="2228" spans="1:7">
      <c r="A2228" s="3"/>
      <c r="B2228" s="3"/>
      <c r="C2228" s="3"/>
      <c r="D2228" s="3"/>
      <c r="E2228" s="3">
        <v>5</v>
      </c>
      <c r="F2228" s="4" t="str">
        <f>HYPERLINK("http://141.218.60.56/~jnz1568/getInfo.php?workbook=18_15.xlsx&amp;sheet=U0&amp;row=2228&amp;col=6&amp;number=3.4&amp;sourceID=14","3.4")</f>
        <v>3.4</v>
      </c>
      <c r="G2228" s="4" t="str">
        <f>HYPERLINK("http://141.218.60.56/~jnz1568/getInfo.php?workbook=18_15.xlsx&amp;sheet=U0&amp;row=2228&amp;col=7&amp;number=0.9&amp;sourceID=14","0.9")</f>
        <v>0.9</v>
      </c>
    </row>
    <row r="2229" spans="1:7">
      <c r="A2229" s="3"/>
      <c r="B2229" s="3"/>
      <c r="C2229" s="3"/>
      <c r="D2229" s="3"/>
      <c r="E2229" s="3">
        <v>6</v>
      </c>
      <c r="F2229" s="4" t="str">
        <f>HYPERLINK("http://141.218.60.56/~jnz1568/getInfo.php?workbook=18_15.xlsx&amp;sheet=U0&amp;row=2229&amp;col=6&amp;number=3.5&amp;sourceID=14","3.5")</f>
        <v>3.5</v>
      </c>
      <c r="G2229" s="4" t="str">
        <f>HYPERLINK("http://141.218.60.56/~jnz1568/getInfo.php?workbook=18_15.xlsx&amp;sheet=U0&amp;row=2229&amp;col=7&amp;number=0.885&amp;sourceID=14","0.885")</f>
        <v>0.885</v>
      </c>
    </row>
    <row r="2230" spans="1:7">
      <c r="A2230" s="3"/>
      <c r="B2230" s="3"/>
      <c r="C2230" s="3"/>
      <c r="D2230" s="3"/>
      <c r="E2230" s="3">
        <v>7</v>
      </c>
      <c r="F2230" s="4" t="str">
        <f>HYPERLINK("http://141.218.60.56/~jnz1568/getInfo.php?workbook=18_15.xlsx&amp;sheet=U0&amp;row=2230&amp;col=6&amp;number=3.6&amp;sourceID=14","3.6")</f>
        <v>3.6</v>
      </c>
      <c r="G2230" s="4" t="str">
        <f>HYPERLINK("http://141.218.60.56/~jnz1568/getInfo.php?workbook=18_15.xlsx&amp;sheet=U0&amp;row=2230&amp;col=7&amp;number=0.868&amp;sourceID=14","0.868")</f>
        <v>0.868</v>
      </c>
    </row>
    <row r="2231" spans="1:7">
      <c r="A2231" s="3"/>
      <c r="B2231" s="3"/>
      <c r="C2231" s="3"/>
      <c r="D2231" s="3"/>
      <c r="E2231" s="3">
        <v>8</v>
      </c>
      <c r="F2231" s="4" t="str">
        <f>HYPERLINK("http://141.218.60.56/~jnz1568/getInfo.php?workbook=18_15.xlsx&amp;sheet=U0&amp;row=2231&amp;col=6&amp;number=3.7&amp;sourceID=14","3.7")</f>
        <v>3.7</v>
      </c>
      <c r="G2231" s="4" t="str">
        <f>HYPERLINK("http://141.218.60.56/~jnz1568/getInfo.php?workbook=18_15.xlsx&amp;sheet=U0&amp;row=2231&amp;col=7&amp;number=0.847&amp;sourceID=14","0.847")</f>
        <v>0.847</v>
      </c>
    </row>
    <row r="2232" spans="1:7">
      <c r="A2232" s="3"/>
      <c r="B2232" s="3"/>
      <c r="C2232" s="3"/>
      <c r="D2232" s="3"/>
      <c r="E2232" s="3">
        <v>9</v>
      </c>
      <c r="F2232" s="4" t="str">
        <f>HYPERLINK("http://141.218.60.56/~jnz1568/getInfo.php?workbook=18_15.xlsx&amp;sheet=U0&amp;row=2232&amp;col=6&amp;number=3.8&amp;sourceID=14","3.8")</f>
        <v>3.8</v>
      </c>
      <c r="G2232" s="4" t="str">
        <f>HYPERLINK("http://141.218.60.56/~jnz1568/getInfo.php?workbook=18_15.xlsx&amp;sheet=U0&amp;row=2232&amp;col=7&amp;number=0.825&amp;sourceID=14","0.825")</f>
        <v>0.825</v>
      </c>
    </row>
    <row r="2233" spans="1:7">
      <c r="A2233" s="3"/>
      <c r="B2233" s="3"/>
      <c r="C2233" s="3"/>
      <c r="D2233" s="3"/>
      <c r="E2233" s="3">
        <v>10</v>
      </c>
      <c r="F2233" s="4" t="str">
        <f>HYPERLINK("http://141.218.60.56/~jnz1568/getInfo.php?workbook=18_15.xlsx&amp;sheet=U0&amp;row=2233&amp;col=6&amp;number=3.9&amp;sourceID=14","3.9")</f>
        <v>3.9</v>
      </c>
      <c r="G2233" s="4" t="str">
        <f>HYPERLINK("http://141.218.60.56/~jnz1568/getInfo.php?workbook=18_15.xlsx&amp;sheet=U0&amp;row=2233&amp;col=7&amp;number=0.801&amp;sourceID=14","0.801")</f>
        <v>0.801</v>
      </c>
    </row>
    <row r="2234" spans="1:7">
      <c r="A2234" s="3"/>
      <c r="B2234" s="3"/>
      <c r="C2234" s="3"/>
      <c r="D2234" s="3"/>
      <c r="E2234" s="3">
        <v>11</v>
      </c>
      <c r="F2234" s="4" t="str">
        <f>HYPERLINK("http://141.218.60.56/~jnz1568/getInfo.php?workbook=18_15.xlsx&amp;sheet=U0&amp;row=2234&amp;col=6&amp;number=4&amp;sourceID=14","4")</f>
        <v>4</v>
      </c>
      <c r="G2234" s="4" t="str">
        <f>HYPERLINK("http://141.218.60.56/~jnz1568/getInfo.php?workbook=18_15.xlsx&amp;sheet=U0&amp;row=2234&amp;col=7&amp;number=0.778&amp;sourceID=14","0.778")</f>
        <v>0.778</v>
      </c>
    </row>
    <row r="2235" spans="1:7">
      <c r="A2235" s="3"/>
      <c r="B2235" s="3"/>
      <c r="C2235" s="3"/>
      <c r="D2235" s="3"/>
      <c r="E2235" s="3">
        <v>12</v>
      </c>
      <c r="F2235" s="4" t="str">
        <f>HYPERLINK("http://141.218.60.56/~jnz1568/getInfo.php?workbook=18_15.xlsx&amp;sheet=U0&amp;row=2235&amp;col=6&amp;number=4.1&amp;sourceID=14","4.1")</f>
        <v>4.1</v>
      </c>
      <c r="G2235" s="4" t="str">
        <f>HYPERLINK("http://141.218.60.56/~jnz1568/getInfo.php?workbook=18_15.xlsx&amp;sheet=U0&amp;row=2235&amp;col=7&amp;number=0.76&amp;sourceID=14","0.76")</f>
        <v>0.76</v>
      </c>
    </row>
    <row r="2236" spans="1:7">
      <c r="A2236" s="3"/>
      <c r="B2236" s="3"/>
      <c r="C2236" s="3"/>
      <c r="D2236" s="3"/>
      <c r="E2236" s="3">
        <v>13</v>
      </c>
      <c r="F2236" s="4" t="str">
        <f>HYPERLINK("http://141.218.60.56/~jnz1568/getInfo.php?workbook=18_15.xlsx&amp;sheet=U0&amp;row=2236&amp;col=6&amp;number=4.2&amp;sourceID=14","4.2")</f>
        <v>4.2</v>
      </c>
      <c r="G2236" s="4" t="str">
        <f>HYPERLINK("http://141.218.60.56/~jnz1568/getInfo.php?workbook=18_15.xlsx&amp;sheet=U0&amp;row=2236&amp;col=7&amp;number=0.746&amp;sourceID=14","0.746")</f>
        <v>0.746</v>
      </c>
    </row>
    <row r="2237" spans="1:7">
      <c r="A2237" s="3"/>
      <c r="B2237" s="3"/>
      <c r="C2237" s="3"/>
      <c r="D2237" s="3"/>
      <c r="E2237" s="3">
        <v>14</v>
      </c>
      <c r="F2237" s="4" t="str">
        <f>HYPERLINK("http://141.218.60.56/~jnz1568/getInfo.php?workbook=18_15.xlsx&amp;sheet=U0&amp;row=2237&amp;col=6&amp;number=4.3&amp;sourceID=14","4.3")</f>
        <v>4.3</v>
      </c>
      <c r="G2237" s="4" t="str">
        <f>HYPERLINK("http://141.218.60.56/~jnz1568/getInfo.php?workbook=18_15.xlsx&amp;sheet=U0&amp;row=2237&amp;col=7&amp;number=0.737&amp;sourceID=14","0.737")</f>
        <v>0.737</v>
      </c>
    </row>
    <row r="2238" spans="1:7">
      <c r="A2238" s="3"/>
      <c r="B2238" s="3"/>
      <c r="C2238" s="3"/>
      <c r="D2238" s="3"/>
      <c r="E2238" s="3">
        <v>15</v>
      </c>
      <c r="F2238" s="4" t="str">
        <f>HYPERLINK("http://141.218.60.56/~jnz1568/getInfo.php?workbook=18_15.xlsx&amp;sheet=U0&amp;row=2238&amp;col=6&amp;number=4.4&amp;sourceID=14","4.4")</f>
        <v>4.4</v>
      </c>
      <c r="G2238" s="4" t="str">
        <f>HYPERLINK("http://141.218.60.56/~jnz1568/getInfo.php?workbook=18_15.xlsx&amp;sheet=U0&amp;row=2238&amp;col=7&amp;number=0.729&amp;sourceID=14","0.729")</f>
        <v>0.729</v>
      </c>
    </row>
    <row r="2239" spans="1:7">
      <c r="A2239" s="3"/>
      <c r="B2239" s="3"/>
      <c r="C2239" s="3"/>
      <c r="D2239" s="3"/>
      <c r="E2239" s="3">
        <v>16</v>
      </c>
      <c r="F2239" s="4" t="str">
        <f>HYPERLINK("http://141.218.60.56/~jnz1568/getInfo.php?workbook=18_15.xlsx&amp;sheet=U0&amp;row=2239&amp;col=6&amp;number=4.5&amp;sourceID=14","4.5")</f>
        <v>4.5</v>
      </c>
      <c r="G2239" s="4" t="str">
        <f>HYPERLINK("http://141.218.60.56/~jnz1568/getInfo.php?workbook=18_15.xlsx&amp;sheet=U0&amp;row=2239&amp;col=7&amp;number=0.721&amp;sourceID=14","0.721")</f>
        <v>0.721</v>
      </c>
    </row>
    <row r="2240" spans="1:7">
      <c r="A2240" s="3"/>
      <c r="B2240" s="3"/>
      <c r="C2240" s="3"/>
      <c r="D2240" s="3"/>
      <c r="E2240" s="3">
        <v>17</v>
      </c>
      <c r="F2240" s="4" t="str">
        <f>HYPERLINK("http://141.218.60.56/~jnz1568/getInfo.php?workbook=18_15.xlsx&amp;sheet=U0&amp;row=2240&amp;col=6&amp;number=4.6&amp;sourceID=14","4.6")</f>
        <v>4.6</v>
      </c>
      <c r="G2240" s="4" t="str">
        <f>HYPERLINK("http://141.218.60.56/~jnz1568/getInfo.php?workbook=18_15.xlsx&amp;sheet=U0&amp;row=2240&amp;col=7&amp;number=0.71&amp;sourceID=14","0.71")</f>
        <v>0.71</v>
      </c>
    </row>
    <row r="2241" spans="1:7">
      <c r="A2241" s="3"/>
      <c r="B2241" s="3"/>
      <c r="C2241" s="3"/>
      <c r="D2241" s="3"/>
      <c r="E2241" s="3">
        <v>18</v>
      </c>
      <c r="F2241" s="4" t="str">
        <f>HYPERLINK("http://141.218.60.56/~jnz1568/getInfo.php?workbook=18_15.xlsx&amp;sheet=U0&amp;row=2241&amp;col=6&amp;number=4.7&amp;sourceID=14","4.7")</f>
        <v>4.7</v>
      </c>
      <c r="G2241" s="4" t="str">
        <f>HYPERLINK("http://141.218.60.56/~jnz1568/getInfo.php?workbook=18_15.xlsx&amp;sheet=U0&amp;row=2241&amp;col=7&amp;number=0.694&amp;sourceID=14","0.694")</f>
        <v>0.694</v>
      </c>
    </row>
    <row r="2242" spans="1:7">
      <c r="A2242" s="3"/>
      <c r="B2242" s="3"/>
      <c r="C2242" s="3"/>
      <c r="D2242" s="3"/>
      <c r="E2242" s="3">
        <v>19</v>
      </c>
      <c r="F2242" s="4" t="str">
        <f>HYPERLINK("http://141.218.60.56/~jnz1568/getInfo.php?workbook=18_15.xlsx&amp;sheet=U0&amp;row=2242&amp;col=6&amp;number=4.8&amp;sourceID=14","4.8")</f>
        <v>4.8</v>
      </c>
      <c r="G2242" s="4" t="str">
        <f>HYPERLINK("http://141.218.60.56/~jnz1568/getInfo.php?workbook=18_15.xlsx&amp;sheet=U0&amp;row=2242&amp;col=7&amp;number=0.672&amp;sourceID=14","0.672")</f>
        <v>0.672</v>
      </c>
    </row>
    <row r="2243" spans="1:7">
      <c r="A2243" s="3"/>
      <c r="B2243" s="3"/>
      <c r="C2243" s="3"/>
      <c r="D2243" s="3"/>
      <c r="E2243" s="3">
        <v>20</v>
      </c>
      <c r="F2243" s="4" t="str">
        <f>HYPERLINK("http://141.218.60.56/~jnz1568/getInfo.php?workbook=18_15.xlsx&amp;sheet=U0&amp;row=2243&amp;col=6&amp;number=4.9&amp;sourceID=14","4.9")</f>
        <v>4.9</v>
      </c>
      <c r="G2243" s="4" t="str">
        <f>HYPERLINK("http://141.218.60.56/~jnz1568/getInfo.php?workbook=18_15.xlsx&amp;sheet=U0&amp;row=2243&amp;col=7&amp;number=0.644&amp;sourceID=14","0.644")</f>
        <v>0.644</v>
      </c>
    </row>
    <row r="2244" spans="1:7">
      <c r="A2244" s="3">
        <v>18</v>
      </c>
      <c r="B2244" s="3">
        <v>15</v>
      </c>
      <c r="C2244" s="3">
        <v>5</v>
      </c>
      <c r="D2244" s="3">
        <v>9</v>
      </c>
      <c r="E2244" s="3">
        <v>1</v>
      </c>
      <c r="F2244" s="4" t="str">
        <f>HYPERLINK("http://141.218.60.56/~jnz1568/getInfo.php?workbook=18_15.xlsx&amp;sheet=U0&amp;row=2244&amp;col=6&amp;number=3&amp;sourceID=14","3")</f>
        <v>3</v>
      </c>
      <c r="G2244" s="4" t="str">
        <f>HYPERLINK("http://141.218.60.56/~jnz1568/getInfo.php?workbook=18_15.xlsx&amp;sheet=U0&amp;row=2244&amp;col=7&amp;number=0.686&amp;sourceID=14","0.686")</f>
        <v>0.686</v>
      </c>
    </row>
    <row r="2245" spans="1:7">
      <c r="A2245" s="3"/>
      <c r="B2245" s="3"/>
      <c r="C2245" s="3"/>
      <c r="D2245" s="3"/>
      <c r="E2245" s="3">
        <v>2</v>
      </c>
      <c r="F2245" s="4" t="str">
        <f>HYPERLINK("http://141.218.60.56/~jnz1568/getInfo.php?workbook=18_15.xlsx&amp;sheet=U0&amp;row=2245&amp;col=6&amp;number=3.1&amp;sourceID=14","3.1")</f>
        <v>3.1</v>
      </c>
      <c r="G2245" s="4" t="str">
        <f>HYPERLINK("http://141.218.60.56/~jnz1568/getInfo.php?workbook=18_15.xlsx&amp;sheet=U0&amp;row=2245&amp;col=7&amp;number=0.685&amp;sourceID=14","0.685")</f>
        <v>0.685</v>
      </c>
    </row>
    <row r="2246" spans="1:7">
      <c r="A2246" s="3"/>
      <c r="B2246" s="3"/>
      <c r="C2246" s="3"/>
      <c r="D2246" s="3"/>
      <c r="E2246" s="3">
        <v>3</v>
      </c>
      <c r="F2246" s="4" t="str">
        <f>HYPERLINK("http://141.218.60.56/~jnz1568/getInfo.php?workbook=18_15.xlsx&amp;sheet=U0&amp;row=2246&amp;col=6&amp;number=3.2&amp;sourceID=14","3.2")</f>
        <v>3.2</v>
      </c>
      <c r="G2246" s="4" t="str">
        <f>HYPERLINK("http://141.218.60.56/~jnz1568/getInfo.php?workbook=18_15.xlsx&amp;sheet=U0&amp;row=2246&amp;col=7&amp;number=0.684&amp;sourceID=14","0.684")</f>
        <v>0.684</v>
      </c>
    </row>
    <row r="2247" spans="1:7">
      <c r="A2247" s="3"/>
      <c r="B2247" s="3"/>
      <c r="C2247" s="3"/>
      <c r="D2247" s="3"/>
      <c r="E2247" s="3">
        <v>4</v>
      </c>
      <c r="F2247" s="4" t="str">
        <f>HYPERLINK("http://141.218.60.56/~jnz1568/getInfo.php?workbook=18_15.xlsx&amp;sheet=U0&amp;row=2247&amp;col=6&amp;number=3.3&amp;sourceID=14","3.3")</f>
        <v>3.3</v>
      </c>
      <c r="G2247" s="4" t="str">
        <f>HYPERLINK("http://141.218.60.56/~jnz1568/getInfo.php?workbook=18_15.xlsx&amp;sheet=U0&amp;row=2247&amp;col=7&amp;number=0.682&amp;sourceID=14","0.682")</f>
        <v>0.682</v>
      </c>
    </row>
    <row r="2248" spans="1:7">
      <c r="A2248" s="3"/>
      <c r="B2248" s="3"/>
      <c r="C2248" s="3"/>
      <c r="D2248" s="3"/>
      <c r="E2248" s="3">
        <v>5</v>
      </c>
      <c r="F2248" s="4" t="str">
        <f>HYPERLINK("http://141.218.60.56/~jnz1568/getInfo.php?workbook=18_15.xlsx&amp;sheet=U0&amp;row=2248&amp;col=6&amp;number=3.4&amp;sourceID=14","3.4")</f>
        <v>3.4</v>
      </c>
      <c r="G2248" s="4" t="str">
        <f>HYPERLINK("http://141.218.60.56/~jnz1568/getInfo.php?workbook=18_15.xlsx&amp;sheet=U0&amp;row=2248&amp;col=7&amp;number=0.681&amp;sourceID=14","0.681")</f>
        <v>0.681</v>
      </c>
    </row>
    <row r="2249" spans="1:7">
      <c r="A2249" s="3"/>
      <c r="B2249" s="3"/>
      <c r="C2249" s="3"/>
      <c r="D2249" s="3"/>
      <c r="E2249" s="3">
        <v>6</v>
      </c>
      <c r="F2249" s="4" t="str">
        <f>HYPERLINK("http://141.218.60.56/~jnz1568/getInfo.php?workbook=18_15.xlsx&amp;sheet=U0&amp;row=2249&amp;col=6&amp;number=3.5&amp;sourceID=14","3.5")</f>
        <v>3.5</v>
      </c>
      <c r="G2249" s="4" t="str">
        <f>HYPERLINK("http://141.218.60.56/~jnz1568/getInfo.php?workbook=18_15.xlsx&amp;sheet=U0&amp;row=2249&amp;col=7&amp;number=0.679&amp;sourceID=14","0.679")</f>
        <v>0.679</v>
      </c>
    </row>
    <row r="2250" spans="1:7">
      <c r="A2250" s="3"/>
      <c r="B2250" s="3"/>
      <c r="C2250" s="3"/>
      <c r="D2250" s="3"/>
      <c r="E2250" s="3">
        <v>7</v>
      </c>
      <c r="F2250" s="4" t="str">
        <f>HYPERLINK("http://141.218.60.56/~jnz1568/getInfo.php?workbook=18_15.xlsx&amp;sheet=U0&amp;row=2250&amp;col=6&amp;number=3.6&amp;sourceID=14","3.6")</f>
        <v>3.6</v>
      </c>
      <c r="G2250" s="4" t="str">
        <f>HYPERLINK("http://141.218.60.56/~jnz1568/getInfo.php?workbook=18_15.xlsx&amp;sheet=U0&amp;row=2250&amp;col=7&amp;number=0.678&amp;sourceID=14","0.678")</f>
        <v>0.678</v>
      </c>
    </row>
    <row r="2251" spans="1:7">
      <c r="A2251" s="3"/>
      <c r="B2251" s="3"/>
      <c r="C2251" s="3"/>
      <c r="D2251" s="3"/>
      <c r="E2251" s="3">
        <v>8</v>
      </c>
      <c r="F2251" s="4" t="str">
        <f>HYPERLINK("http://141.218.60.56/~jnz1568/getInfo.php?workbook=18_15.xlsx&amp;sheet=U0&amp;row=2251&amp;col=6&amp;number=3.7&amp;sourceID=14","3.7")</f>
        <v>3.7</v>
      </c>
      <c r="G2251" s="4" t="str">
        <f>HYPERLINK("http://141.218.60.56/~jnz1568/getInfo.php?workbook=18_15.xlsx&amp;sheet=U0&amp;row=2251&amp;col=7&amp;number=0.678&amp;sourceID=14","0.678")</f>
        <v>0.678</v>
      </c>
    </row>
    <row r="2252" spans="1:7">
      <c r="A2252" s="3"/>
      <c r="B2252" s="3"/>
      <c r="C2252" s="3"/>
      <c r="D2252" s="3"/>
      <c r="E2252" s="3">
        <v>9</v>
      </c>
      <c r="F2252" s="4" t="str">
        <f>HYPERLINK("http://141.218.60.56/~jnz1568/getInfo.php?workbook=18_15.xlsx&amp;sheet=U0&amp;row=2252&amp;col=6&amp;number=3.8&amp;sourceID=14","3.8")</f>
        <v>3.8</v>
      </c>
      <c r="G2252" s="4" t="str">
        <f>HYPERLINK("http://141.218.60.56/~jnz1568/getInfo.php?workbook=18_15.xlsx&amp;sheet=U0&amp;row=2252&amp;col=7&amp;number=0.68&amp;sourceID=14","0.68")</f>
        <v>0.68</v>
      </c>
    </row>
    <row r="2253" spans="1:7">
      <c r="A2253" s="3"/>
      <c r="B2253" s="3"/>
      <c r="C2253" s="3"/>
      <c r="D2253" s="3"/>
      <c r="E2253" s="3">
        <v>10</v>
      </c>
      <c r="F2253" s="4" t="str">
        <f>HYPERLINK("http://141.218.60.56/~jnz1568/getInfo.php?workbook=18_15.xlsx&amp;sheet=U0&amp;row=2253&amp;col=6&amp;number=3.9&amp;sourceID=14","3.9")</f>
        <v>3.9</v>
      </c>
      <c r="G2253" s="4" t="str">
        <f>HYPERLINK("http://141.218.60.56/~jnz1568/getInfo.php?workbook=18_15.xlsx&amp;sheet=U0&amp;row=2253&amp;col=7&amp;number=0.688&amp;sourceID=14","0.688")</f>
        <v>0.688</v>
      </c>
    </row>
    <row r="2254" spans="1:7">
      <c r="A2254" s="3"/>
      <c r="B2254" s="3"/>
      <c r="C2254" s="3"/>
      <c r="D2254" s="3"/>
      <c r="E2254" s="3">
        <v>11</v>
      </c>
      <c r="F2254" s="4" t="str">
        <f>HYPERLINK("http://141.218.60.56/~jnz1568/getInfo.php?workbook=18_15.xlsx&amp;sheet=U0&amp;row=2254&amp;col=6&amp;number=4&amp;sourceID=14","4")</f>
        <v>4</v>
      </c>
      <c r="G2254" s="4" t="str">
        <f>HYPERLINK("http://141.218.60.56/~jnz1568/getInfo.php?workbook=18_15.xlsx&amp;sheet=U0&amp;row=2254&amp;col=7&amp;number=0.705&amp;sourceID=14","0.705")</f>
        <v>0.705</v>
      </c>
    </row>
    <row r="2255" spans="1:7">
      <c r="A2255" s="3"/>
      <c r="B2255" s="3"/>
      <c r="C2255" s="3"/>
      <c r="D2255" s="3"/>
      <c r="E2255" s="3">
        <v>12</v>
      </c>
      <c r="F2255" s="4" t="str">
        <f>HYPERLINK("http://141.218.60.56/~jnz1568/getInfo.php?workbook=18_15.xlsx&amp;sheet=U0&amp;row=2255&amp;col=6&amp;number=4.1&amp;sourceID=14","4.1")</f>
        <v>4.1</v>
      </c>
      <c r="G2255" s="4" t="str">
        <f>HYPERLINK("http://141.218.60.56/~jnz1568/getInfo.php?workbook=18_15.xlsx&amp;sheet=U0&amp;row=2255&amp;col=7&amp;number=0.74&amp;sourceID=14","0.74")</f>
        <v>0.74</v>
      </c>
    </row>
    <row r="2256" spans="1:7">
      <c r="A2256" s="3"/>
      <c r="B2256" s="3"/>
      <c r="C2256" s="3"/>
      <c r="D2256" s="3"/>
      <c r="E2256" s="3">
        <v>13</v>
      </c>
      <c r="F2256" s="4" t="str">
        <f>HYPERLINK("http://141.218.60.56/~jnz1568/getInfo.php?workbook=18_15.xlsx&amp;sheet=U0&amp;row=2256&amp;col=6&amp;number=4.2&amp;sourceID=14","4.2")</f>
        <v>4.2</v>
      </c>
      <c r="G2256" s="4" t="str">
        <f>HYPERLINK("http://141.218.60.56/~jnz1568/getInfo.php?workbook=18_15.xlsx&amp;sheet=U0&amp;row=2256&amp;col=7&amp;number=0.799&amp;sourceID=14","0.799")</f>
        <v>0.799</v>
      </c>
    </row>
    <row r="2257" spans="1:7">
      <c r="A2257" s="3"/>
      <c r="B2257" s="3"/>
      <c r="C2257" s="3"/>
      <c r="D2257" s="3"/>
      <c r="E2257" s="3">
        <v>14</v>
      </c>
      <c r="F2257" s="4" t="str">
        <f>HYPERLINK("http://141.218.60.56/~jnz1568/getInfo.php?workbook=18_15.xlsx&amp;sheet=U0&amp;row=2257&amp;col=6&amp;number=4.3&amp;sourceID=14","4.3")</f>
        <v>4.3</v>
      </c>
      <c r="G2257" s="4" t="str">
        <f>HYPERLINK("http://141.218.60.56/~jnz1568/getInfo.php?workbook=18_15.xlsx&amp;sheet=U0&amp;row=2257&amp;col=7&amp;number=0.882&amp;sourceID=14","0.882")</f>
        <v>0.882</v>
      </c>
    </row>
    <row r="2258" spans="1:7">
      <c r="A2258" s="3"/>
      <c r="B2258" s="3"/>
      <c r="C2258" s="3"/>
      <c r="D2258" s="3"/>
      <c r="E2258" s="3">
        <v>15</v>
      </c>
      <c r="F2258" s="4" t="str">
        <f>HYPERLINK("http://141.218.60.56/~jnz1568/getInfo.php?workbook=18_15.xlsx&amp;sheet=U0&amp;row=2258&amp;col=6&amp;number=4.4&amp;sourceID=14","4.4")</f>
        <v>4.4</v>
      </c>
      <c r="G2258" s="4" t="str">
        <f>HYPERLINK("http://141.218.60.56/~jnz1568/getInfo.php?workbook=18_15.xlsx&amp;sheet=U0&amp;row=2258&amp;col=7&amp;number=0.986&amp;sourceID=14","0.986")</f>
        <v>0.986</v>
      </c>
    </row>
    <row r="2259" spans="1:7">
      <c r="A2259" s="3"/>
      <c r="B2259" s="3"/>
      <c r="C2259" s="3"/>
      <c r="D2259" s="3"/>
      <c r="E2259" s="3">
        <v>16</v>
      </c>
      <c r="F2259" s="4" t="str">
        <f>HYPERLINK("http://141.218.60.56/~jnz1568/getInfo.php?workbook=18_15.xlsx&amp;sheet=U0&amp;row=2259&amp;col=6&amp;number=4.5&amp;sourceID=14","4.5")</f>
        <v>4.5</v>
      </c>
      <c r="G2259" s="4" t="str">
        <f>HYPERLINK("http://141.218.60.56/~jnz1568/getInfo.php?workbook=18_15.xlsx&amp;sheet=U0&amp;row=2259&amp;col=7&amp;number=1.1&amp;sourceID=14","1.1")</f>
        <v>1.1</v>
      </c>
    </row>
    <row r="2260" spans="1:7">
      <c r="A2260" s="3"/>
      <c r="B2260" s="3"/>
      <c r="C2260" s="3"/>
      <c r="D2260" s="3"/>
      <c r="E2260" s="3">
        <v>17</v>
      </c>
      <c r="F2260" s="4" t="str">
        <f>HYPERLINK("http://141.218.60.56/~jnz1568/getInfo.php?workbook=18_15.xlsx&amp;sheet=U0&amp;row=2260&amp;col=6&amp;number=4.6&amp;sourceID=14","4.6")</f>
        <v>4.6</v>
      </c>
      <c r="G2260" s="4" t="str">
        <f>HYPERLINK("http://141.218.60.56/~jnz1568/getInfo.php?workbook=18_15.xlsx&amp;sheet=U0&amp;row=2260&amp;col=7&amp;number=1.2&amp;sourceID=14","1.2")</f>
        <v>1.2</v>
      </c>
    </row>
    <row r="2261" spans="1:7">
      <c r="A2261" s="3"/>
      <c r="B2261" s="3"/>
      <c r="C2261" s="3"/>
      <c r="D2261" s="3"/>
      <c r="E2261" s="3">
        <v>18</v>
      </c>
      <c r="F2261" s="4" t="str">
        <f>HYPERLINK("http://141.218.60.56/~jnz1568/getInfo.php?workbook=18_15.xlsx&amp;sheet=U0&amp;row=2261&amp;col=6&amp;number=4.7&amp;sourceID=14","4.7")</f>
        <v>4.7</v>
      </c>
      <c r="G2261" s="4" t="str">
        <f>HYPERLINK("http://141.218.60.56/~jnz1568/getInfo.php?workbook=18_15.xlsx&amp;sheet=U0&amp;row=2261&amp;col=7&amp;number=1.27&amp;sourceID=14","1.27")</f>
        <v>1.27</v>
      </c>
    </row>
    <row r="2262" spans="1:7">
      <c r="A2262" s="3"/>
      <c r="B2262" s="3"/>
      <c r="C2262" s="3"/>
      <c r="D2262" s="3"/>
      <c r="E2262" s="3">
        <v>19</v>
      </c>
      <c r="F2262" s="4" t="str">
        <f>HYPERLINK("http://141.218.60.56/~jnz1568/getInfo.php?workbook=18_15.xlsx&amp;sheet=U0&amp;row=2262&amp;col=6&amp;number=4.8&amp;sourceID=14","4.8")</f>
        <v>4.8</v>
      </c>
      <c r="G2262" s="4" t="str">
        <f>HYPERLINK("http://141.218.60.56/~jnz1568/getInfo.php?workbook=18_15.xlsx&amp;sheet=U0&amp;row=2262&amp;col=7&amp;number=1.3&amp;sourceID=14","1.3")</f>
        <v>1.3</v>
      </c>
    </row>
    <row r="2263" spans="1:7">
      <c r="A2263" s="3"/>
      <c r="B2263" s="3"/>
      <c r="C2263" s="3"/>
      <c r="D2263" s="3"/>
      <c r="E2263" s="3">
        <v>20</v>
      </c>
      <c r="F2263" s="4" t="str">
        <f>HYPERLINK("http://141.218.60.56/~jnz1568/getInfo.php?workbook=18_15.xlsx&amp;sheet=U0&amp;row=2263&amp;col=6&amp;number=4.9&amp;sourceID=14","4.9")</f>
        <v>4.9</v>
      </c>
      <c r="G2263" s="4" t="str">
        <f>HYPERLINK("http://141.218.60.56/~jnz1568/getInfo.php?workbook=18_15.xlsx&amp;sheet=U0&amp;row=2263&amp;col=7&amp;number=1.29&amp;sourceID=14","1.29")</f>
        <v>1.29</v>
      </c>
    </row>
    <row r="2264" spans="1:7">
      <c r="A2264" s="3">
        <v>18</v>
      </c>
      <c r="B2264" s="3">
        <v>15</v>
      </c>
      <c r="C2264" s="3">
        <v>5</v>
      </c>
      <c r="D2264" s="3">
        <v>10</v>
      </c>
      <c r="E2264" s="3">
        <v>1</v>
      </c>
      <c r="F2264" s="4" t="str">
        <f>HYPERLINK("http://141.218.60.56/~jnz1568/getInfo.php?workbook=18_15.xlsx&amp;sheet=U0&amp;row=2264&amp;col=6&amp;number=3&amp;sourceID=14","3")</f>
        <v>3</v>
      </c>
      <c r="G2264" s="4" t="str">
        <f>HYPERLINK("http://141.218.60.56/~jnz1568/getInfo.php?workbook=18_15.xlsx&amp;sheet=U0&amp;row=2264&amp;col=7&amp;number=1.19&amp;sourceID=14","1.19")</f>
        <v>1.19</v>
      </c>
    </row>
    <row r="2265" spans="1:7">
      <c r="A2265" s="3"/>
      <c r="B2265" s="3"/>
      <c r="C2265" s="3"/>
      <c r="D2265" s="3"/>
      <c r="E2265" s="3">
        <v>2</v>
      </c>
      <c r="F2265" s="4" t="str">
        <f>HYPERLINK("http://141.218.60.56/~jnz1568/getInfo.php?workbook=18_15.xlsx&amp;sheet=U0&amp;row=2265&amp;col=6&amp;number=3.1&amp;sourceID=14","3.1")</f>
        <v>3.1</v>
      </c>
      <c r="G2265" s="4" t="str">
        <f>HYPERLINK("http://141.218.60.56/~jnz1568/getInfo.php?workbook=18_15.xlsx&amp;sheet=U0&amp;row=2265&amp;col=7&amp;number=1.19&amp;sourceID=14","1.19")</f>
        <v>1.19</v>
      </c>
    </row>
    <row r="2266" spans="1:7">
      <c r="A2266" s="3"/>
      <c r="B2266" s="3"/>
      <c r="C2266" s="3"/>
      <c r="D2266" s="3"/>
      <c r="E2266" s="3">
        <v>3</v>
      </c>
      <c r="F2266" s="4" t="str">
        <f>HYPERLINK("http://141.218.60.56/~jnz1568/getInfo.php?workbook=18_15.xlsx&amp;sheet=U0&amp;row=2266&amp;col=6&amp;number=3.2&amp;sourceID=14","3.2")</f>
        <v>3.2</v>
      </c>
      <c r="G2266" s="4" t="str">
        <f>HYPERLINK("http://141.218.60.56/~jnz1568/getInfo.php?workbook=18_15.xlsx&amp;sheet=U0&amp;row=2266&amp;col=7&amp;number=1.19&amp;sourceID=14","1.19")</f>
        <v>1.19</v>
      </c>
    </row>
    <row r="2267" spans="1:7">
      <c r="A2267" s="3"/>
      <c r="B2267" s="3"/>
      <c r="C2267" s="3"/>
      <c r="D2267" s="3"/>
      <c r="E2267" s="3">
        <v>4</v>
      </c>
      <c r="F2267" s="4" t="str">
        <f>HYPERLINK("http://141.218.60.56/~jnz1568/getInfo.php?workbook=18_15.xlsx&amp;sheet=U0&amp;row=2267&amp;col=6&amp;number=3.3&amp;sourceID=14","3.3")</f>
        <v>3.3</v>
      </c>
      <c r="G2267" s="4" t="str">
        <f>HYPERLINK("http://141.218.60.56/~jnz1568/getInfo.php?workbook=18_15.xlsx&amp;sheet=U0&amp;row=2267&amp;col=7&amp;number=1.19&amp;sourceID=14","1.19")</f>
        <v>1.19</v>
      </c>
    </row>
    <row r="2268" spans="1:7">
      <c r="A2268" s="3"/>
      <c r="B2268" s="3"/>
      <c r="C2268" s="3"/>
      <c r="D2268" s="3"/>
      <c r="E2268" s="3">
        <v>5</v>
      </c>
      <c r="F2268" s="4" t="str">
        <f>HYPERLINK("http://141.218.60.56/~jnz1568/getInfo.php?workbook=18_15.xlsx&amp;sheet=U0&amp;row=2268&amp;col=6&amp;number=3.4&amp;sourceID=14","3.4")</f>
        <v>3.4</v>
      </c>
      <c r="G2268" s="4" t="str">
        <f>HYPERLINK("http://141.218.60.56/~jnz1568/getInfo.php?workbook=18_15.xlsx&amp;sheet=U0&amp;row=2268&amp;col=7&amp;number=1.18&amp;sourceID=14","1.18")</f>
        <v>1.18</v>
      </c>
    </row>
    <row r="2269" spans="1:7">
      <c r="A2269" s="3"/>
      <c r="B2269" s="3"/>
      <c r="C2269" s="3"/>
      <c r="D2269" s="3"/>
      <c r="E2269" s="3">
        <v>6</v>
      </c>
      <c r="F2269" s="4" t="str">
        <f>HYPERLINK("http://141.218.60.56/~jnz1568/getInfo.php?workbook=18_15.xlsx&amp;sheet=U0&amp;row=2269&amp;col=6&amp;number=3.5&amp;sourceID=14","3.5")</f>
        <v>3.5</v>
      </c>
      <c r="G2269" s="4" t="str">
        <f>HYPERLINK("http://141.218.60.56/~jnz1568/getInfo.php?workbook=18_15.xlsx&amp;sheet=U0&amp;row=2269&amp;col=7&amp;number=1.18&amp;sourceID=14","1.18")</f>
        <v>1.18</v>
      </c>
    </row>
    <row r="2270" spans="1:7">
      <c r="A2270" s="3"/>
      <c r="B2270" s="3"/>
      <c r="C2270" s="3"/>
      <c r="D2270" s="3"/>
      <c r="E2270" s="3">
        <v>7</v>
      </c>
      <c r="F2270" s="4" t="str">
        <f>HYPERLINK("http://141.218.60.56/~jnz1568/getInfo.php?workbook=18_15.xlsx&amp;sheet=U0&amp;row=2270&amp;col=6&amp;number=3.6&amp;sourceID=14","3.6")</f>
        <v>3.6</v>
      </c>
      <c r="G2270" s="4" t="str">
        <f>HYPERLINK("http://141.218.60.56/~jnz1568/getInfo.php?workbook=18_15.xlsx&amp;sheet=U0&amp;row=2270&amp;col=7&amp;number=1.18&amp;sourceID=14","1.18")</f>
        <v>1.18</v>
      </c>
    </row>
    <row r="2271" spans="1:7">
      <c r="A2271" s="3"/>
      <c r="B2271" s="3"/>
      <c r="C2271" s="3"/>
      <c r="D2271" s="3"/>
      <c r="E2271" s="3">
        <v>8</v>
      </c>
      <c r="F2271" s="4" t="str">
        <f>HYPERLINK("http://141.218.60.56/~jnz1568/getInfo.php?workbook=18_15.xlsx&amp;sheet=U0&amp;row=2271&amp;col=6&amp;number=3.7&amp;sourceID=14","3.7")</f>
        <v>3.7</v>
      </c>
      <c r="G2271" s="4" t="str">
        <f>HYPERLINK("http://141.218.60.56/~jnz1568/getInfo.php?workbook=18_15.xlsx&amp;sheet=U0&amp;row=2271&amp;col=7&amp;number=1.18&amp;sourceID=14","1.18")</f>
        <v>1.18</v>
      </c>
    </row>
    <row r="2272" spans="1:7">
      <c r="A2272" s="3"/>
      <c r="B2272" s="3"/>
      <c r="C2272" s="3"/>
      <c r="D2272" s="3"/>
      <c r="E2272" s="3">
        <v>9</v>
      </c>
      <c r="F2272" s="4" t="str">
        <f>HYPERLINK("http://141.218.60.56/~jnz1568/getInfo.php?workbook=18_15.xlsx&amp;sheet=U0&amp;row=2272&amp;col=6&amp;number=3.8&amp;sourceID=14","3.8")</f>
        <v>3.8</v>
      </c>
      <c r="G2272" s="4" t="str">
        <f>HYPERLINK("http://141.218.60.56/~jnz1568/getInfo.php?workbook=18_15.xlsx&amp;sheet=U0&amp;row=2272&amp;col=7&amp;number=1.19&amp;sourceID=14","1.19")</f>
        <v>1.19</v>
      </c>
    </row>
    <row r="2273" spans="1:7">
      <c r="A2273" s="3"/>
      <c r="B2273" s="3"/>
      <c r="C2273" s="3"/>
      <c r="D2273" s="3"/>
      <c r="E2273" s="3">
        <v>10</v>
      </c>
      <c r="F2273" s="4" t="str">
        <f>HYPERLINK("http://141.218.60.56/~jnz1568/getInfo.php?workbook=18_15.xlsx&amp;sheet=U0&amp;row=2273&amp;col=6&amp;number=3.9&amp;sourceID=14","3.9")</f>
        <v>3.9</v>
      </c>
      <c r="G2273" s="4" t="str">
        <f>HYPERLINK("http://141.218.60.56/~jnz1568/getInfo.php?workbook=18_15.xlsx&amp;sheet=U0&amp;row=2273&amp;col=7&amp;number=1.21&amp;sourceID=14","1.21")</f>
        <v>1.21</v>
      </c>
    </row>
    <row r="2274" spans="1:7">
      <c r="A2274" s="3"/>
      <c r="B2274" s="3"/>
      <c r="C2274" s="3"/>
      <c r="D2274" s="3"/>
      <c r="E2274" s="3">
        <v>11</v>
      </c>
      <c r="F2274" s="4" t="str">
        <f>HYPERLINK("http://141.218.60.56/~jnz1568/getInfo.php?workbook=18_15.xlsx&amp;sheet=U0&amp;row=2274&amp;col=6&amp;number=4&amp;sourceID=14","4")</f>
        <v>4</v>
      </c>
      <c r="G2274" s="4" t="str">
        <f>HYPERLINK("http://141.218.60.56/~jnz1568/getInfo.php?workbook=18_15.xlsx&amp;sheet=U0&amp;row=2274&amp;col=7&amp;number=1.24&amp;sourceID=14","1.24")</f>
        <v>1.24</v>
      </c>
    </row>
    <row r="2275" spans="1:7">
      <c r="A2275" s="3"/>
      <c r="B2275" s="3"/>
      <c r="C2275" s="3"/>
      <c r="D2275" s="3"/>
      <c r="E2275" s="3">
        <v>12</v>
      </c>
      <c r="F2275" s="4" t="str">
        <f>HYPERLINK("http://141.218.60.56/~jnz1568/getInfo.php?workbook=18_15.xlsx&amp;sheet=U0&amp;row=2275&amp;col=6&amp;number=4.1&amp;sourceID=14","4.1")</f>
        <v>4.1</v>
      </c>
      <c r="G2275" s="4" t="str">
        <f>HYPERLINK("http://141.218.60.56/~jnz1568/getInfo.php?workbook=18_15.xlsx&amp;sheet=U0&amp;row=2275&amp;col=7&amp;number=1.32&amp;sourceID=14","1.32")</f>
        <v>1.32</v>
      </c>
    </row>
    <row r="2276" spans="1:7">
      <c r="A2276" s="3"/>
      <c r="B2276" s="3"/>
      <c r="C2276" s="3"/>
      <c r="D2276" s="3"/>
      <c r="E2276" s="3">
        <v>13</v>
      </c>
      <c r="F2276" s="4" t="str">
        <f>HYPERLINK("http://141.218.60.56/~jnz1568/getInfo.php?workbook=18_15.xlsx&amp;sheet=U0&amp;row=2276&amp;col=6&amp;number=4.2&amp;sourceID=14","4.2")</f>
        <v>4.2</v>
      </c>
      <c r="G2276" s="4" t="str">
        <f>HYPERLINK("http://141.218.60.56/~jnz1568/getInfo.php?workbook=18_15.xlsx&amp;sheet=U0&amp;row=2276&amp;col=7&amp;number=1.45&amp;sourceID=14","1.45")</f>
        <v>1.45</v>
      </c>
    </row>
    <row r="2277" spans="1:7">
      <c r="A2277" s="3"/>
      <c r="B2277" s="3"/>
      <c r="C2277" s="3"/>
      <c r="D2277" s="3"/>
      <c r="E2277" s="3">
        <v>14</v>
      </c>
      <c r="F2277" s="4" t="str">
        <f>HYPERLINK("http://141.218.60.56/~jnz1568/getInfo.php?workbook=18_15.xlsx&amp;sheet=U0&amp;row=2277&amp;col=6&amp;number=4.3&amp;sourceID=14","4.3")</f>
        <v>4.3</v>
      </c>
      <c r="G2277" s="4" t="str">
        <f>HYPERLINK("http://141.218.60.56/~jnz1568/getInfo.php?workbook=18_15.xlsx&amp;sheet=U0&amp;row=2277&amp;col=7&amp;number=1.63&amp;sourceID=14","1.63")</f>
        <v>1.63</v>
      </c>
    </row>
    <row r="2278" spans="1:7">
      <c r="A2278" s="3"/>
      <c r="B2278" s="3"/>
      <c r="C2278" s="3"/>
      <c r="D2278" s="3"/>
      <c r="E2278" s="3">
        <v>15</v>
      </c>
      <c r="F2278" s="4" t="str">
        <f>HYPERLINK("http://141.218.60.56/~jnz1568/getInfo.php?workbook=18_15.xlsx&amp;sheet=U0&amp;row=2278&amp;col=6&amp;number=4.4&amp;sourceID=14","4.4")</f>
        <v>4.4</v>
      </c>
      <c r="G2278" s="4" t="str">
        <f>HYPERLINK("http://141.218.60.56/~jnz1568/getInfo.php?workbook=18_15.xlsx&amp;sheet=U0&amp;row=2278&amp;col=7&amp;number=1.87&amp;sourceID=14","1.87")</f>
        <v>1.87</v>
      </c>
    </row>
    <row r="2279" spans="1:7">
      <c r="A2279" s="3"/>
      <c r="B2279" s="3"/>
      <c r="C2279" s="3"/>
      <c r="D2279" s="3"/>
      <c r="E2279" s="3">
        <v>16</v>
      </c>
      <c r="F2279" s="4" t="str">
        <f>HYPERLINK("http://141.218.60.56/~jnz1568/getInfo.php?workbook=18_15.xlsx&amp;sheet=U0&amp;row=2279&amp;col=6&amp;number=4.5&amp;sourceID=14","4.5")</f>
        <v>4.5</v>
      </c>
      <c r="G2279" s="4" t="str">
        <f>HYPERLINK("http://141.218.60.56/~jnz1568/getInfo.php?workbook=18_15.xlsx&amp;sheet=U0&amp;row=2279&amp;col=7&amp;number=2.14&amp;sourceID=14","2.14")</f>
        <v>2.14</v>
      </c>
    </row>
    <row r="2280" spans="1:7">
      <c r="A2280" s="3"/>
      <c r="B2280" s="3"/>
      <c r="C2280" s="3"/>
      <c r="D2280" s="3"/>
      <c r="E2280" s="3">
        <v>17</v>
      </c>
      <c r="F2280" s="4" t="str">
        <f>HYPERLINK("http://141.218.60.56/~jnz1568/getInfo.php?workbook=18_15.xlsx&amp;sheet=U0&amp;row=2280&amp;col=6&amp;number=4.6&amp;sourceID=14","4.6")</f>
        <v>4.6</v>
      </c>
      <c r="G2280" s="4" t="str">
        <f>HYPERLINK("http://141.218.60.56/~jnz1568/getInfo.php?workbook=18_15.xlsx&amp;sheet=U0&amp;row=2280&amp;col=7&amp;number=2.4&amp;sourceID=14","2.4")</f>
        <v>2.4</v>
      </c>
    </row>
    <row r="2281" spans="1:7">
      <c r="A2281" s="3"/>
      <c r="B2281" s="3"/>
      <c r="C2281" s="3"/>
      <c r="D2281" s="3"/>
      <c r="E2281" s="3">
        <v>18</v>
      </c>
      <c r="F2281" s="4" t="str">
        <f>HYPERLINK("http://141.218.60.56/~jnz1568/getInfo.php?workbook=18_15.xlsx&amp;sheet=U0&amp;row=2281&amp;col=6&amp;number=4.7&amp;sourceID=14","4.7")</f>
        <v>4.7</v>
      </c>
      <c r="G2281" s="4" t="str">
        <f>HYPERLINK("http://141.218.60.56/~jnz1568/getInfo.php?workbook=18_15.xlsx&amp;sheet=U0&amp;row=2281&amp;col=7&amp;number=2.61&amp;sourceID=14","2.61")</f>
        <v>2.61</v>
      </c>
    </row>
    <row r="2282" spans="1:7">
      <c r="A2282" s="3"/>
      <c r="B2282" s="3"/>
      <c r="C2282" s="3"/>
      <c r="D2282" s="3"/>
      <c r="E2282" s="3">
        <v>19</v>
      </c>
      <c r="F2282" s="4" t="str">
        <f>HYPERLINK("http://141.218.60.56/~jnz1568/getInfo.php?workbook=18_15.xlsx&amp;sheet=U0&amp;row=2282&amp;col=6&amp;number=4.8&amp;sourceID=14","4.8")</f>
        <v>4.8</v>
      </c>
      <c r="G2282" s="4" t="str">
        <f>HYPERLINK("http://141.218.60.56/~jnz1568/getInfo.php?workbook=18_15.xlsx&amp;sheet=U0&amp;row=2282&amp;col=7&amp;number=2.73&amp;sourceID=14","2.73")</f>
        <v>2.73</v>
      </c>
    </row>
    <row r="2283" spans="1:7">
      <c r="A2283" s="3"/>
      <c r="B2283" s="3"/>
      <c r="C2283" s="3"/>
      <c r="D2283" s="3"/>
      <c r="E2283" s="3">
        <v>20</v>
      </c>
      <c r="F2283" s="4" t="str">
        <f>HYPERLINK("http://141.218.60.56/~jnz1568/getInfo.php?workbook=18_15.xlsx&amp;sheet=U0&amp;row=2283&amp;col=6&amp;number=4.9&amp;sourceID=14","4.9")</f>
        <v>4.9</v>
      </c>
      <c r="G2283" s="4" t="str">
        <f>HYPERLINK("http://141.218.60.56/~jnz1568/getInfo.php?workbook=18_15.xlsx&amp;sheet=U0&amp;row=2283&amp;col=7&amp;number=2.75&amp;sourceID=14","2.75")</f>
        <v>2.75</v>
      </c>
    </row>
    <row r="2284" spans="1:7">
      <c r="A2284" s="3">
        <v>18</v>
      </c>
      <c r="B2284" s="3">
        <v>15</v>
      </c>
      <c r="C2284" s="3">
        <v>5</v>
      </c>
      <c r="D2284" s="3">
        <v>11</v>
      </c>
      <c r="E2284" s="3">
        <v>1</v>
      </c>
      <c r="F2284" s="4" t="str">
        <f>HYPERLINK("http://141.218.60.56/~jnz1568/getInfo.php?workbook=18_15.xlsx&amp;sheet=U0&amp;row=2284&amp;col=6&amp;number=3&amp;sourceID=14","3")</f>
        <v>3</v>
      </c>
      <c r="G2284" s="4" t="str">
        <f>HYPERLINK("http://141.218.60.56/~jnz1568/getInfo.php?workbook=18_15.xlsx&amp;sheet=U0&amp;row=2284&amp;col=7&amp;number=0.425&amp;sourceID=14","0.425")</f>
        <v>0.425</v>
      </c>
    </row>
    <row r="2285" spans="1:7">
      <c r="A2285" s="3"/>
      <c r="B2285" s="3"/>
      <c r="C2285" s="3"/>
      <c r="D2285" s="3"/>
      <c r="E2285" s="3">
        <v>2</v>
      </c>
      <c r="F2285" s="4" t="str">
        <f>HYPERLINK("http://141.218.60.56/~jnz1568/getInfo.php?workbook=18_15.xlsx&amp;sheet=U0&amp;row=2285&amp;col=6&amp;number=3.1&amp;sourceID=14","3.1")</f>
        <v>3.1</v>
      </c>
      <c r="G2285" s="4" t="str">
        <f>HYPERLINK("http://141.218.60.56/~jnz1568/getInfo.php?workbook=18_15.xlsx&amp;sheet=U0&amp;row=2285&amp;col=7&amp;number=0.423&amp;sourceID=14","0.423")</f>
        <v>0.423</v>
      </c>
    </row>
    <row r="2286" spans="1:7">
      <c r="A2286" s="3"/>
      <c r="B2286" s="3"/>
      <c r="C2286" s="3"/>
      <c r="D2286" s="3"/>
      <c r="E2286" s="3">
        <v>3</v>
      </c>
      <c r="F2286" s="4" t="str">
        <f>HYPERLINK("http://141.218.60.56/~jnz1568/getInfo.php?workbook=18_15.xlsx&amp;sheet=U0&amp;row=2286&amp;col=6&amp;number=3.2&amp;sourceID=14","3.2")</f>
        <v>3.2</v>
      </c>
      <c r="G2286" s="4" t="str">
        <f>HYPERLINK("http://141.218.60.56/~jnz1568/getInfo.php?workbook=18_15.xlsx&amp;sheet=U0&amp;row=2286&amp;col=7&amp;number=0.421&amp;sourceID=14","0.421")</f>
        <v>0.421</v>
      </c>
    </row>
    <row r="2287" spans="1:7">
      <c r="A2287" s="3"/>
      <c r="B2287" s="3"/>
      <c r="C2287" s="3"/>
      <c r="D2287" s="3"/>
      <c r="E2287" s="3">
        <v>4</v>
      </c>
      <c r="F2287" s="4" t="str">
        <f>HYPERLINK("http://141.218.60.56/~jnz1568/getInfo.php?workbook=18_15.xlsx&amp;sheet=U0&amp;row=2287&amp;col=6&amp;number=3.3&amp;sourceID=14","3.3")</f>
        <v>3.3</v>
      </c>
      <c r="G2287" s="4" t="str">
        <f>HYPERLINK("http://141.218.60.56/~jnz1568/getInfo.php?workbook=18_15.xlsx&amp;sheet=U0&amp;row=2287&amp;col=7&amp;number=0.417&amp;sourceID=14","0.417")</f>
        <v>0.417</v>
      </c>
    </row>
    <row r="2288" spans="1:7">
      <c r="A2288" s="3"/>
      <c r="B2288" s="3"/>
      <c r="C2288" s="3"/>
      <c r="D2288" s="3"/>
      <c r="E2288" s="3">
        <v>5</v>
      </c>
      <c r="F2288" s="4" t="str">
        <f>HYPERLINK("http://141.218.60.56/~jnz1568/getInfo.php?workbook=18_15.xlsx&amp;sheet=U0&amp;row=2288&amp;col=6&amp;number=3.4&amp;sourceID=14","3.4")</f>
        <v>3.4</v>
      </c>
      <c r="G2288" s="4" t="str">
        <f>HYPERLINK("http://141.218.60.56/~jnz1568/getInfo.php?workbook=18_15.xlsx&amp;sheet=U0&amp;row=2288&amp;col=7&amp;number=0.414&amp;sourceID=14","0.414")</f>
        <v>0.414</v>
      </c>
    </row>
    <row r="2289" spans="1:7">
      <c r="A2289" s="3"/>
      <c r="B2289" s="3"/>
      <c r="C2289" s="3"/>
      <c r="D2289" s="3"/>
      <c r="E2289" s="3">
        <v>6</v>
      </c>
      <c r="F2289" s="4" t="str">
        <f>HYPERLINK("http://141.218.60.56/~jnz1568/getInfo.php?workbook=18_15.xlsx&amp;sheet=U0&amp;row=2289&amp;col=6&amp;number=3.5&amp;sourceID=14","3.5")</f>
        <v>3.5</v>
      </c>
      <c r="G2289" s="4" t="str">
        <f>HYPERLINK("http://141.218.60.56/~jnz1568/getInfo.php?workbook=18_15.xlsx&amp;sheet=U0&amp;row=2289&amp;col=7&amp;number=0.409&amp;sourceID=14","0.409")</f>
        <v>0.409</v>
      </c>
    </row>
    <row r="2290" spans="1:7">
      <c r="A2290" s="3"/>
      <c r="B2290" s="3"/>
      <c r="C2290" s="3"/>
      <c r="D2290" s="3"/>
      <c r="E2290" s="3">
        <v>7</v>
      </c>
      <c r="F2290" s="4" t="str">
        <f>HYPERLINK("http://141.218.60.56/~jnz1568/getInfo.php?workbook=18_15.xlsx&amp;sheet=U0&amp;row=2290&amp;col=6&amp;number=3.6&amp;sourceID=14","3.6")</f>
        <v>3.6</v>
      </c>
      <c r="G2290" s="4" t="str">
        <f>HYPERLINK("http://141.218.60.56/~jnz1568/getInfo.php?workbook=18_15.xlsx&amp;sheet=U0&amp;row=2290&amp;col=7&amp;number=0.403&amp;sourceID=14","0.403")</f>
        <v>0.403</v>
      </c>
    </row>
    <row r="2291" spans="1:7">
      <c r="A2291" s="3"/>
      <c r="B2291" s="3"/>
      <c r="C2291" s="3"/>
      <c r="D2291" s="3"/>
      <c r="E2291" s="3">
        <v>8</v>
      </c>
      <c r="F2291" s="4" t="str">
        <f>HYPERLINK("http://141.218.60.56/~jnz1568/getInfo.php?workbook=18_15.xlsx&amp;sheet=U0&amp;row=2291&amp;col=6&amp;number=3.7&amp;sourceID=14","3.7")</f>
        <v>3.7</v>
      </c>
      <c r="G2291" s="4" t="str">
        <f>HYPERLINK("http://141.218.60.56/~jnz1568/getInfo.php?workbook=18_15.xlsx&amp;sheet=U0&amp;row=2291&amp;col=7&amp;number=0.395&amp;sourceID=14","0.395")</f>
        <v>0.395</v>
      </c>
    </row>
    <row r="2292" spans="1:7">
      <c r="A2292" s="3"/>
      <c r="B2292" s="3"/>
      <c r="C2292" s="3"/>
      <c r="D2292" s="3"/>
      <c r="E2292" s="3">
        <v>9</v>
      </c>
      <c r="F2292" s="4" t="str">
        <f>HYPERLINK("http://141.218.60.56/~jnz1568/getInfo.php?workbook=18_15.xlsx&amp;sheet=U0&amp;row=2292&amp;col=6&amp;number=3.8&amp;sourceID=14","3.8")</f>
        <v>3.8</v>
      </c>
      <c r="G2292" s="4" t="str">
        <f>HYPERLINK("http://141.218.60.56/~jnz1568/getInfo.php?workbook=18_15.xlsx&amp;sheet=U0&amp;row=2292&amp;col=7&amp;number=0.386&amp;sourceID=14","0.386")</f>
        <v>0.386</v>
      </c>
    </row>
    <row r="2293" spans="1:7">
      <c r="A2293" s="3"/>
      <c r="B2293" s="3"/>
      <c r="C2293" s="3"/>
      <c r="D2293" s="3"/>
      <c r="E2293" s="3">
        <v>10</v>
      </c>
      <c r="F2293" s="4" t="str">
        <f>HYPERLINK("http://141.218.60.56/~jnz1568/getInfo.php?workbook=18_15.xlsx&amp;sheet=U0&amp;row=2293&amp;col=6&amp;number=3.9&amp;sourceID=14","3.9")</f>
        <v>3.9</v>
      </c>
      <c r="G2293" s="4" t="str">
        <f>HYPERLINK("http://141.218.60.56/~jnz1568/getInfo.php?workbook=18_15.xlsx&amp;sheet=U0&amp;row=2293&amp;col=7&amp;number=0.375&amp;sourceID=14","0.375")</f>
        <v>0.375</v>
      </c>
    </row>
    <row r="2294" spans="1:7">
      <c r="A2294" s="3"/>
      <c r="B2294" s="3"/>
      <c r="C2294" s="3"/>
      <c r="D2294" s="3"/>
      <c r="E2294" s="3">
        <v>11</v>
      </c>
      <c r="F2294" s="4" t="str">
        <f>HYPERLINK("http://141.218.60.56/~jnz1568/getInfo.php?workbook=18_15.xlsx&amp;sheet=U0&amp;row=2294&amp;col=6&amp;number=4&amp;sourceID=14","4")</f>
        <v>4</v>
      </c>
      <c r="G2294" s="4" t="str">
        <f>HYPERLINK("http://141.218.60.56/~jnz1568/getInfo.php?workbook=18_15.xlsx&amp;sheet=U0&amp;row=2294&amp;col=7&amp;number=0.363&amp;sourceID=14","0.363")</f>
        <v>0.363</v>
      </c>
    </row>
    <row r="2295" spans="1:7">
      <c r="A2295" s="3"/>
      <c r="B2295" s="3"/>
      <c r="C2295" s="3"/>
      <c r="D2295" s="3"/>
      <c r="E2295" s="3">
        <v>12</v>
      </c>
      <c r="F2295" s="4" t="str">
        <f>HYPERLINK("http://141.218.60.56/~jnz1568/getInfo.php?workbook=18_15.xlsx&amp;sheet=U0&amp;row=2295&amp;col=6&amp;number=4.1&amp;sourceID=14","4.1")</f>
        <v>4.1</v>
      </c>
      <c r="G2295" s="4" t="str">
        <f>HYPERLINK("http://141.218.60.56/~jnz1568/getInfo.php?workbook=18_15.xlsx&amp;sheet=U0&amp;row=2295&amp;col=7&amp;number=0.349&amp;sourceID=14","0.349")</f>
        <v>0.349</v>
      </c>
    </row>
    <row r="2296" spans="1:7">
      <c r="A2296" s="3"/>
      <c r="B2296" s="3"/>
      <c r="C2296" s="3"/>
      <c r="D2296" s="3"/>
      <c r="E2296" s="3">
        <v>13</v>
      </c>
      <c r="F2296" s="4" t="str">
        <f>HYPERLINK("http://141.218.60.56/~jnz1568/getInfo.php?workbook=18_15.xlsx&amp;sheet=U0&amp;row=2296&amp;col=6&amp;number=4.2&amp;sourceID=14","4.2")</f>
        <v>4.2</v>
      </c>
      <c r="G2296" s="4" t="str">
        <f>HYPERLINK("http://141.218.60.56/~jnz1568/getInfo.php?workbook=18_15.xlsx&amp;sheet=U0&amp;row=2296&amp;col=7&amp;number=0.333&amp;sourceID=14","0.333")</f>
        <v>0.333</v>
      </c>
    </row>
    <row r="2297" spans="1:7">
      <c r="A2297" s="3"/>
      <c r="B2297" s="3"/>
      <c r="C2297" s="3"/>
      <c r="D2297" s="3"/>
      <c r="E2297" s="3">
        <v>14</v>
      </c>
      <c r="F2297" s="4" t="str">
        <f>HYPERLINK("http://141.218.60.56/~jnz1568/getInfo.php?workbook=18_15.xlsx&amp;sheet=U0&amp;row=2297&amp;col=6&amp;number=4.3&amp;sourceID=14","4.3")</f>
        <v>4.3</v>
      </c>
      <c r="G2297" s="4" t="str">
        <f>HYPERLINK("http://141.218.60.56/~jnz1568/getInfo.php?workbook=18_15.xlsx&amp;sheet=U0&amp;row=2297&amp;col=7&amp;number=0.316&amp;sourceID=14","0.316")</f>
        <v>0.316</v>
      </c>
    </row>
    <row r="2298" spans="1:7">
      <c r="A2298" s="3"/>
      <c r="B2298" s="3"/>
      <c r="C2298" s="3"/>
      <c r="D2298" s="3"/>
      <c r="E2298" s="3">
        <v>15</v>
      </c>
      <c r="F2298" s="4" t="str">
        <f>HYPERLINK("http://141.218.60.56/~jnz1568/getInfo.php?workbook=18_15.xlsx&amp;sheet=U0&amp;row=2298&amp;col=6&amp;number=4.4&amp;sourceID=14","4.4")</f>
        <v>4.4</v>
      </c>
      <c r="G2298" s="4" t="str">
        <f>HYPERLINK("http://141.218.60.56/~jnz1568/getInfo.php?workbook=18_15.xlsx&amp;sheet=U0&amp;row=2298&amp;col=7&amp;number=0.298&amp;sourceID=14","0.298")</f>
        <v>0.298</v>
      </c>
    </row>
    <row r="2299" spans="1:7">
      <c r="A2299" s="3"/>
      <c r="B2299" s="3"/>
      <c r="C2299" s="3"/>
      <c r="D2299" s="3"/>
      <c r="E2299" s="3">
        <v>16</v>
      </c>
      <c r="F2299" s="4" t="str">
        <f>HYPERLINK("http://141.218.60.56/~jnz1568/getInfo.php?workbook=18_15.xlsx&amp;sheet=U0&amp;row=2299&amp;col=6&amp;number=4.5&amp;sourceID=14","4.5")</f>
        <v>4.5</v>
      </c>
      <c r="G2299" s="4" t="str">
        <f>HYPERLINK("http://141.218.60.56/~jnz1568/getInfo.php?workbook=18_15.xlsx&amp;sheet=U0&amp;row=2299&amp;col=7&amp;number=0.28&amp;sourceID=14","0.28")</f>
        <v>0.28</v>
      </c>
    </row>
    <row r="2300" spans="1:7">
      <c r="A2300" s="3"/>
      <c r="B2300" s="3"/>
      <c r="C2300" s="3"/>
      <c r="D2300" s="3"/>
      <c r="E2300" s="3">
        <v>17</v>
      </c>
      <c r="F2300" s="4" t="str">
        <f>HYPERLINK("http://141.218.60.56/~jnz1568/getInfo.php?workbook=18_15.xlsx&amp;sheet=U0&amp;row=2300&amp;col=6&amp;number=4.6&amp;sourceID=14","4.6")</f>
        <v>4.6</v>
      </c>
      <c r="G2300" s="4" t="str">
        <f>HYPERLINK("http://141.218.60.56/~jnz1568/getInfo.php?workbook=18_15.xlsx&amp;sheet=U0&amp;row=2300&amp;col=7&amp;number=0.262&amp;sourceID=14","0.262")</f>
        <v>0.262</v>
      </c>
    </row>
    <row r="2301" spans="1:7">
      <c r="A2301" s="3"/>
      <c r="B2301" s="3"/>
      <c r="C2301" s="3"/>
      <c r="D2301" s="3"/>
      <c r="E2301" s="3">
        <v>18</v>
      </c>
      <c r="F2301" s="4" t="str">
        <f>HYPERLINK("http://141.218.60.56/~jnz1568/getInfo.php?workbook=18_15.xlsx&amp;sheet=U0&amp;row=2301&amp;col=6&amp;number=4.7&amp;sourceID=14","4.7")</f>
        <v>4.7</v>
      </c>
      <c r="G2301" s="4" t="str">
        <f>HYPERLINK("http://141.218.60.56/~jnz1568/getInfo.php?workbook=18_15.xlsx&amp;sheet=U0&amp;row=2301&amp;col=7&amp;number=0.245&amp;sourceID=14","0.245")</f>
        <v>0.245</v>
      </c>
    </row>
    <row r="2302" spans="1:7">
      <c r="A2302" s="3"/>
      <c r="B2302" s="3"/>
      <c r="C2302" s="3"/>
      <c r="D2302" s="3"/>
      <c r="E2302" s="3">
        <v>19</v>
      </c>
      <c r="F2302" s="4" t="str">
        <f>HYPERLINK("http://141.218.60.56/~jnz1568/getInfo.php?workbook=18_15.xlsx&amp;sheet=U0&amp;row=2302&amp;col=6&amp;number=4.8&amp;sourceID=14","4.8")</f>
        <v>4.8</v>
      </c>
      <c r="G2302" s="4" t="str">
        <f>HYPERLINK("http://141.218.60.56/~jnz1568/getInfo.php?workbook=18_15.xlsx&amp;sheet=U0&amp;row=2302&amp;col=7&amp;number=0.23&amp;sourceID=14","0.23")</f>
        <v>0.23</v>
      </c>
    </row>
    <row r="2303" spans="1:7">
      <c r="A2303" s="3"/>
      <c r="B2303" s="3"/>
      <c r="C2303" s="3"/>
      <c r="D2303" s="3"/>
      <c r="E2303" s="3">
        <v>20</v>
      </c>
      <c r="F2303" s="4" t="str">
        <f>HYPERLINK("http://141.218.60.56/~jnz1568/getInfo.php?workbook=18_15.xlsx&amp;sheet=U0&amp;row=2303&amp;col=6&amp;number=4.9&amp;sourceID=14","4.9")</f>
        <v>4.9</v>
      </c>
      <c r="G2303" s="4" t="str">
        <f>HYPERLINK("http://141.218.60.56/~jnz1568/getInfo.php?workbook=18_15.xlsx&amp;sheet=U0&amp;row=2303&amp;col=7&amp;number=0.217&amp;sourceID=14","0.217")</f>
        <v>0.217</v>
      </c>
    </row>
    <row r="2304" spans="1:7">
      <c r="A2304" s="3">
        <v>18</v>
      </c>
      <c r="B2304" s="3">
        <v>15</v>
      </c>
      <c r="C2304" s="3">
        <v>5</v>
      </c>
      <c r="D2304" s="3">
        <v>12</v>
      </c>
      <c r="E2304" s="3">
        <v>1</v>
      </c>
      <c r="F2304" s="4" t="str">
        <f>HYPERLINK("http://141.218.60.56/~jnz1568/getInfo.php?workbook=18_15.xlsx&amp;sheet=U0&amp;row=2304&amp;col=6&amp;number=3&amp;sourceID=14","3")</f>
        <v>3</v>
      </c>
      <c r="G2304" s="4" t="str">
        <f>HYPERLINK("http://141.218.60.56/~jnz1568/getInfo.php?workbook=18_15.xlsx&amp;sheet=U0&amp;row=2304&amp;col=7&amp;number=0.878&amp;sourceID=14","0.878")</f>
        <v>0.878</v>
      </c>
    </row>
    <row r="2305" spans="1:7">
      <c r="A2305" s="3"/>
      <c r="B2305" s="3"/>
      <c r="C2305" s="3"/>
      <c r="D2305" s="3"/>
      <c r="E2305" s="3">
        <v>2</v>
      </c>
      <c r="F2305" s="4" t="str">
        <f>HYPERLINK("http://141.218.60.56/~jnz1568/getInfo.php?workbook=18_15.xlsx&amp;sheet=U0&amp;row=2305&amp;col=6&amp;number=3.1&amp;sourceID=14","3.1")</f>
        <v>3.1</v>
      </c>
      <c r="G2305" s="4" t="str">
        <f>HYPERLINK("http://141.218.60.56/~jnz1568/getInfo.php?workbook=18_15.xlsx&amp;sheet=U0&amp;row=2305&amp;col=7&amp;number=0.874&amp;sourceID=14","0.874")</f>
        <v>0.874</v>
      </c>
    </row>
    <row r="2306" spans="1:7">
      <c r="A2306" s="3"/>
      <c r="B2306" s="3"/>
      <c r="C2306" s="3"/>
      <c r="D2306" s="3"/>
      <c r="E2306" s="3">
        <v>3</v>
      </c>
      <c r="F2306" s="4" t="str">
        <f>HYPERLINK("http://141.218.60.56/~jnz1568/getInfo.php?workbook=18_15.xlsx&amp;sheet=U0&amp;row=2306&amp;col=6&amp;number=3.2&amp;sourceID=14","3.2")</f>
        <v>3.2</v>
      </c>
      <c r="G2306" s="4" t="str">
        <f>HYPERLINK("http://141.218.60.56/~jnz1568/getInfo.php?workbook=18_15.xlsx&amp;sheet=U0&amp;row=2306&amp;col=7&amp;number=0.869&amp;sourceID=14","0.869")</f>
        <v>0.869</v>
      </c>
    </row>
    <row r="2307" spans="1:7">
      <c r="A2307" s="3"/>
      <c r="B2307" s="3"/>
      <c r="C2307" s="3"/>
      <c r="D2307" s="3"/>
      <c r="E2307" s="3">
        <v>4</v>
      </c>
      <c r="F2307" s="4" t="str">
        <f>HYPERLINK("http://141.218.60.56/~jnz1568/getInfo.php?workbook=18_15.xlsx&amp;sheet=U0&amp;row=2307&amp;col=6&amp;number=3.3&amp;sourceID=14","3.3")</f>
        <v>3.3</v>
      </c>
      <c r="G2307" s="4" t="str">
        <f>HYPERLINK("http://141.218.60.56/~jnz1568/getInfo.php?workbook=18_15.xlsx&amp;sheet=U0&amp;row=2307&amp;col=7&amp;number=0.864&amp;sourceID=14","0.864")</f>
        <v>0.864</v>
      </c>
    </row>
    <row r="2308" spans="1:7">
      <c r="A2308" s="3"/>
      <c r="B2308" s="3"/>
      <c r="C2308" s="3"/>
      <c r="D2308" s="3"/>
      <c r="E2308" s="3">
        <v>5</v>
      </c>
      <c r="F2308" s="4" t="str">
        <f>HYPERLINK("http://141.218.60.56/~jnz1568/getInfo.php?workbook=18_15.xlsx&amp;sheet=U0&amp;row=2308&amp;col=6&amp;number=3.4&amp;sourceID=14","3.4")</f>
        <v>3.4</v>
      </c>
      <c r="G2308" s="4" t="str">
        <f>HYPERLINK("http://141.218.60.56/~jnz1568/getInfo.php?workbook=18_15.xlsx&amp;sheet=U0&amp;row=2308&amp;col=7&amp;number=0.857&amp;sourceID=14","0.857")</f>
        <v>0.857</v>
      </c>
    </row>
    <row r="2309" spans="1:7">
      <c r="A2309" s="3"/>
      <c r="B2309" s="3"/>
      <c r="C2309" s="3"/>
      <c r="D2309" s="3"/>
      <c r="E2309" s="3">
        <v>6</v>
      </c>
      <c r="F2309" s="4" t="str">
        <f>HYPERLINK("http://141.218.60.56/~jnz1568/getInfo.php?workbook=18_15.xlsx&amp;sheet=U0&amp;row=2309&amp;col=6&amp;number=3.5&amp;sourceID=14","3.5")</f>
        <v>3.5</v>
      </c>
      <c r="G2309" s="4" t="str">
        <f>HYPERLINK("http://141.218.60.56/~jnz1568/getInfo.php?workbook=18_15.xlsx&amp;sheet=U0&amp;row=2309&amp;col=7&amp;number=0.848&amp;sourceID=14","0.848")</f>
        <v>0.848</v>
      </c>
    </row>
    <row r="2310" spans="1:7">
      <c r="A2310" s="3"/>
      <c r="B2310" s="3"/>
      <c r="C2310" s="3"/>
      <c r="D2310" s="3"/>
      <c r="E2310" s="3">
        <v>7</v>
      </c>
      <c r="F2310" s="4" t="str">
        <f>HYPERLINK("http://141.218.60.56/~jnz1568/getInfo.php?workbook=18_15.xlsx&amp;sheet=U0&amp;row=2310&amp;col=6&amp;number=3.6&amp;sourceID=14","3.6")</f>
        <v>3.6</v>
      </c>
      <c r="G2310" s="4" t="str">
        <f>HYPERLINK("http://141.218.60.56/~jnz1568/getInfo.php?workbook=18_15.xlsx&amp;sheet=U0&amp;row=2310&amp;col=7&amp;number=0.838&amp;sourceID=14","0.838")</f>
        <v>0.838</v>
      </c>
    </row>
    <row r="2311" spans="1:7">
      <c r="A2311" s="3"/>
      <c r="B2311" s="3"/>
      <c r="C2311" s="3"/>
      <c r="D2311" s="3"/>
      <c r="E2311" s="3">
        <v>8</v>
      </c>
      <c r="F2311" s="4" t="str">
        <f>HYPERLINK("http://141.218.60.56/~jnz1568/getInfo.php?workbook=18_15.xlsx&amp;sheet=U0&amp;row=2311&amp;col=6&amp;number=3.7&amp;sourceID=14","3.7")</f>
        <v>3.7</v>
      </c>
      <c r="G2311" s="4" t="str">
        <f>HYPERLINK("http://141.218.60.56/~jnz1568/getInfo.php?workbook=18_15.xlsx&amp;sheet=U0&amp;row=2311&amp;col=7&amp;number=0.825&amp;sourceID=14","0.825")</f>
        <v>0.825</v>
      </c>
    </row>
    <row r="2312" spans="1:7">
      <c r="A2312" s="3"/>
      <c r="B2312" s="3"/>
      <c r="C2312" s="3"/>
      <c r="D2312" s="3"/>
      <c r="E2312" s="3">
        <v>9</v>
      </c>
      <c r="F2312" s="4" t="str">
        <f>HYPERLINK("http://141.218.60.56/~jnz1568/getInfo.php?workbook=18_15.xlsx&amp;sheet=U0&amp;row=2312&amp;col=6&amp;number=3.8&amp;sourceID=14","3.8")</f>
        <v>3.8</v>
      </c>
      <c r="G2312" s="4" t="str">
        <f>HYPERLINK("http://141.218.60.56/~jnz1568/getInfo.php?workbook=18_15.xlsx&amp;sheet=U0&amp;row=2312&amp;col=7&amp;number=0.81&amp;sourceID=14","0.81")</f>
        <v>0.81</v>
      </c>
    </row>
    <row r="2313" spans="1:7">
      <c r="A2313" s="3"/>
      <c r="B2313" s="3"/>
      <c r="C2313" s="3"/>
      <c r="D2313" s="3"/>
      <c r="E2313" s="3">
        <v>10</v>
      </c>
      <c r="F2313" s="4" t="str">
        <f>HYPERLINK("http://141.218.60.56/~jnz1568/getInfo.php?workbook=18_15.xlsx&amp;sheet=U0&amp;row=2313&amp;col=6&amp;number=3.9&amp;sourceID=14","3.9")</f>
        <v>3.9</v>
      </c>
      <c r="G2313" s="4" t="str">
        <f>HYPERLINK("http://141.218.60.56/~jnz1568/getInfo.php?workbook=18_15.xlsx&amp;sheet=U0&amp;row=2313&amp;col=7&amp;number=0.792&amp;sourceID=14","0.792")</f>
        <v>0.792</v>
      </c>
    </row>
    <row r="2314" spans="1:7">
      <c r="A2314" s="3"/>
      <c r="B2314" s="3"/>
      <c r="C2314" s="3"/>
      <c r="D2314" s="3"/>
      <c r="E2314" s="3">
        <v>11</v>
      </c>
      <c r="F2314" s="4" t="str">
        <f>HYPERLINK("http://141.218.60.56/~jnz1568/getInfo.php?workbook=18_15.xlsx&amp;sheet=U0&amp;row=2314&amp;col=6&amp;number=4&amp;sourceID=14","4")</f>
        <v>4</v>
      </c>
      <c r="G2314" s="4" t="str">
        <f>HYPERLINK("http://141.218.60.56/~jnz1568/getInfo.php?workbook=18_15.xlsx&amp;sheet=U0&amp;row=2314&amp;col=7&amp;number=0.772&amp;sourceID=14","0.772")</f>
        <v>0.772</v>
      </c>
    </row>
    <row r="2315" spans="1:7">
      <c r="A2315" s="3"/>
      <c r="B2315" s="3"/>
      <c r="C2315" s="3"/>
      <c r="D2315" s="3"/>
      <c r="E2315" s="3">
        <v>12</v>
      </c>
      <c r="F2315" s="4" t="str">
        <f>HYPERLINK("http://141.218.60.56/~jnz1568/getInfo.php?workbook=18_15.xlsx&amp;sheet=U0&amp;row=2315&amp;col=6&amp;number=4.1&amp;sourceID=14","4.1")</f>
        <v>4.1</v>
      </c>
      <c r="G2315" s="4" t="str">
        <f>HYPERLINK("http://141.218.60.56/~jnz1568/getInfo.php?workbook=18_15.xlsx&amp;sheet=U0&amp;row=2315&amp;col=7&amp;number=0.749&amp;sourceID=14","0.749")</f>
        <v>0.749</v>
      </c>
    </row>
    <row r="2316" spans="1:7">
      <c r="A2316" s="3"/>
      <c r="B2316" s="3"/>
      <c r="C2316" s="3"/>
      <c r="D2316" s="3"/>
      <c r="E2316" s="3">
        <v>13</v>
      </c>
      <c r="F2316" s="4" t="str">
        <f>HYPERLINK("http://141.218.60.56/~jnz1568/getInfo.php?workbook=18_15.xlsx&amp;sheet=U0&amp;row=2316&amp;col=6&amp;number=4.2&amp;sourceID=14","4.2")</f>
        <v>4.2</v>
      </c>
      <c r="G2316" s="4" t="str">
        <f>HYPERLINK("http://141.218.60.56/~jnz1568/getInfo.php?workbook=18_15.xlsx&amp;sheet=U0&amp;row=2316&amp;col=7&amp;number=0.723&amp;sourceID=14","0.723")</f>
        <v>0.723</v>
      </c>
    </row>
    <row r="2317" spans="1:7">
      <c r="A2317" s="3"/>
      <c r="B2317" s="3"/>
      <c r="C2317" s="3"/>
      <c r="D2317" s="3"/>
      <c r="E2317" s="3">
        <v>14</v>
      </c>
      <c r="F2317" s="4" t="str">
        <f>HYPERLINK("http://141.218.60.56/~jnz1568/getInfo.php?workbook=18_15.xlsx&amp;sheet=U0&amp;row=2317&amp;col=6&amp;number=4.3&amp;sourceID=14","4.3")</f>
        <v>4.3</v>
      </c>
      <c r="G2317" s="4" t="str">
        <f>HYPERLINK("http://141.218.60.56/~jnz1568/getInfo.php?workbook=18_15.xlsx&amp;sheet=U0&amp;row=2317&amp;col=7&amp;number=0.694&amp;sourceID=14","0.694")</f>
        <v>0.694</v>
      </c>
    </row>
    <row r="2318" spans="1:7">
      <c r="A2318" s="3"/>
      <c r="B2318" s="3"/>
      <c r="C2318" s="3"/>
      <c r="D2318" s="3"/>
      <c r="E2318" s="3">
        <v>15</v>
      </c>
      <c r="F2318" s="4" t="str">
        <f>HYPERLINK("http://141.218.60.56/~jnz1568/getInfo.php?workbook=18_15.xlsx&amp;sheet=U0&amp;row=2318&amp;col=6&amp;number=4.4&amp;sourceID=14","4.4")</f>
        <v>4.4</v>
      </c>
      <c r="G2318" s="4" t="str">
        <f>HYPERLINK("http://141.218.60.56/~jnz1568/getInfo.php?workbook=18_15.xlsx&amp;sheet=U0&amp;row=2318&amp;col=7&amp;number=0.662&amp;sourceID=14","0.662")</f>
        <v>0.662</v>
      </c>
    </row>
    <row r="2319" spans="1:7">
      <c r="A2319" s="3"/>
      <c r="B2319" s="3"/>
      <c r="C2319" s="3"/>
      <c r="D2319" s="3"/>
      <c r="E2319" s="3">
        <v>16</v>
      </c>
      <c r="F2319" s="4" t="str">
        <f>HYPERLINK("http://141.218.60.56/~jnz1568/getInfo.php?workbook=18_15.xlsx&amp;sheet=U0&amp;row=2319&amp;col=6&amp;number=4.5&amp;sourceID=14","4.5")</f>
        <v>4.5</v>
      </c>
      <c r="G2319" s="4" t="str">
        <f>HYPERLINK("http://141.218.60.56/~jnz1568/getInfo.php?workbook=18_15.xlsx&amp;sheet=U0&amp;row=2319&amp;col=7&amp;number=0.625&amp;sourceID=14","0.625")</f>
        <v>0.625</v>
      </c>
    </row>
    <row r="2320" spans="1:7">
      <c r="A2320" s="3"/>
      <c r="B2320" s="3"/>
      <c r="C2320" s="3"/>
      <c r="D2320" s="3"/>
      <c r="E2320" s="3">
        <v>17</v>
      </c>
      <c r="F2320" s="4" t="str">
        <f>HYPERLINK("http://141.218.60.56/~jnz1568/getInfo.php?workbook=18_15.xlsx&amp;sheet=U0&amp;row=2320&amp;col=6&amp;number=4.6&amp;sourceID=14","4.6")</f>
        <v>4.6</v>
      </c>
      <c r="G2320" s="4" t="str">
        <f>HYPERLINK("http://141.218.60.56/~jnz1568/getInfo.php?workbook=18_15.xlsx&amp;sheet=U0&amp;row=2320&amp;col=7&amp;number=0.589&amp;sourceID=14","0.589")</f>
        <v>0.589</v>
      </c>
    </row>
    <row r="2321" spans="1:7">
      <c r="A2321" s="3"/>
      <c r="B2321" s="3"/>
      <c r="C2321" s="3"/>
      <c r="D2321" s="3"/>
      <c r="E2321" s="3">
        <v>18</v>
      </c>
      <c r="F2321" s="4" t="str">
        <f>HYPERLINK("http://141.218.60.56/~jnz1568/getInfo.php?workbook=18_15.xlsx&amp;sheet=U0&amp;row=2321&amp;col=6&amp;number=4.7&amp;sourceID=14","4.7")</f>
        <v>4.7</v>
      </c>
      <c r="G2321" s="4" t="str">
        <f>HYPERLINK("http://141.218.60.56/~jnz1568/getInfo.php?workbook=18_15.xlsx&amp;sheet=U0&amp;row=2321&amp;col=7&amp;number=0.558&amp;sourceID=14","0.558")</f>
        <v>0.558</v>
      </c>
    </row>
    <row r="2322" spans="1:7">
      <c r="A2322" s="3"/>
      <c r="B2322" s="3"/>
      <c r="C2322" s="3"/>
      <c r="D2322" s="3"/>
      <c r="E2322" s="3">
        <v>19</v>
      </c>
      <c r="F2322" s="4" t="str">
        <f>HYPERLINK("http://141.218.60.56/~jnz1568/getInfo.php?workbook=18_15.xlsx&amp;sheet=U0&amp;row=2322&amp;col=6&amp;number=4.8&amp;sourceID=14","4.8")</f>
        <v>4.8</v>
      </c>
      <c r="G2322" s="4" t="str">
        <f>HYPERLINK("http://141.218.60.56/~jnz1568/getInfo.php?workbook=18_15.xlsx&amp;sheet=U0&amp;row=2322&amp;col=7&amp;number=0.531&amp;sourceID=14","0.531")</f>
        <v>0.531</v>
      </c>
    </row>
    <row r="2323" spans="1:7">
      <c r="A2323" s="3"/>
      <c r="B2323" s="3"/>
      <c r="C2323" s="3"/>
      <c r="D2323" s="3"/>
      <c r="E2323" s="3">
        <v>20</v>
      </c>
      <c r="F2323" s="4" t="str">
        <f>HYPERLINK("http://141.218.60.56/~jnz1568/getInfo.php?workbook=18_15.xlsx&amp;sheet=U0&amp;row=2323&amp;col=6&amp;number=4.9&amp;sourceID=14","4.9")</f>
        <v>4.9</v>
      </c>
      <c r="G2323" s="4" t="str">
        <f>HYPERLINK("http://141.218.60.56/~jnz1568/getInfo.php?workbook=18_15.xlsx&amp;sheet=U0&amp;row=2323&amp;col=7&amp;number=0.507&amp;sourceID=14","0.507")</f>
        <v>0.507</v>
      </c>
    </row>
    <row r="2324" spans="1:7">
      <c r="A2324" s="3">
        <v>18</v>
      </c>
      <c r="B2324" s="3">
        <v>15</v>
      </c>
      <c r="C2324" s="3">
        <v>5</v>
      </c>
      <c r="D2324" s="3">
        <v>13</v>
      </c>
      <c r="E2324" s="3">
        <v>1</v>
      </c>
      <c r="F2324" s="4" t="str">
        <f>HYPERLINK("http://141.218.60.56/~jnz1568/getInfo.php?workbook=18_15.xlsx&amp;sheet=U0&amp;row=2324&amp;col=6&amp;number=3&amp;sourceID=14","3")</f>
        <v>3</v>
      </c>
      <c r="G2324" s="4" t="str">
        <f>HYPERLINK("http://141.218.60.56/~jnz1568/getInfo.php?workbook=18_15.xlsx&amp;sheet=U0&amp;row=2324&amp;col=7&amp;number=0.988&amp;sourceID=14","0.988")</f>
        <v>0.988</v>
      </c>
    </row>
    <row r="2325" spans="1:7">
      <c r="A2325" s="3"/>
      <c r="B2325" s="3"/>
      <c r="C2325" s="3"/>
      <c r="D2325" s="3"/>
      <c r="E2325" s="3">
        <v>2</v>
      </c>
      <c r="F2325" s="4" t="str">
        <f>HYPERLINK("http://141.218.60.56/~jnz1568/getInfo.php?workbook=18_15.xlsx&amp;sheet=U0&amp;row=2325&amp;col=6&amp;number=3.1&amp;sourceID=14","3.1")</f>
        <v>3.1</v>
      </c>
      <c r="G2325" s="4" t="str">
        <f>HYPERLINK("http://141.218.60.56/~jnz1568/getInfo.php?workbook=18_15.xlsx&amp;sheet=U0&amp;row=2325&amp;col=7&amp;number=0.997&amp;sourceID=14","0.997")</f>
        <v>0.997</v>
      </c>
    </row>
    <row r="2326" spans="1:7">
      <c r="A2326" s="3"/>
      <c r="B2326" s="3"/>
      <c r="C2326" s="3"/>
      <c r="D2326" s="3"/>
      <c r="E2326" s="3">
        <v>3</v>
      </c>
      <c r="F2326" s="4" t="str">
        <f>HYPERLINK("http://141.218.60.56/~jnz1568/getInfo.php?workbook=18_15.xlsx&amp;sheet=U0&amp;row=2326&amp;col=6&amp;number=3.2&amp;sourceID=14","3.2")</f>
        <v>3.2</v>
      </c>
      <c r="G2326" s="4" t="str">
        <f>HYPERLINK("http://141.218.60.56/~jnz1568/getInfo.php?workbook=18_15.xlsx&amp;sheet=U0&amp;row=2326&amp;col=7&amp;number=1.01&amp;sourceID=14","1.01")</f>
        <v>1.01</v>
      </c>
    </row>
    <row r="2327" spans="1:7">
      <c r="A2327" s="3"/>
      <c r="B2327" s="3"/>
      <c r="C2327" s="3"/>
      <c r="D2327" s="3"/>
      <c r="E2327" s="3">
        <v>4</v>
      </c>
      <c r="F2327" s="4" t="str">
        <f>HYPERLINK("http://141.218.60.56/~jnz1568/getInfo.php?workbook=18_15.xlsx&amp;sheet=U0&amp;row=2327&amp;col=6&amp;number=3.3&amp;sourceID=14","3.3")</f>
        <v>3.3</v>
      </c>
      <c r="G2327" s="4" t="str">
        <f>HYPERLINK("http://141.218.60.56/~jnz1568/getInfo.php?workbook=18_15.xlsx&amp;sheet=U0&amp;row=2327&amp;col=7&amp;number=1.02&amp;sourceID=14","1.02")</f>
        <v>1.02</v>
      </c>
    </row>
    <row r="2328" spans="1:7">
      <c r="A2328" s="3"/>
      <c r="B2328" s="3"/>
      <c r="C2328" s="3"/>
      <c r="D2328" s="3"/>
      <c r="E2328" s="3">
        <v>5</v>
      </c>
      <c r="F2328" s="4" t="str">
        <f>HYPERLINK("http://141.218.60.56/~jnz1568/getInfo.php?workbook=18_15.xlsx&amp;sheet=U0&amp;row=2328&amp;col=6&amp;number=3.4&amp;sourceID=14","3.4")</f>
        <v>3.4</v>
      </c>
      <c r="G2328" s="4" t="str">
        <f>HYPERLINK("http://141.218.60.56/~jnz1568/getInfo.php?workbook=18_15.xlsx&amp;sheet=U0&amp;row=2328&amp;col=7&amp;number=1.04&amp;sourceID=14","1.04")</f>
        <v>1.04</v>
      </c>
    </row>
    <row r="2329" spans="1:7">
      <c r="A2329" s="3"/>
      <c r="B2329" s="3"/>
      <c r="C2329" s="3"/>
      <c r="D2329" s="3"/>
      <c r="E2329" s="3">
        <v>6</v>
      </c>
      <c r="F2329" s="4" t="str">
        <f>HYPERLINK("http://141.218.60.56/~jnz1568/getInfo.php?workbook=18_15.xlsx&amp;sheet=U0&amp;row=2329&amp;col=6&amp;number=3.5&amp;sourceID=14","3.5")</f>
        <v>3.5</v>
      </c>
      <c r="G2329" s="4" t="str">
        <f>HYPERLINK("http://141.218.60.56/~jnz1568/getInfo.php?workbook=18_15.xlsx&amp;sheet=U0&amp;row=2329&amp;col=7&amp;number=1.06&amp;sourceID=14","1.06")</f>
        <v>1.06</v>
      </c>
    </row>
    <row r="2330" spans="1:7">
      <c r="A2330" s="3"/>
      <c r="B2330" s="3"/>
      <c r="C2330" s="3"/>
      <c r="D2330" s="3"/>
      <c r="E2330" s="3">
        <v>7</v>
      </c>
      <c r="F2330" s="4" t="str">
        <f>HYPERLINK("http://141.218.60.56/~jnz1568/getInfo.php?workbook=18_15.xlsx&amp;sheet=U0&amp;row=2330&amp;col=6&amp;number=3.6&amp;sourceID=14","3.6")</f>
        <v>3.6</v>
      </c>
      <c r="G2330" s="4" t="str">
        <f>HYPERLINK("http://141.218.60.56/~jnz1568/getInfo.php?workbook=18_15.xlsx&amp;sheet=U0&amp;row=2330&amp;col=7&amp;number=1.08&amp;sourceID=14","1.08")</f>
        <v>1.08</v>
      </c>
    </row>
    <row r="2331" spans="1:7">
      <c r="A2331" s="3"/>
      <c r="B2331" s="3"/>
      <c r="C2331" s="3"/>
      <c r="D2331" s="3"/>
      <c r="E2331" s="3">
        <v>8</v>
      </c>
      <c r="F2331" s="4" t="str">
        <f>HYPERLINK("http://141.218.60.56/~jnz1568/getInfo.php?workbook=18_15.xlsx&amp;sheet=U0&amp;row=2331&amp;col=6&amp;number=3.7&amp;sourceID=14","3.7")</f>
        <v>3.7</v>
      </c>
      <c r="G2331" s="4" t="str">
        <f>HYPERLINK("http://141.218.60.56/~jnz1568/getInfo.php?workbook=18_15.xlsx&amp;sheet=U0&amp;row=2331&amp;col=7&amp;number=1.11&amp;sourceID=14","1.11")</f>
        <v>1.11</v>
      </c>
    </row>
    <row r="2332" spans="1:7">
      <c r="A2332" s="3"/>
      <c r="B2332" s="3"/>
      <c r="C2332" s="3"/>
      <c r="D2332" s="3"/>
      <c r="E2332" s="3">
        <v>9</v>
      </c>
      <c r="F2332" s="4" t="str">
        <f>HYPERLINK("http://141.218.60.56/~jnz1568/getInfo.php?workbook=18_15.xlsx&amp;sheet=U0&amp;row=2332&amp;col=6&amp;number=3.8&amp;sourceID=14","3.8")</f>
        <v>3.8</v>
      </c>
      <c r="G2332" s="4" t="str">
        <f>HYPERLINK("http://141.218.60.56/~jnz1568/getInfo.php?workbook=18_15.xlsx&amp;sheet=U0&amp;row=2332&amp;col=7&amp;number=1.15&amp;sourceID=14","1.15")</f>
        <v>1.15</v>
      </c>
    </row>
    <row r="2333" spans="1:7">
      <c r="A2333" s="3"/>
      <c r="B2333" s="3"/>
      <c r="C2333" s="3"/>
      <c r="D2333" s="3"/>
      <c r="E2333" s="3">
        <v>10</v>
      </c>
      <c r="F2333" s="4" t="str">
        <f>HYPERLINK("http://141.218.60.56/~jnz1568/getInfo.php?workbook=18_15.xlsx&amp;sheet=U0&amp;row=2333&amp;col=6&amp;number=3.9&amp;sourceID=14","3.9")</f>
        <v>3.9</v>
      </c>
      <c r="G2333" s="4" t="str">
        <f>HYPERLINK("http://141.218.60.56/~jnz1568/getInfo.php?workbook=18_15.xlsx&amp;sheet=U0&amp;row=2333&amp;col=7&amp;number=1.18&amp;sourceID=14","1.18")</f>
        <v>1.18</v>
      </c>
    </row>
    <row r="2334" spans="1:7">
      <c r="A2334" s="3"/>
      <c r="B2334" s="3"/>
      <c r="C2334" s="3"/>
      <c r="D2334" s="3"/>
      <c r="E2334" s="3">
        <v>11</v>
      </c>
      <c r="F2334" s="4" t="str">
        <f>HYPERLINK("http://141.218.60.56/~jnz1568/getInfo.php?workbook=18_15.xlsx&amp;sheet=U0&amp;row=2334&amp;col=6&amp;number=4&amp;sourceID=14","4")</f>
        <v>4</v>
      </c>
      <c r="G2334" s="4" t="str">
        <f>HYPERLINK("http://141.218.60.56/~jnz1568/getInfo.php?workbook=18_15.xlsx&amp;sheet=U0&amp;row=2334&amp;col=7&amp;number=1.21&amp;sourceID=14","1.21")</f>
        <v>1.21</v>
      </c>
    </row>
    <row r="2335" spans="1:7">
      <c r="A2335" s="3"/>
      <c r="B2335" s="3"/>
      <c r="C2335" s="3"/>
      <c r="D2335" s="3"/>
      <c r="E2335" s="3">
        <v>12</v>
      </c>
      <c r="F2335" s="4" t="str">
        <f>HYPERLINK("http://141.218.60.56/~jnz1568/getInfo.php?workbook=18_15.xlsx&amp;sheet=U0&amp;row=2335&amp;col=6&amp;number=4.1&amp;sourceID=14","4.1")</f>
        <v>4.1</v>
      </c>
      <c r="G2335" s="4" t="str">
        <f>HYPERLINK("http://141.218.60.56/~jnz1568/getInfo.php?workbook=18_15.xlsx&amp;sheet=U0&amp;row=2335&amp;col=7&amp;number=1.24&amp;sourceID=14","1.24")</f>
        <v>1.24</v>
      </c>
    </row>
    <row r="2336" spans="1:7">
      <c r="A2336" s="3"/>
      <c r="B2336" s="3"/>
      <c r="C2336" s="3"/>
      <c r="D2336" s="3"/>
      <c r="E2336" s="3">
        <v>13</v>
      </c>
      <c r="F2336" s="4" t="str">
        <f>HYPERLINK("http://141.218.60.56/~jnz1568/getInfo.php?workbook=18_15.xlsx&amp;sheet=U0&amp;row=2336&amp;col=6&amp;number=4.2&amp;sourceID=14","4.2")</f>
        <v>4.2</v>
      </c>
      <c r="G2336" s="4" t="str">
        <f>HYPERLINK("http://141.218.60.56/~jnz1568/getInfo.php?workbook=18_15.xlsx&amp;sheet=U0&amp;row=2336&amp;col=7&amp;number=1.25&amp;sourceID=14","1.25")</f>
        <v>1.25</v>
      </c>
    </row>
    <row r="2337" spans="1:7">
      <c r="A2337" s="3"/>
      <c r="B2337" s="3"/>
      <c r="C2337" s="3"/>
      <c r="D2337" s="3"/>
      <c r="E2337" s="3">
        <v>14</v>
      </c>
      <c r="F2337" s="4" t="str">
        <f>HYPERLINK("http://141.218.60.56/~jnz1568/getInfo.php?workbook=18_15.xlsx&amp;sheet=U0&amp;row=2337&amp;col=6&amp;number=4.3&amp;sourceID=14","4.3")</f>
        <v>4.3</v>
      </c>
      <c r="G2337" s="4" t="str">
        <f>HYPERLINK("http://141.218.60.56/~jnz1568/getInfo.php?workbook=18_15.xlsx&amp;sheet=U0&amp;row=2337&amp;col=7&amp;number=1.25&amp;sourceID=14","1.25")</f>
        <v>1.25</v>
      </c>
    </row>
    <row r="2338" spans="1:7">
      <c r="A2338" s="3"/>
      <c r="B2338" s="3"/>
      <c r="C2338" s="3"/>
      <c r="D2338" s="3"/>
      <c r="E2338" s="3">
        <v>15</v>
      </c>
      <c r="F2338" s="4" t="str">
        <f>HYPERLINK("http://141.218.60.56/~jnz1568/getInfo.php?workbook=18_15.xlsx&amp;sheet=U0&amp;row=2338&amp;col=6&amp;number=4.4&amp;sourceID=14","4.4")</f>
        <v>4.4</v>
      </c>
      <c r="G2338" s="4" t="str">
        <f>HYPERLINK("http://141.218.60.56/~jnz1568/getInfo.php?workbook=18_15.xlsx&amp;sheet=U0&amp;row=2338&amp;col=7&amp;number=1.23&amp;sourceID=14","1.23")</f>
        <v>1.23</v>
      </c>
    </row>
    <row r="2339" spans="1:7">
      <c r="A2339" s="3"/>
      <c r="B2339" s="3"/>
      <c r="C2339" s="3"/>
      <c r="D2339" s="3"/>
      <c r="E2339" s="3">
        <v>16</v>
      </c>
      <c r="F2339" s="4" t="str">
        <f>HYPERLINK("http://141.218.60.56/~jnz1568/getInfo.php?workbook=18_15.xlsx&amp;sheet=U0&amp;row=2339&amp;col=6&amp;number=4.5&amp;sourceID=14","4.5")</f>
        <v>4.5</v>
      </c>
      <c r="G2339" s="4" t="str">
        <f>HYPERLINK("http://141.218.60.56/~jnz1568/getInfo.php?workbook=18_15.xlsx&amp;sheet=U0&amp;row=2339&amp;col=7&amp;number=1.22&amp;sourceID=14","1.22")</f>
        <v>1.22</v>
      </c>
    </row>
    <row r="2340" spans="1:7">
      <c r="A2340" s="3"/>
      <c r="B2340" s="3"/>
      <c r="C2340" s="3"/>
      <c r="D2340" s="3"/>
      <c r="E2340" s="3">
        <v>17</v>
      </c>
      <c r="F2340" s="4" t="str">
        <f>HYPERLINK("http://141.218.60.56/~jnz1568/getInfo.php?workbook=18_15.xlsx&amp;sheet=U0&amp;row=2340&amp;col=6&amp;number=4.6&amp;sourceID=14","4.6")</f>
        <v>4.6</v>
      </c>
      <c r="G2340" s="4" t="str">
        <f>HYPERLINK("http://141.218.60.56/~jnz1568/getInfo.php?workbook=18_15.xlsx&amp;sheet=U0&amp;row=2340&amp;col=7&amp;number=1.2&amp;sourceID=14","1.2")</f>
        <v>1.2</v>
      </c>
    </row>
    <row r="2341" spans="1:7">
      <c r="A2341" s="3"/>
      <c r="B2341" s="3"/>
      <c r="C2341" s="3"/>
      <c r="D2341" s="3"/>
      <c r="E2341" s="3">
        <v>18</v>
      </c>
      <c r="F2341" s="4" t="str">
        <f>HYPERLINK("http://141.218.60.56/~jnz1568/getInfo.php?workbook=18_15.xlsx&amp;sheet=U0&amp;row=2341&amp;col=6&amp;number=4.7&amp;sourceID=14","4.7")</f>
        <v>4.7</v>
      </c>
      <c r="G2341" s="4" t="str">
        <f>HYPERLINK("http://141.218.60.56/~jnz1568/getInfo.php?workbook=18_15.xlsx&amp;sheet=U0&amp;row=2341&amp;col=7&amp;number=1.19&amp;sourceID=14","1.19")</f>
        <v>1.19</v>
      </c>
    </row>
    <row r="2342" spans="1:7">
      <c r="A2342" s="3"/>
      <c r="B2342" s="3"/>
      <c r="C2342" s="3"/>
      <c r="D2342" s="3"/>
      <c r="E2342" s="3">
        <v>19</v>
      </c>
      <c r="F2342" s="4" t="str">
        <f>HYPERLINK("http://141.218.60.56/~jnz1568/getInfo.php?workbook=18_15.xlsx&amp;sheet=U0&amp;row=2342&amp;col=6&amp;number=4.8&amp;sourceID=14","4.8")</f>
        <v>4.8</v>
      </c>
      <c r="G2342" s="4" t="str">
        <f>HYPERLINK("http://141.218.60.56/~jnz1568/getInfo.php?workbook=18_15.xlsx&amp;sheet=U0&amp;row=2342&amp;col=7&amp;number=1.18&amp;sourceID=14","1.18")</f>
        <v>1.18</v>
      </c>
    </row>
    <row r="2343" spans="1:7">
      <c r="A2343" s="3"/>
      <c r="B2343" s="3"/>
      <c r="C2343" s="3"/>
      <c r="D2343" s="3"/>
      <c r="E2343" s="3">
        <v>20</v>
      </c>
      <c r="F2343" s="4" t="str">
        <f>HYPERLINK("http://141.218.60.56/~jnz1568/getInfo.php?workbook=18_15.xlsx&amp;sheet=U0&amp;row=2343&amp;col=6&amp;number=4.9&amp;sourceID=14","4.9")</f>
        <v>4.9</v>
      </c>
      <c r="G2343" s="4" t="str">
        <f>HYPERLINK("http://141.218.60.56/~jnz1568/getInfo.php?workbook=18_15.xlsx&amp;sheet=U0&amp;row=2343&amp;col=7&amp;number=1.18&amp;sourceID=14","1.18")</f>
        <v>1.18</v>
      </c>
    </row>
    <row r="2344" spans="1:7">
      <c r="A2344" s="3">
        <v>18</v>
      </c>
      <c r="B2344" s="3">
        <v>15</v>
      </c>
      <c r="C2344" s="3">
        <v>5</v>
      </c>
      <c r="D2344" s="3">
        <v>14</v>
      </c>
      <c r="E2344" s="3">
        <v>1</v>
      </c>
      <c r="F2344" s="4" t="str">
        <f>HYPERLINK("http://141.218.60.56/~jnz1568/getInfo.php?workbook=18_15.xlsx&amp;sheet=U0&amp;row=2344&amp;col=6&amp;number=3&amp;sourceID=14","3")</f>
        <v>3</v>
      </c>
      <c r="G2344" s="4" t="str">
        <f>HYPERLINK("http://141.218.60.56/~jnz1568/getInfo.php?workbook=18_15.xlsx&amp;sheet=U0&amp;row=2344&amp;col=7&amp;number=0.225&amp;sourceID=14","0.225")</f>
        <v>0.225</v>
      </c>
    </row>
    <row r="2345" spans="1:7">
      <c r="A2345" s="3"/>
      <c r="B2345" s="3"/>
      <c r="C2345" s="3"/>
      <c r="D2345" s="3"/>
      <c r="E2345" s="3">
        <v>2</v>
      </c>
      <c r="F2345" s="4" t="str">
        <f>HYPERLINK("http://141.218.60.56/~jnz1568/getInfo.php?workbook=18_15.xlsx&amp;sheet=U0&amp;row=2345&amp;col=6&amp;number=3.1&amp;sourceID=14","3.1")</f>
        <v>3.1</v>
      </c>
      <c r="G2345" s="4" t="str">
        <f>HYPERLINK("http://141.218.60.56/~jnz1568/getInfo.php?workbook=18_15.xlsx&amp;sheet=U0&amp;row=2345&amp;col=7&amp;number=0.226&amp;sourceID=14","0.226")</f>
        <v>0.226</v>
      </c>
    </row>
    <row r="2346" spans="1:7">
      <c r="A2346" s="3"/>
      <c r="B2346" s="3"/>
      <c r="C2346" s="3"/>
      <c r="D2346" s="3"/>
      <c r="E2346" s="3">
        <v>3</v>
      </c>
      <c r="F2346" s="4" t="str">
        <f>HYPERLINK("http://141.218.60.56/~jnz1568/getInfo.php?workbook=18_15.xlsx&amp;sheet=U0&amp;row=2346&amp;col=6&amp;number=3.2&amp;sourceID=14","3.2")</f>
        <v>3.2</v>
      </c>
      <c r="G2346" s="4" t="str">
        <f>HYPERLINK("http://141.218.60.56/~jnz1568/getInfo.php?workbook=18_15.xlsx&amp;sheet=U0&amp;row=2346&amp;col=7&amp;number=0.227&amp;sourceID=14","0.227")</f>
        <v>0.227</v>
      </c>
    </row>
    <row r="2347" spans="1:7">
      <c r="A2347" s="3"/>
      <c r="B2347" s="3"/>
      <c r="C2347" s="3"/>
      <c r="D2347" s="3"/>
      <c r="E2347" s="3">
        <v>4</v>
      </c>
      <c r="F2347" s="4" t="str">
        <f>HYPERLINK("http://141.218.60.56/~jnz1568/getInfo.php?workbook=18_15.xlsx&amp;sheet=U0&amp;row=2347&amp;col=6&amp;number=3.3&amp;sourceID=14","3.3")</f>
        <v>3.3</v>
      </c>
      <c r="G2347" s="4" t="str">
        <f>HYPERLINK("http://141.218.60.56/~jnz1568/getInfo.php?workbook=18_15.xlsx&amp;sheet=U0&amp;row=2347&amp;col=7&amp;number=0.228&amp;sourceID=14","0.228")</f>
        <v>0.228</v>
      </c>
    </row>
    <row r="2348" spans="1:7">
      <c r="A2348" s="3"/>
      <c r="B2348" s="3"/>
      <c r="C2348" s="3"/>
      <c r="D2348" s="3"/>
      <c r="E2348" s="3">
        <v>5</v>
      </c>
      <c r="F2348" s="4" t="str">
        <f>HYPERLINK("http://141.218.60.56/~jnz1568/getInfo.php?workbook=18_15.xlsx&amp;sheet=U0&amp;row=2348&amp;col=6&amp;number=3.4&amp;sourceID=14","3.4")</f>
        <v>3.4</v>
      </c>
      <c r="G2348" s="4" t="str">
        <f>HYPERLINK("http://141.218.60.56/~jnz1568/getInfo.php?workbook=18_15.xlsx&amp;sheet=U0&amp;row=2348&amp;col=7&amp;number=0.23&amp;sourceID=14","0.23")</f>
        <v>0.23</v>
      </c>
    </row>
    <row r="2349" spans="1:7">
      <c r="A2349" s="3"/>
      <c r="B2349" s="3"/>
      <c r="C2349" s="3"/>
      <c r="D2349" s="3"/>
      <c r="E2349" s="3">
        <v>6</v>
      </c>
      <c r="F2349" s="4" t="str">
        <f>HYPERLINK("http://141.218.60.56/~jnz1568/getInfo.php?workbook=18_15.xlsx&amp;sheet=U0&amp;row=2349&amp;col=6&amp;number=3.5&amp;sourceID=14","3.5")</f>
        <v>3.5</v>
      </c>
      <c r="G2349" s="4" t="str">
        <f>HYPERLINK("http://141.218.60.56/~jnz1568/getInfo.php?workbook=18_15.xlsx&amp;sheet=U0&amp;row=2349&amp;col=7&amp;number=0.232&amp;sourceID=14","0.232")</f>
        <v>0.232</v>
      </c>
    </row>
    <row r="2350" spans="1:7">
      <c r="A2350" s="3"/>
      <c r="B2350" s="3"/>
      <c r="C2350" s="3"/>
      <c r="D2350" s="3"/>
      <c r="E2350" s="3">
        <v>7</v>
      </c>
      <c r="F2350" s="4" t="str">
        <f>HYPERLINK("http://141.218.60.56/~jnz1568/getInfo.php?workbook=18_15.xlsx&amp;sheet=U0&amp;row=2350&amp;col=6&amp;number=3.6&amp;sourceID=14","3.6")</f>
        <v>3.6</v>
      </c>
      <c r="G2350" s="4" t="str">
        <f>HYPERLINK("http://141.218.60.56/~jnz1568/getInfo.php?workbook=18_15.xlsx&amp;sheet=U0&amp;row=2350&amp;col=7&amp;number=0.234&amp;sourceID=14","0.234")</f>
        <v>0.234</v>
      </c>
    </row>
    <row r="2351" spans="1:7">
      <c r="A2351" s="3"/>
      <c r="B2351" s="3"/>
      <c r="C2351" s="3"/>
      <c r="D2351" s="3"/>
      <c r="E2351" s="3">
        <v>8</v>
      </c>
      <c r="F2351" s="4" t="str">
        <f>HYPERLINK("http://141.218.60.56/~jnz1568/getInfo.php?workbook=18_15.xlsx&amp;sheet=U0&amp;row=2351&amp;col=6&amp;number=3.7&amp;sourceID=14","3.7")</f>
        <v>3.7</v>
      </c>
      <c r="G2351" s="4" t="str">
        <f>HYPERLINK("http://141.218.60.56/~jnz1568/getInfo.php?workbook=18_15.xlsx&amp;sheet=U0&amp;row=2351&amp;col=7&amp;number=0.236&amp;sourceID=14","0.236")</f>
        <v>0.236</v>
      </c>
    </row>
    <row r="2352" spans="1:7">
      <c r="A2352" s="3"/>
      <c r="B2352" s="3"/>
      <c r="C2352" s="3"/>
      <c r="D2352" s="3"/>
      <c r="E2352" s="3">
        <v>9</v>
      </c>
      <c r="F2352" s="4" t="str">
        <f>HYPERLINK("http://141.218.60.56/~jnz1568/getInfo.php?workbook=18_15.xlsx&amp;sheet=U0&amp;row=2352&amp;col=6&amp;number=3.8&amp;sourceID=14","3.8")</f>
        <v>3.8</v>
      </c>
      <c r="G2352" s="4" t="str">
        <f>HYPERLINK("http://141.218.60.56/~jnz1568/getInfo.php?workbook=18_15.xlsx&amp;sheet=U0&amp;row=2352&amp;col=7&amp;number=0.237&amp;sourceID=14","0.237")</f>
        <v>0.237</v>
      </c>
    </row>
    <row r="2353" spans="1:7">
      <c r="A2353" s="3"/>
      <c r="B2353" s="3"/>
      <c r="C2353" s="3"/>
      <c r="D2353" s="3"/>
      <c r="E2353" s="3">
        <v>10</v>
      </c>
      <c r="F2353" s="4" t="str">
        <f>HYPERLINK("http://141.218.60.56/~jnz1568/getInfo.php?workbook=18_15.xlsx&amp;sheet=U0&amp;row=2353&amp;col=6&amp;number=3.9&amp;sourceID=14","3.9")</f>
        <v>3.9</v>
      </c>
      <c r="G2353" s="4" t="str">
        <f>HYPERLINK("http://141.218.60.56/~jnz1568/getInfo.php?workbook=18_15.xlsx&amp;sheet=U0&amp;row=2353&amp;col=7&amp;number=0.238&amp;sourceID=14","0.238")</f>
        <v>0.238</v>
      </c>
    </row>
    <row r="2354" spans="1:7">
      <c r="A2354" s="3"/>
      <c r="B2354" s="3"/>
      <c r="C2354" s="3"/>
      <c r="D2354" s="3"/>
      <c r="E2354" s="3">
        <v>11</v>
      </c>
      <c r="F2354" s="4" t="str">
        <f>HYPERLINK("http://141.218.60.56/~jnz1568/getInfo.php?workbook=18_15.xlsx&amp;sheet=U0&amp;row=2354&amp;col=6&amp;number=4&amp;sourceID=14","4")</f>
        <v>4</v>
      </c>
      <c r="G2354" s="4" t="str">
        <f>HYPERLINK("http://141.218.60.56/~jnz1568/getInfo.php?workbook=18_15.xlsx&amp;sheet=U0&amp;row=2354&amp;col=7&amp;number=0.235&amp;sourceID=14","0.235")</f>
        <v>0.235</v>
      </c>
    </row>
    <row r="2355" spans="1:7">
      <c r="A2355" s="3"/>
      <c r="B2355" s="3"/>
      <c r="C2355" s="3"/>
      <c r="D2355" s="3"/>
      <c r="E2355" s="3">
        <v>12</v>
      </c>
      <c r="F2355" s="4" t="str">
        <f>HYPERLINK("http://141.218.60.56/~jnz1568/getInfo.php?workbook=18_15.xlsx&amp;sheet=U0&amp;row=2355&amp;col=6&amp;number=4.1&amp;sourceID=14","4.1")</f>
        <v>4.1</v>
      </c>
      <c r="G2355" s="4" t="str">
        <f>HYPERLINK("http://141.218.60.56/~jnz1568/getInfo.php?workbook=18_15.xlsx&amp;sheet=U0&amp;row=2355&amp;col=7&amp;number=0.229&amp;sourceID=14","0.229")</f>
        <v>0.229</v>
      </c>
    </row>
    <row r="2356" spans="1:7">
      <c r="A2356" s="3"/>
      <c r="B2356" s="3"/>
      <c r="C2356" s="3"/>
      <c r="D2356" s="3"/>
      <c r="E2356" s="3">
        <v>13</v>
      </c>
      <c r="F2356" s="4" t="str">
        <f>HYPERLINK("http://141.218.60.56/~jnz1568/getInfo.php?workbook=18_15.xlsx&amp;sheet=U0&amp;row=2356&amp;col=6&amp;number=4.2&amp;sourceID=14","4.2")</f>
        <v>4.2</v>
      </c>
      <c r="G2356" s="4" t="str">
        <f>HYPERLINK("http://141.218.60.56/~jnz1568/getInfo.php?workbook=18_15.xlsx&amp;sheet=U0&amp;row=2356&amp;col=7&amp;number=0.219&amp;sourceID=14","0.219")</f>
        <v>0.219</v>
      </c>
    </row>
    <row r="2357" spans="1:7">
      <c r="A2357" s="3"/>
      <c r="B2357" s="3"/>
      <c r="C2357" s="3"/>
      <c r="D2357" s="3"/>
      <c r="E2357" s="3">
        <v>14</v>
      </c>
      <c r="F2357" s="4" t="str">
        <f>HYPERLINK("http://141.218.60.56/~jnz1568/getInfo.php?workbook=18_15.xlsx&amp;sheet=U0&amp;row=2357&amp;col=6&amp;number=4.3&amp;sourceID=14","4.3")</f>
        <v>4.3</v>
      </c>
      <c r="G2357" s="4" t="str">
        <f>HYPERLINK("http://141.218.60.56/~jnz1568/getInfo.php?workbook=18_15.xlsx&amp;sheet=U0&amp;row=2357&amp;col=7&amp;number=0.206&amp;sourceID=14","0.206")</f>
        <v>0.206</v>
      </c>
    </row>
    <row r="2358" spans="1:7">
      <c r="A2358" s="3"/>
      <c r="B2358" s="3"/>
      <c r="C2358" s="3"/>
      <c r="D2358" s="3"/>
      <c r="E2358" s="3">
        <v>15</v>
      </c>
      <c r="F2358" s="4" t="str">
        <f>HYPERLINK("http://141.218.60.56/~jnz1568/getInfo.php?workbook=18_15.xlsx&amp;sheet=U0&amp;row=2358&amp;col=6&amp;number=4.4&amp;sourceID=14","4.4")</f>
        <v>4.4</v>
      </c>
      <c r="G2358" s="4" t="str">
        <f>HYPERLINK("http://141.218.60.56/~jnz1568/getInfo.php?workbook=18_15.xlsx&amp;sheet=U0&amp;row=2358&amp;col=7&amp;number=0.194&amp;sourceID=14","0.194")</f>
        <v>0.194</v>
      </c>
    </row>
    <row r="2359" spans="1:7">
      <c r="A2359" s="3"/>
      <c r="B2359" s="3"/>
      <c r="C2359" s="3"/>
      <c r="D2359" s="3"/>
      <c r="E2359" s="3">
        <v>16</v>
      </c>
      <c r="F2359" s="4" t="str">
        <f>HYPERLINK("http://141.218.60.56/~jnz1568/getInfo.php?workbook=18_15.xlsx&amp;sheet=U0&amp;row=2359&amp;col=6&amp;number=4.5&amp;sourceID=14","4.5")</f>
        <v>4.5</v>
      </c>
      <c r="G2359" s="4" t="str">
        <f>HYPERLINK("http://141.218.60.56/~jnz1568/getInfo.php?workbook=18_15.xlsx&amp;sheet=U0&amp;row=2359&amp;col=7&amp;number=0.184&amp;sourceID=14","0.184")</f>
        <v>0.184</v>
      </c>
    </row>
    <row r="2360" spans="1:7">
      <c r="A2360" s="3"/>
      <c r="B2360" s="3"/>
      <c r="C2360" s="3"/>
      <c r="D2360" s="3"/>
      <c r="E2360" s="3">
        <v>17</v>
      </c>
      <c r="F2360" s="4" t="str">
        <f>HYPERLINK("http://141.218.60.56/~jnz1568/getInfo.php?workbook=18_15.xlsx&amp;sheet=U0&amp;row=2360&amp;col=6&amp;number=4.6&amp;sourceID=14","4.6")</f>
        <v>4.6</v>
      </c>
      <c r="G2360" s="4" t="str">
        <f>HYPERLINK("http://141.218.60.56/~jnz1568/getInfo.php?workbook=18_15.xlsx&amp;sheet=U0&amp;row=2360&amp;col=7&amp;number=0.175&amp;sourceID=14","0.175")</f>
        <v>0.175</v>
      </c>
    </row>
    <row r="2361" spans="1:7">
      <c r="A2361" s="3"/>
      <c r="B2361" s="3"/>
      <c r="C2361" s="3"/>
      <c r="D2361" s="3"/>
      <c r="E2361" s="3">
        <v>18</v>
      </c>
      <c r="F2361" s="4" t="str">
        <f>HYPERLINK("http://141.218.60.56/~jnz1568/getInfo.php?workbook=18_15.xlsx&amp;sheet=U0&amp;row=2361&amp;col=6&amp;number=4.7&amp;sourceID=14","4.7")</f>
        <v>4.7</v>
      </c>
      <c r="G2361" s="4" t="str">
        <f>HYPERLINK("http://141.218.60.56/~jnz1568/getInfo.php?workbook=18_15.xlsx&amp;sheet=U0&amp;row=2361&amp;col=7&amp;number=0.165&amp;sourceID=14","0.165")</f>
        <v>0.165</v>
      </c>
    </row>
    <row r="2362" spans="1:7">
      <c r="A2362" s="3"/>
      <c r="B2362" s="3"/>
      <c r="C2362" s="3"/>
      <c r="D2362" s="3"/>
      <c r="E2362" s="3">
        <v>19</v>
      </c>
      <c r="F2362" s="4" t="str">
        <f>HYPERLINK("http://141.218.60.56/~jnz1568/getInfo.php?workbook=18_15.xlsx&amp;sheet=U0&amp;row=2362&amp;col=6&amp;number=4.8&amp;sourceID=14","4.8")</f>
        <v>4.8</v>
      </c>
      <c r="G2362" s="4" t="str">
        <f>HYPERLINK("http://141.218.60.56/~jnz1568/getInfo.php?workbook=18_15.xlsx&amp;sheet=U0&amp;row=2362&amp;col=7&amp;number=0.155&amp;sourceID=14","0.155")</f>
        <v>0.155</v>
      </c>
    </row>
    <row r="2363" spans="1:7">
      <c r="A2363" s="3"/>
      <c r="B2363" s="3"/>
      <c r="C2363" s="3"/>
      <c r="D2363" s="3"/>
      <c r="E2363" s="3">
        <v>20</v>
      </c>
      <c r="F2363" s="4" t="str">
        <f>HYPERLINK("http://141.218.60.56/~jnz1568/getInfo.php?workbook=18_15.xlsx&amp;sheet=U0&amp;row=2363&amp;col=6&amp;number=4.9&amp;sourceID=14","4.9")</f>
        <v>4.9</v>
      </c>
      <c r="G2363" s="4" t="str">
        <f>HYPERLINK("http://141.218.60.56/~jnz1568/getInfo.php?workbook=18_15.xlsx&amp;sheet=U0&amp;row=2363&amp;col=7&amp;number=0.148&amp;sourceID=14","0.148")</f>
        <v>0.148</v>
      </c>
    </row>
    <row r="2364" spans="1:7">
      <c r="A2364" s="3">
        <v>18</v>
      </c>
      <c r="B2364" s="3">
        <v>15</v>
      </c>
      <c r="C2364" s="3">
        <v>5</v>
      </c>
      <c r="D2364" s="3">
        <v>15</v>
      </c>
      <c r="E2364" s="3">
        <v>1</v>
      </c>
      <c r="F2364" s="4" t="str">
        <f>HYPERLINK("http://141.218.60.56/~jnz1568/getInfo.php?workbook=18_15.xlsx&amp;sheet=U0&amp;row=2364&amp;col=6&amp;number=3&amp;sourceID=14","3")</f>
        <v>3</v>
      </c>
      <c r="G2364" s="4" t="str">
        <f>HYPERLINK("http://141.218.60.56/~jnz1568/getInfo.php?workbook=18_15.xlsx&amp;sheet=U0&amp;row=2364&amp;col=7&amp;number=0.423&amp;sourceID=14","0.423")</f>
        <v>0.423</v>
      </c>
    </row>
    <row r="2365" spans="1:7">
      <c r="A2365" s="3"/>
      <c r="B2365" s="3"/>
      <c r="C2365" s="3"/>
      <c r="D2365" s="3"/>
      <c r="E2365" s="3">
        <v>2</v>
      </c>
      <c r="F2365" s="4" t="str">
        <f>HYPERLINK("http://141.218.60.56/~jnz1568/getInfo.php?workbook=18_15.xlsx&amp;sheet=U0&amp;row=2365&amp;col=6&amp;number=3.1&amp;sourceID=14","3.1")</f>
        <v>3.1</v>
      </c>
      <c r="G2365" s="4" t="str">
        <f>HYPERLINK("http://141.218.60.56/~jnz1568/getInfo.php?workbook=18_15.xlsx&amp;sheet=U0&amp;row=2365&amp;col=7&amp;number=0.423&amp;sourceID=14","0.423")</f>
        <v>0.423</v>
      </c>
    </row>
    <row r="2366" spans="1:7">
      <c r="A2366" s="3"/>
      <c r="B2366" s="3"/>
      <c r="C2366" s="3"/>
      <c r="D2366" s="3"/>
      <c r="E2366" s="3">
        <v>3</v>
      </c>
      <c r="F2366" s="4" t="str">
        <f>HYPERLINK("http://141.218.60.56/~jnz1568/getInfo.php?workbook=18_15.xlsx&amp;sheet=U0&amp;row=2366&amp;col=6&amp;number=3.2&amp;sourceID=14","3.2")</f>
        <v>3.2</v>
      </c>
      <c r="G2366" s="4" t="str">
        <f>HYPERLINK("http://141.218.60.56/~jnz1568/getInfo.php?workbook=18_15.xlsx&amp;sheet=U0&amp;row=2366&amp;col=7&amp;number=0.422&amp;sourceID=14","0.422")</f>
        <v>0.422</v>
      </c>
    </row>
    <row r="2367" spans="1:7">
      <c r="A2367" s="3"/>
      <c r="B2367" s="3"/>
      <c r="C2367" s="3"/>
      <c r="D2367" s="3"/>
      <c r="E2367" s="3">
        <v>4</v>
      </c>
      <c r="F2367" s="4" t="str">
        <f>HYPERLINK("http://141.218.60.56/~jnz1568/getInfo.php?workbook=18_15.xlsx&amp;sheet=U0&amp;row=2367&amp;col=6&amp;number=3.3&amp;sourceID=14","3.3")</f>
        <v>3.3</v>
      </c>
      <c r="G2367" s="4" t="str">
        <f>HYPERLINK("http://141.218.60.56/~jnz1568/getInfo.php?workbook=18_15.xlsx&amp;sheet=U0&amp;row=2367&amp;col=7&amp;number=0.422&amp;sourceID=14","0.422")</f>
        <v>0.422</v>
      </c>
    </row>
    <row r="2368" spans="1:7">
      <c r="A2368" s="3"/>
      <c r="B2368" s="3"/>
      <c r="C2368" s="3"/>
      <c r="D2368" s="3"/>
      <c r="E2368" s="3">
        <v>5</v>
      </c>
      <c r="F2368" s="4" t="str">
        <f>HYPERLINK("http://141.218.60.56/~jnz1568/getInfo.php?workbook=18_15.xlsx&amp;sheet=U0&amp;row=2368&amp;col=6&amp;number=3.4&amp;sourceID=14","3.4")</f>
        <v>3.4</v>
      </c>
      <c r="G2368" s="4" t="str">
        <f>HYPERLINK("http://141.218.60.56/~jnz1568/getInfo.php?workbook=18_15.xlsx&amp;sheet=U0&amp;row=2368&amp;col=7&amp;number=0.421&amp;sourceID=14","0.421")</f>
        <v>0.421</v>
      </c>
    </row>
    <row r="2369" spans="1:7">
      <c r="A2369" s="3"/>
      <c r="B2369" s="3"/>
      <c r="C2369" s="3"/>
      <c r="D2369" s="3"/>
      <c r="E2369" s="3">
        <v>6</v>
      </c>
      <c r="F2369" s="4" t="str">
        <f>HYPERLINK("http://141.218.60.56/~jnz1568/getInfo.php?workbook=18_15.xlsx&amp;sheet=U0&amp;row=2369&amp;col=6&amp;number=3.5&amp;sourceID=14","3.5")</f>
        <v>3.5</v>
      </c>
      <c r="G2369" s="4" t="str">
        <f>HYPERLINK("http://141.218.60.56/~jnz1568/getInfo.php?workbook=18_15.xlsx&amp;sheet=U0&amp;row=2369&amp;col=7&amp;number=0.42&amp;sourceID=14","0.42")</f>
        <v>0.42</v>
      </c>
    </row>
    <row r="2370" spans="1:7">
      <c r="A2370" s="3"/>
      <c r="B2370" s="3"/>
      <c r="C2370" s="3"/>
      <c r="D2370" s="3"/>
      <c r="E2370" s="3">
        <v>7</v>
      </c>
      <c r="F2370" s="4" t="str">
        <f>HYPERLINK("http://141.218.60.56/~jnz1568/getInfo.php?workbook=18_15.xlsx&amp;sheet=U0&amp;row=2370&amp;col=6&amp;number=3.6&amp;sourceID=14","3.6")</f>
        <v>3.6</v>
      </c>
      <c r="G2370" s="4" t="str">
        <f>HYPERLINK("http://141.218.60.56/~jnz1568/getInfo.php?workbook=18_15.xlsx&amp;sheet=U0&amp;row=2370&amp;col=7&amp;number=0.418&amp;sourceID=14","0.418")</f>
        <v>0.418</v>
      </c>
    </row>
    <row r="2371" spans="1:7">
      <c r="A2371" s="3"/>
      <c r="B2371" s="3"/>
      <c r="C2371" s="3"/>
      <c r="D2371" s="3"/>
      <c r="E2371" s="3">
        <v>8</v>
      </c>
      <c r="F2371" s="4" t="str">
        <f>HYPERLINK("http://141.218.60.56/~jnz1568/getInfo.php?workbook=18_15.xlsx&amp;sheet=U0&amp;row=2371&amp;col=6&amp;number=3.7&amp;sourceID=14","3.7")</f>
        <v>3.7</v>
      </c>
      <c r="G2371" s="4" t="str">
        <f>HYPERLINK("http://141.218.60.56/~jnz1568/getInfo.php?workbook=18_15.xlsx&amp;sheet=U0&amp;row=2371&amp;col=7&amp;number=0.416&amp;sourceID=14","0.416")</f>
        <v>0.416</v>
      </c>
    </row>
    <row r="2372" spans="1:7">
      <c r="A2372" s="3"/>
      <c r="B2372" s="3"/>
      <c r="C2372" s="3"/>
      <c r="D2372" s="3"/>
      <c r="E2372" s="3">
        <v>9</v>
      </c>
      <c r="F2372" s="4" t="str">
        <f>HYPERLINK("http://141.218.60.56/~jnz1568/getInfo.php?workbook=18_15.xlsx&amp;sheet=U0&amp;row=2372&amp;col=6&amp;number=3.8&amp;sourceID=14","3.8")</f>
        <v>3.8</v>
      </c>
      <c r="G2372" s="4" t="str">
        <f>HYPERLINK("http://141.218.60.56/~jnz1568/getInfo.php?workbook=18_15.xlsx&amp;sheet=U0&amp;row=2372&amp;col=7&amp;number=0.413&amp;sourceID=14","0.413")</f>
        <v>0.413</v>
      </c>
    </row>
    <row r="2373" spans="1:7">
      <c r="A2373" s="3"/>
      <c r="B2373" s="3"/>
      <c r="C2373" s="3"/>
      <c r="D2373" s="3"/>
      <c r="E2373" s="3">
        <v>10</v>
      </c>
      <c r="F2373" s="4" t="str">
        <f>HYPERLINK("http://141.218.60.56/~jnz1568/getInfo.php?workbook=18_15.xlsx&amp;sheet=U0&amp;row=2373&amp;col=6&amp;number=3.9&amp;sourceID=14","3.9")</f>
        <v>3.9</v>
      </c>
      <c r="G2373" s="4" t="str">
        <f>HYPERLINK("http://141.218.60.56/~jnz1568/getInfo.php?workbook=18_15.xlsx&amp;sheet=U0&amp;row=2373&amp;col=7&amp;number=0.408&amp;sourceID=14","0.408")</f>
        <v>0.408</v>
      </c>
    </row>
    <row r="2374" spans="1:7">
      <c r="A2374" s="3"/>
      <c r="B2374" s="3"/>
      <c r="C2374" s="3"/>
      <c r="D2374" s="3"/>
      <c r="E2374" s="3">
        <v>11</v>
      </c>
      <c r="F2374" s="4" t="str">
        <f>HYPERLINK("http://141.218.60.56/~jnz1568/getInfo.php?workbook=18_15.xlsx&amp;sheet=U0&amp;row=2374&amp;col=6&amp;number=4&amp;sourceID=14","4")</f>
        <v>4</v>
      </c>
      <c r="G2374" s="4" t="str">
        <f>HYPERLINK("http://141.218.60.56/~jnz1568/getInfo.php?workbook=18_15.xlsx&amp;sheet=U0&amp;row=2374&amp;col=7&amp;number=0.4&amp;sourceID=14","0.4")</f>
        <v>0.4</v>
      </c>
    </row>
    <row r="2375" spans="1:7">
      <c r="A2375" s="3"/>
      <c r="B2375" s="3"/>
      <c r="C2375" s="3"/>
      <c r="D2375" s="3"/>
      <c r="E2375" s="3">
        <v>12</v>
      </c>
      <c r="F2375" s="4" t="str">
        <f>HYPERLINK("http://141.218.60.56/~jnz1568/getInfo.php?workbook=18_15.xlsx&amp;sheet=U0&amp;row=2375&amp;col=6&amp;number=4.1&amp;sourceID=14","4.1")</f>
        <v>4.1</v>
      </c>
      <c r="G2375" s="4" t="str">
        <f>HYPERLINK("http://141.218.60.56/~jnz1568/getInfo.php?workbook=18_15.xlsx&amp;sheet=U0&amp;row=2375&amp;col=7&amp;number=0.388&amp;sourceID=14","0.388")</f>
        <v>0.388</v>
      </c>
    </row>
    <row r="2376" spans="1:7">
      <c r="A2376" s="3"/>
      <c r="B2376" s="3"/>
      <c r="C2376" s="3"/>
      <c r="D2376" s="3"/>
      <c r="E2376" s="3">
        <v>13</v>
      </c>
      <c r="F2376" s="4" t="str">
        <f>HYPERLINK("http://141.218.60.56/~jnz1568/getInfo.php?workbook=18_15.xlsx&amp;sheet=U0&amp;row=2376&amp;col=6&amp;number=4.2&amp;sourceID=14","4.2")</f>
        <v>4.2</v>
      </c>
      <c r="G2376" s="4" t="str">
        <f>HYPERLINK("http://141.218.60.56/~jnz1568/getInfo.php?workbook=18_15.xlsx&amp;sheet=U0&amp;row=2376&amp;col=7&amp;number=0.373&amp;sourceID=14","0.373")</f>
        <v>0.373</v>
      </c>
    </row>
    <row r="2377" spans="1:7">
      <c r="A2377" s="3"/>
      <c r="B2377" s="3"/>
      <c r="C2377" s="3"/>
      <c r="D2377" s="3"/>
      <c r="E2377" s="3">
        <v>14</v>
      </c>
      <c r="F2377" s="4" t="str">
        <f>HYPERLINK("http://141.218.60.56/~jnz1568/getInfo.php?workbook=18_15.xlsx&amp;sheet=U0&amp;row=2377&amp;col=6&amp;number=4.3&amp;sourceID=14","4.3")</f>
        <v>4.3</v>
      </c>
      <c r="G2377" s="4" t="str">
        <f>HYPERLINK("http://141.218.60.56/~jnz1568/getInfo.php?workbook=18_15.xlsx&amp;sheet=U0&amp;row=2377&amp;col=7&amp;number=0.354&amp;sourceID=14","0.354")</f>
        <v>0.354</v>
      </c>
    </row>
    <row r="2378" spans="1:7">
      <c r="A2378" s="3"/>
      <c r="B2378" s="3"/>
      <c r="C2378" s="3"/>
      <c r="D2378" s="3"/>
      <c r="E2378" s="3">
        <v>15</v>
      </c>
      <c r="F2378" s="4" t="str">
        <f>HYPERLINK("http://141.218.60.56/~jnz1568/getInfo.php?workbook=18_15.xlsx&amp;sheet=U0&amp;row=2378&amp;col=6&amp;number=4.4&amp;sourceID=14","4.4")</f>
        <v>4.4</v>
      </c>
      <c r="G2378" s="4" t="str">
        <f>HYPERLINK("http://141.218.60.56/~jnz1568/getInfo.php?workbook=18_15.xlsx&amp;sheet=U0&amp;row=2378&amp;col=7&amp;number=0.335&amp;sourceID=14","0.335")</f>
        <v>0.335</v>
      </c>
    </row>
    <row r="2379" spans="1:7">
      <c r="A2379" s="3"/>
      <c r="B2379" s="3"/>
      <c r="C2379" s="3"/>
      <c r="D2379" s="3"/>
      <c r="E2379" s="3">
        <v>16</v>
      </c>
      <c r="F2379" s="4" t="str">
        <f>HYPERLINK("http://141.218.60.56/~jnz1568/getInfo.php?workbook=18_15.xlsx&amp;sheet=U0&amp;row=2379&amp;col=6&amp;number=4.5&amp;sourceID=14","4.5")</f>
        <v>4.5</v>
      </c>
      <c r="G2379" s="4" t="str">
        <f>HYPERLINK("http://141.218.60.56/~jnz1568/getInfo.php?workbook=18_15.xlsx&amp;sheet=U0&amp;row=2379&amp;col=7&amp;number=0.316&amp;sourceID=14","0.316")</f>
        <v>0.316</v>
      </c>
    </row>
    <row r="2380" spans="1:7">
      <c r="A2380" s="3"/>
      <c r="B2380" s="3"/>
      <c r="C2380" s="3"/>
      <c r="D2380" s="3"/>
      <c r="E2380" s="3">
        <v>17</v>
      </c>
      <c r="F2380" s="4" t="str">
        <f>HYPERLINK("http://141.218.60.56/~jnz1568/getInfo.php?workbook=18_15.xlsx&amp;sheet=U0&amp;row=2380&amp;col=6&amp;number=4.6&amp;sourceID=14","4.6")</f>
        <v>4.6</v>
      </c>
      <c r="G2380" s="4" t="str">
        <f>HYPERLINK("http://141.218.60.56/~jnz1568/getInfo.php?workbook=18_15.xlsx&amp;sheet=U0&amp;row=2380&amp;col=7&amp;number=0.297&amp;sourceID=14","0.297")</f>
        <v>0.297</v>
      </c>
    </row>
    <row r="2381" spans="1:7">
      <c r="A2381" s="3"/>
      <c r="B2381" s="3"/>
      <c r="C2381" s="3"/>
      <c r="D2381" s="3"/>
      <c r="E2381" s="3">
        <v>18</v>
      </c>
      <c r="F2381" s="4" t="str">
        <f>HYPERLINK("http://141.218.60.56/~jnz1568/getInfo.php?workbook=18_15.xlsx&amp;sheet=U0&amp;row=2381&amp;col=6&amp;number=4.7&amp;sourceID=14","4.7")</f>
        <v>4.7</v>
      </c>
      <c r="G2381" s="4" t="str">
        <f>HYPERLINK("http://141.218.60.56/~jnz1568/getInfo.php?workbook=18_15.xlsx&amp;sheet=U0&amp;row=2381&amp;col=7&amp;number=0.278&amp;sourceID=14","0.278")</f>
        <v>0.278</v>
      </c>
    </row>
    <row r="2382" spans="1:7">
      <c r="A2382" s="3"/>
      <c r="B2382" s="3"/>
      <c r="C2382" s="3"/>
      <c r="D2382" s="3"/>
      <c r="E2382" s="3">
        <v>19</v>
      </c>
      <c r="F2382" s="4" t="str">
        <f>HYPERLINK("http://141.218.60.56/~jnz1568/getInfo.php?workbook=18_15.xlsx&amp;sheet=U0&amp;row=2382&amp;col=6&amp;number=4.8&amp;sourceID=14","4.8")</f>
        <v>4.8</v>
      </c>
      <c r="G2382" s="4" t="str">
        <f>HYPERLINK("http://141.218.60.56/~jnz1568/getInfo.php?workbook=18_15.xlsx&amp;sheet=U0&amp;row=2382&amp;col=7&amp;number=0.261&amp;sourceID=14","0.261")</f>
        <v>0.261</v>
      </c>
    </row>
    <row r="2383" spans="1:7">
      <c r="A2383" s="3"/>
      <c r="B2383" s="3"/>
      <c r="C2383" s="3"/>
      <c r="D2383" s="3"/>
      <c r="E2383" s="3">
        <v>20</v>
      </c>
      <c r="F2383" s="4" t="str">
        <f>HYPERLINK("http://141.218.60.56/~jnz1568/getInfo.php?workbook=18_15.xlsx&amp;sheet=U0&amp;row=2383&amp;col=6&amp;number=4.9&amp;sourceID=14","4.9")</f>
        <v>4.9</v>
      </c>
      <c r="G2383" s="4" t="str">
        <f>HYPERLINK("http://141.218.60.56/~jnz1568/getInfo.php?workbook=18_15.xlsx&amp;sheet=U0&amp;row=2383&amp;col=7&amp;number=0.245&amp;sourceID=14","0.245")</f>
        <v>0.245</v>
      </c>
    </row>
    <row r="2384" spans="1:7">
      <c r="A2384" s="3">
        <v>18</v>
      </c>
      <c r="B2384" s="3">
        <v>15</v>
      </c>
      <c r="C2384" s="3">
        <v>5</v>
      </c>
      <c r="D2384" s="3">
        <v>16</v>
      </c>
      <c r="E2384" s="3">
        <v>1</v>
      </c>
      <c r="F2384" s="4" t="str">
        <f>HYPERLINK("http://141.218.60.56/~jnz1568/getInfo.php?workbook=18_15.xlsx&amp;sheet=U0&amp;row=2384&amp;col=6&amp;number=3&amp;sourceID=14","3")</f>
        <v>3</v>
      </c>
      <c r="G2384" s="4" t="str">
        <f>HYPERLINK("http://141.218.60.56/~jnz1568/getInfo.php?workbook=18_15.xlsx&amp;sheet=U0&amp;row=2384&amp;col=7&amp;number=0.593&amp;sourceID=14","0.593")</f>
        <v>0.593</v>
      </c>
    </row>
    <row r="2385" spans="1:7">
      <c r="A2385" s="3"/>
      <c r="B2385" s="3"/>
      <c r="C2385" s="3"/>
      <c r="D2385" s="3"/>
      <c r="E2385" s="3">
        <v>2</v>
      </c>
      <c r="F2385" s="4" t="str">
        <f>HYPERLINK("http://141.218.60.56/~jnz1568/getInfo.php?workbook=18_15.xlsx&amp;sheet=U0&amp;row=2385&amp;col=6&amp;number=3.1&amp;sourceID=14","3.1")</f>
        <v>3.1</v>
      </c>
      <c r="G2385" s="4" t="str">
        <f>HYPERLINK("http://141.218.60.56/~jnz1568/getInfo.php?workbook=18_15.xlsx&amp;sheet=U0&amp;row=2385&amp;col=7&amp;number=0.597&amp;sourceID=14","0.597")</f>
        <v>0.597</v>
      </c>
    </row>
    <row r="2386" spans="1:7">
      <c r="A2386" s="3"/>
      <c r="B2386" s="3"/>
      <c r="C2386" s="3"/>
      <c r="D2386" s="3"/>
      <c r="E2386" s="3">
        <v>3</v>
      </c>
      <c r="F2386" s="4" t="str">
        <f>HYPERLINK("http://141.218.60.56/~jnz1568/getInfo.php?workbook=18_15.xlsx&amp;sheet=U0&amp;row=2386&amp;col=6&amp;number=3.2&amp;sourceID=14","3.2")</f>
        <v>3.2</v>
      </c>
      <c r="G2386" s="4" t="str">
        <f>HYPERLINK("http://141.218.60.56/~jnz1568/getInfo.php?workbook=18_15.xlsx&amp;sheet=U0&amp;row=2386&amp;col=7&amp;number=0.601&amp;sourceID=14","0.601")</f>
        <v>0.601</v>
      </c>
    </row>
    <row r="2387" spans="1:7">
      <c r="A2387" s="3"/>
      <c r="B2387" s="3"/>
      <c r="C2387" s="3"/>
      <c r="D2387" s="3"/>
      <c r="E2387" s="3">
        <v>4</v>
      </c>
      <c r="F2387" s="4" t="str">
        <f>HYPERLINK("http://141.218.60.56/~jnz1568/getInfo.php?workbook=18_15.xlsx&amp;sheet=U0&amp;row=2387&amp;col=6&amp;number=3.3&amp;sourceID=14","3.3")</f>
        <v>3.3</v>
      </c>
      <c r="G2387" s="4" t="str">
        <f>HYPERLINK("http://141.218.60.56/~jnz1568/getInfo.php?workbook=18_15.xlsx&amp;sheet=U0&amp;row=2387&amp;col=7&amp;number=0.607&amp;sourceID=14","0.607")</f>
        <v>0.607</v>
      </c>
    </row>
    <row r="2388" spans="1:7">
      <c r="A2388" s="3"/>
      <c r="B2388" s="3"/>
      <c r="C2388" s="3"/>
      <c r="D2388" s="3"/>
      <c r="E2388" s="3">
        <v>5</v>
      </c>
      <c r="F2388" s="4" t="str">
        <f>HYPERLINK("http://141.218.60.56/~jnz1568/getInfo.php?workbook=18_15.xlsx&amp;sheet=U0&amp;row=2388&amp;col=6&amp;number=3.4&amp;sourceID=14","3.4")</f>
        <v>3.4</v>
      </c>
      <c r="G2388" s="4" t="str">
        <f>HYPERLINK("http://141.218.60.56/~jnz1568/getInfo.php?workbook=18_15.xlsx&amp;sheet=U0&amp;row=2388&amp;col=7&amp;number=0.613&amp;sourceID=14","0.613")</f>
        <v>0.613</v>
      </c>
    </row>
    <row r="2389" spans="1:7">
      <c r="A2389" s="3"/>
      <c r="B2389" s="3"/>
      <c r="C2389" s="3"/>
      <c r="D2389" s="3"/>
      <c r="E2389" s="3">
        <v>6</v>
      </c>
      <c r="F2389" s="4" t="str">
        <f>HYPERLINK("http://141.218.60.56/~jnz1568/getInfo.php?workbook=18_15.xlsx&amp;sheet=U0&amp;row=2389&amp;col=6&amp;number=3.5&amp;sourceID=14","3.5")</f>
        <v>3.5</v>
      </c>
      <c r="G2389" s="4" t="str">
        <f>HYPERLINK("http://141.218.60.56/~jnz1568/getInfo.php?workbook=18_15.xlsx&amp;sheet=U0&amp;row=2389&amp;col=7&amp;number=0.621&amp;sourceID=14","0.621")</f>
        <v>0.621</v>
      </c>
    </row>
    <row r="2390" spans="1:7">
      <c r="A2390" s="3"/>
      <c r="B2390" s="3"/>
      <c r="C2390" s="3"/>
      <c r="D2390" s="3"/>
      <c r="E2390" s="3">
        <v>7</v>
      </c>
      <c r="F2390" s="4" t="str">
        <f>HYPERLINK("http://141.218.60.56/~jnz1568/getInfo.php?workbook=18_15.xlsx&amp;sheet=U0&amp;row=2390&amp;col=6&amp;number=3.6&amp;sourceID=14","3.6")</f>
        <v>3.6</v>
      </c>
      <c r="G2390" s="4" t="str">
        <f>HYPERLINK("http://141.218.60.56/~jnz1568/getInfo.php?workbook=18_15.xlsx&amp;sheet=U0&amp;row=2390&amp;col=7&amp;number=0.629&amp;sourceID=14","0.629")</f>
        <v>0.629</v>
      </c>
    </row>
    <row r="2391" spans="1:7">
      <c r="A2391" s="3"/>
      <c r="B2391" s="3"/>
      <c r="C2391" s="3"/>
      <c r="D2391" s="3"/>
      <c r="E2391" s="3">
        <v>8</v>
      </c>
      <c r="F2391" s="4" t="str">
        <f>HYPERLINK("http://141.218.60.56/~jnz1568/getInfo.php?workbook=18_15.xlsx&amp;sheet=U0&amp;row=2391&amp;col=6&amp;number=3.7&amp;sourceID=14","3.7")</f>
        <v>3.7</v>
      </c>
      <c r="G2391" s="4" t="str">
        <f>HYPERLINK("http://141.218.60.56/~jnz1568/getInfo.php?workbook=18_15.xlsx&amp;sheet=U0&amp;row=2391&amp;col=7&amp;number=0.636&amp;sourceID=14","0.636")</f>
        <v>0.636</v>
      </c>
    </row>
    <row r="2392" spans="1:7">
      <c r="A2392" s="3"/>
      <c r="B2392" s="3"/>
      <c r="C2392" s="3"/>
      <c r="D2392" s="3"/>
      <c r="E2392" s="3">
        <v>9</v>
      </c>
      <c r="F2392" s="4" t="str">
        <f>HYPERLINK("http://141.218.60.56/~jnz1568/getInfo.php?workbook=18_15.xlsx&amp;sheet=U0&amp;row=2392&amp;col=6&amp;number=3.8&amp;sourceID=14","3.8")</f>
        <v>3.8</v>
      </c>
      <c r="G2392" s="4" t="str">
        <f>HYPERLINK("http://141.218.60.56/~jnz1568/getInfo.php?workbook=18_15.xlsx&amp;sheet=U0&amp;row=2392&amp;col=7&amp;number=0.642&amp;sourceID=14","0.642")</f>
        <v>0.642</v>
      </c>
    </row>
    <row r="2393" spans="1:7">
      <c r="A2393" s="3"/>
      <c r="B2393" s="3"/>
      <c r="C2393" s="3"/>
      <c r="D2393" s="3"/>
      <c r="E2393" s="3">
        <v>10</v>
      </c>
      <c r="F2393" s="4" t="str">
        <f>HYPERLINK("http://141.218.60.56/~jnz1568/getInfo.php?workbook=18_15.xlsx&amp;sheet=U0&amp;row=2393&amp;col=6&amp;number=3.9&amp;sourceID=14","3.9")</f>
        <v>3.9</v>
      </c>
      <c r="G2393" s="4" t="str">
        <f>HYPERLINK("http://141.218.60.56/~jnz1568/getInfo.php?workbook=18_15.xlsx&amp;sheet=U0&amp;row=2393&amp;col=7&amp;number=0.642&amp;sourceID=14","0.642")</f>
        <v>0.642</v>
      </c>
    </row>
    <row r="2394" spans="1:7">
      <c r="A2394" s="3"/>
      <c r="B2394" s="3"/>
      <c r="C2394" s="3"/>
      <c r="D2394" s="3"/>
      <c r="E2394" s="3">
        <v>11</v>
      </c>
      <c r="F2394" s="4" t="str">
        <f>HYPERLINK("http://141.218.60.56/~jnz1568/getInfo.php?workbook=18_15.xlsx&amp;sheet=U0&amp;row=2394&amp;col=6&amp;number=4&amp;sourceID=14","4")</f>
        <v>4</v>
      </c>
      <c r="G2394" s="4" t="str">
        <f>HYPERLINK("http://141.218.60.56/~jnz1568/getInfo.php?workbook=18_15.xlsx&amp;sheet=U0&amp;row=2394&amp;col=7&amp;number=0.632&amp;sourceID=14","0.632")</f>
        <v>0.632</v>
      </c>
    </row>
    <row r="2395" spans="1:7">
      <c r="A2395" s="3"/>
      <c r="B2395" s="3"/>
      <c r="C2395" s="3"/>
      <c r="D2395" s="3"/>
      <c r="E2395" s="3">
        <v>12</v>
      </c>
      <c r="F2395" s="4" t="str">
        <f>HYPERLINK("http://141.218.60.56/~jnz1568/getInfo.php?workbook=18_15.xlsx&amp;sheet=U0&amp;row=2395&amp;col=6&amp;number=4.1&amp;sourceID=14","4.1")</f>
        <v>4.1</v>
      </c>
      <c r="G2395" s="4" t="str">
        <f>HYPERLINK("http://141.218.60.56/~jnz1568/getInfo.php?workbook=18_15.xlsx&amp;sheet=U0&amp;row=2395&amp;col=7&amp;number=0.611&amp;sourceID=14","0.611")</f>
        <v>0.611</v>
      </c>
    </row>
    <row r="2396" spans="1:7">
      <c r="A2396" s="3"/>
      <c r="B2396" s="3"/>
      <c r="C2396" s="3"/>
      <c r="D2396" s="3"/>
      <c r="E2396" s="3">
        <v>13</v>
      </c>
      <c r="F2396" s="4" t="str">
        <f>HYPERLINK("http://141.218.60.56/~jnz1568/getInfo.php?workbook=18_15.xlsx&amp;sheet=U0&amp;row=2396&amp;col=6&amp;number=4.2&amp;sourceID=14","4.2")</f>
        <v>4.2</v>
      </c>
      <c r="G2396" s="4" t="str">
        <f>HYPERLINK("http://141.218.60.56/~jnz1568/getInfo.php?workbook=18_15.xlsx&amp;sheet=U0&amp;row=2396&amp;col=7&amp;number=0.583&amp;sourceID=14","0.583")</f>
        <v>0.583</v>
      </c>
    </row>
    <row r="2397" spans="1:7">
      <c r="A2397" s="3"/>
      <c r="B2397" s="3"/>
      <c r="C2397" s="3"/>
      <c r="D2397" s="3"/>
      <c r="E2397" s="3">
        <v>14</v>
      </c>
      <c r="F2397" s="4" t="str">
        <f>HYPERLINK("http://141.218.60.56/~jnz1568/getInfo.php?workbook=18_15.xlsx&amp;sheet=U0&amp;row=2397&amp;col=6&amp;number=4.3&amp;sourceID=14","4.3")</f>
        <v>4.3</v>
      </c>
      <c r="G2397" s="4" t="str">
        <f>HYPERLINK("http://141.218.60.56/~jnz1568/getInfo.php?workbook=18_15.xlsx&amp;sheet=U0&amp;row=2397&amp;col=7&amp;number=0.553&amp;sourceID=14","0.553")</f>
        <v>0.553</v>
      </c>
    </row>
    <row r="2398" spans="1:7">
      <c r="A2398" s="3"/>
      <c r="B2398" s="3"/>
      <c r="C2398" s="3"/>
      <c r="D2398" s="3"/>
      <c r="E2398" s="3">
        <v>15</v>
      </c>
      <c r="F2398" s="4" t="str">
        <f>HYPERLINK("http://141.218.60.56/~jnz1568/getInfo.php?workbook=18_15.xlsx&amp;sheet=U0&amp;row=2398&amp;col=6&amp;number=4.4&amp;sourceID=14","4.4")</f>
        <v>4.4</v>
      </c>
      <c r="G2398" s="4" t="str">
        <f>HYPERLINK("http://141.218.60.56/~jnz1568/getInfo.php?workbook=18_15.xlsx&amp;sheet=U0&amp;row=2398&amp;col=7&amp;number=0.528&amp;sourceID=14","0.528")</f>
        <v>0.528</v>
      </c>
    </row>
    <row r="2399" spans="1:7">
      <c r="A2399" s="3"/>
      <c r="B2399" s="3"/>
      <c r="C2399" s="3"/>
      <c r="D2399" s="3"/>
      <c r="E2399" s="3">
        <v>16</v>
      </c>
      <c r="F2399" s="4" t="str">
        <f>HYPERLINK("http://141.218.60.56/~jnz1568/getInfo.php?workbook=18_15.xlsx&amp;sheet=U0&amp;row=2399&amp;col=6&amp;number=4.5&amp;sourceID=14","4.5")</f>
        <v>4.5</v>
      </c>
      <c r="G2399" s="4" t="str">
        <f>HYPERLINK("http://141.218.60.56/~jnz1568/getInfo.php?workbook=18_15.xlsx&amp;sheet=U0&amp;row=2399&amp;col=7&amp;number=0.503&amp;sourceID=14","0.503")</f>
        <v>0.503</v>
      </c>
    </row>
    <row r="2400" spans="1:7">
      <c r="A2400" s="3"/>
      <c r="B2400" s="3"/>
      <c r="C2400" s="3"/>
      <c r="D2400" s="3"/>
      <c r="E2400" s="3">
        <v>17</v>
      </c>
      <c r="F2400" s="4" t="str">
        <f>HYPERLINK("http://141.218.60.56/~jnz1568/getInfo.php?workbook=18_15.xlsx&amp;sheet=U0&amp;row=2400&amp;col=6&amp;number=4.6&amp;sourceID=14","4.6")</f>
        <v>4.6</v>
      </c>
      <c r="G2400" s="4" t="str">
        <f>HYPERLINK("http://141.218.60.56/~jnz1568/getInfo.php?workbook=18_15.xlsx&amp;sheet=U0&amp;row=2400&amp;col=7&amp;number=0.472&amp;sourceID=14","0.472")</f>
        <v>0.472</v>
      </c>
    </row>
    <row r="2401" spans="1:7">
      <c r="A2401" s="3"/>
      <c r="B2401" s="3"/>
      <c r="C2401" s="3"/>
      <c r="D2401" s="3"/>
      <c r="E2401" s="3">
        <v>18</v>
      </c>
      <c r="F2401" s="4" t="str">
        <f>HYPERLINK("http://141.218.60.56/~jnz1568/getInfo.php?workbook=18_15.xlsx&amp;sheet=U0&amp;row=2401&amp;col=6&amp;number=4.7&amp;sourceID=14","4.7")</f>
        <v>4.7</v>
      </c>
      <c r="G2401" s="4" t="str">
        <f>HYPERLINK("http://141.218.60.56/~jnz1568/getInfo.php?workbook=18_15.xlsx&amp;sheet=U0&amp;row=2401&amp;col=7&amp;number=0.441&amp;sourceID=14","0.441")</f>
        <v>0.441</v>
      </c>
    </row>
    <row r="2402" spans="1:7">
      <c r="A2402" s="3"/>
      <c r="B2402" s="3"/>
      <c r="C2402" s="3"/>
      <c r="D2402" s="3"/>
      <c r="E2402" s="3">
        <v>19</v>
      </c>
      <c r="F2402" s="4" t="str">
        <f>HYPERLINK("http://141.218.60.56/~jnz1568/getInfo.php?workbook=18_15.xlsx&amp;sheet=U0&amp;row=2402&amp;col=6&amp;number=4.8&amp;sourceID=14","4.8")</f>
        <v>4.8</v>
      </c>
      <c r="G2402" s="4" t="str">
        <f>HYPERLINK("http://141.218.60.56/~jnz1568/getInfo.php?workbook=18_15.xlsx&amp;sheet=U0&amp;row=2402&amp;col=7&amp;number=0.415&amp;sourceID=14","0.415")</f>
        <v>0.415</v>
      </c>
    </row>
    <row r="2403" spans="1:7">
      <c r="A2403" s="3"/>
      <c r="B2403" s="3"/>
      <c r="C2403" s="3"/>
      <c r="D2403" s="3"/>
      <c r="E2403" s="3">
        <v>20</v>
      </c>
      <c r="F2403" s="4" t="str">
        <f>HYPERLINK("http://141.218.60.56/~jnz1568/getInfo.php?workbook=18_15.xlsx&amp;sheet=U0&amp;row=2403&amp;col=6&amp;number=4.9&amp;sourceID=14","4.9")</f>
        <v>4.9</v>
      </c>
      <c r="G2403" s="4" t="str">
        <f>HYPERLINK("http://141.218.60.56/~jnz1568/getInfo.php?workbook=18_15.xlsx&amp;sheet=U0&amp;row=2403&amp;col=7&amp;number=0.391&amp;sourceID=14","0.391")</f>
        <v>0.391</v>
      </c>
    </row>
    <row r="2404" spans="1:7">
      <c r="A2404" s="3">
        <v>18</v>
      </c>
      <c r="B2404" s="3">
        <v>15</v>
      </c>
      <c r="C2404" s="3">
        <v>5</v>
      </c>
      <c r="D2404" s="3">
        <v>17</v>
      </c>
      <c r="E2404" s="3">
        <v>1</v>
      </c>
      <c r="F2404" s="4" t="str">
        <f>HYPERLINK("http://141.218.60.56/~jnz1568/getInfo.php?workbook=18_15.xlsx&amp;sheet=U0&amp;row=2404&amp;col=6&amp;number=3&amp;sourceID=14","3")</f>
        <v>3</v>
      </c>
      <c r="G2404" s="4" t="str">
        <f>HYPERLINK("http://141.218.60.56/~jnz1568/getInfo.php?workbook=18_15.xlsx&amp;sheet=U0&amp;row=2404&amp;col=7&amp;number=0.883&amp;sourceID=14","0.883")</f>
        <v>0.883</v>
      </c>
    </row>
    <row r="2405" spans="1:7">
      <c r="A2405" s="3"/>
      <c r="B2405" s="3"/>
      <c r="C2405" s="3"/>
      <c r="D2405" s="3"/>
      <c r="E2405" s="3">
        <v>2</v>
      </c>
      <c r="F2405" s="4" t="str">
        <f>HYPERLINK("http://141.218.60.56/~jnz1568/getInfo.php?workbook=18_15.xlsx&amp;sheet=U0&amp;row=2405&amp;col=6&amp;number=3.1&amp;sourceID=14","3.1")</f>
        <v>3.1</v>
      </c>
      <c r="G2405" s="4" t="str">
        <f>HYPERLINK("http://141.218.60.56/~jnz1568/getInfo.php?workbook=18_15.xlsx&amp;sheet=U0&amp;row=2405&amp;col=7&amp;number=0.889&amp;sourceID=14","0.889")</f>
        <v>0.889</v>
      </c>
    </row>
    <row r="2406" spans="1:7">
      <c r="A2406" s="3"/>
      <c r="B2406" s="3"/>
      <c r="C2406" s="3"/>
      <c r="D2406" s="3"/>
      <c r="E2406" s="3">
        <v>3</v>
      </c>
      <c r="F2406" s="4" t="str">
        <f>HYPERLINK("http://141.218.60.56/~jnz1568/getInfo.php?workbook=18_15.xlsx&amp;sheet=U0&amp;row=2406&amp;col=6&amp;number=3.2&amp;sourceID=14","3.2")</f>
        <v>3.2</v>
      </c>
      <c r="G2406" s="4" t="str">
        <f>HYPERLINK("http://141.218.60.56/~jnz1568/getInfo.php?workbook=18_15.xlsx&amp;sheet=U0&amp;row=2406&amp;col=7&amp;number=0.895&amp;sourceID=14","0.895")</f>
        <v>0.895</v>
      </c>
    </row>
    <row r="2407" spans="1:7">
      <c r="A2407" s="3"/>
      <c r="B2407" s="3"/>
      <c r="C2407" s="3"/>
      <c r="D2407" s="3"/>
      <c r="E2407" s="3">
        <v>4</v>
      </c>
      <c r="F2407" s="4" t="str">
        <f>HYPERLINK("http://141.218.60.56/~jnz1568/getInfo.php?workbook=18_15.xlsx&amp;sheet=U0&amp;row=2407&amp;col=6&amp;number=3.3&amp;sourceID=14","3.3")</f>
        <v>3.3</v>
      </c>
      <c r="G2407" s="4" t="str">
        <f>HYPERLINK("http://141.218.60.56/~jnz1568/getInfo.php?workbook=18_15.xlsx&amp;sheet=U0&amp;row=2407&amp;col=7&amp;number=0.904&amp;sourceID=14","0.904")</f>
        <v>0.904</v>
      </c>
    </row>
    <row r="2408" spans="1:7">
      <c r="A2408" s="3"/>
      <c r="B2408" s="3"/>
      <c r="C2408" s="3"/>
      <c r="D2408" s="3"/>
      <c r="E2408" s="3">
        <v>5</v>
      </c>
      <c r="F2408" s="4" t="str">
        <f>HYPERLINK("http://141.218.60.56/~jnz1568/getInfo.php?workbook=18_15.xlsx&amp;sheet=U0&amp;row=2408&amp;col=6&amp;number=3.4&amp;sourceID=14","3.4")</f>
        <v>3.4</v>
      </c>
      <c r="G2408" s="4" t="str">
        <f>HYPERLINK("http://141.218.60.56/~jnz1568/getInfo.php?workbook=18_15.xlsx&amp;sheet=U0&amp;row=2408&amp;col=7&amp;number=0.913&amp;sourceID=14","0.913")</f>
        <v>0.913</v>
      </c>
    </row>
    <row r="2409" spans="1:7">
      <c r="A2409" s="3"/>
      <c r="B2409" s="3"/>
      <c r="C2409" s="3"/>
      <c r="D2409" s="3"/>
      <c r="E2409" s="3">
        <v>6</v>
      </c>
      <c r="F2409" s="4" t="str">
        <f>HYPERLINK("http://141.218.60.56/~jnz1568/getInfo.php?workbook=18_15.xlsx&amp;sheet=U0&amp;row=2409&amp;col=6&amp;number=3.5&amp;sourceID=14","3.5")</f>
        <v>3.5</v>
      </c>
      <c r="G2409" s="4" t="str">
        <f>HYPERLINK("http://141.218.60.56/~jnz1568/getInfo.php?workbook=18_15.xlsx&amp;sheet=U0&amp;row=2409&amp;col=7&amp;number=0.924&amp;sourceID=14","0.924")</f>
        <v>0.924</v>
      </c>
    </row>
    <row r="2410" spans="1:7">
      <c r="A2410" s="3"/>
      <c r="B2410" s="3"/>
      <c r="C2410" s="3"/>
      <c r="D2410" s="3"/>
      <c r="E2410" s="3">
        <v>7</v>
      </c>
      <c r="F2410" s="4" t="str">
        <f>HYPERLINK("http://141.218.60.56/~jnz1568/getInfo.php?workbook=18_15.xlsx&amp;sheet=U0&amp;row=2410&amp;col=6&amp;number=3.6&amp;sourceID=14","3.6")</f>
        <v>3.6</v>
      </c>
      <c r="G2410" s="4" t="str">
        <f>HYPERLINK("http://141.218.60.56/~jnz1568/getInfo.php?workbook=18_15.xlsx&amp;sheet=U0&amp;row=2410&amp;col=7&amp;number=0.936&amp;sourceID=14","0.936")</f>
        <v>0.936</v>
      </c>
    </row>
    <row r="2411" spans="1:7">
      <c r="A2411" s="3"/>
      <c r="B2411" s="3"/>
      <c r="C2411" s="3"/>
      <c r="D2411" s="3"/>
      <c r="E2411" s="3">
        <v>8</v>
      </c>
      <c r="F2411" s="4" t="str">
        <f>HYPERLINK("http://141.218.60.56/~jnz1568/getInfo.php?workbook=18_15.xlsx&amp;sheet=U0&amp;row=2411&amp;col=6&amp;number=3.7&amp;sourceID=14","3.7")</f>
        <v>3.7</v>
      </c>
      <c r="G2411" s="4" t="str">
        <f>HYPERLINK("http://141.218.60.56/~jnz1568/getInfo.php?workbook=18_15.xlsx&amp;sheet=U0&amp;row=2411&amp;col=7&amp;number=0.947&amp;sourceID=14","0.947")</f>
        <v>0.947</v>
      </c>
    </row>
    <row r="2412" spans="1:7">
      <c r="A2412" s="3"/>
      <c r="B2412" s="3"/>
      <c r="C2412" s="3"/>
      <c r="D2412" s="3"/>
      <c r="E2412" s="3">
        <v>9</v>
      </c>
      <c r="F2412" s="4" t="str">
        <f>HYPERLINK("http://141.218.60.56/~jnz1568/getInfo.php?workbook=18_15.xlsx&amp;sheet=U0&amp;row=2412&amp;col=6&amp;number=3.8&amp;sourceID=14","3.8")</f>
        <v>3.8</v>
      </c>
      <c r="G2412" s="4" t="str">
        <f>HYPERLINK("http://141.218.60.56/~jnz1568/getInfo.php?workbook=18_15.xlsx&amp;sheet=U0&amp;row=2412&amp;col=7&amp;number=0.955&amp;sourceID=14","0.955")</f>
        <v>0.955</v>
      </c>
    </row>
    <row r="2413" spans="1:7">
      <c r="A2413" s="3"/>
      <c r="B2413" s="3"/>
      <c r="C2413" s="3"/>
      <c r="D2413" s="3"/>
      <c r="E2413" s="3">
        <v>10</v>
      </c>
      <c r="F2413" s="4" t="str">
        <f>HYPERLINK("http://141.218.60.56/~jnz1568/getInfo.php?workbook=18_15.xlsx&amp;sheet=U0&amp;row=2413&amp;col=6&amp;number=3.9&amp;sourceID=14","3.9")</f>
        <v>3.9</v>
      </c>
      <c r="G2413" s="4" t="str">
        <f>HYPERLINK("http://141.218.60.56/~jnz1568/getInfo.php?workbook=18_15.xlsx&amp;sheet=U0&amp;row=2413&amp;col=7&amp;number=0.955&amp;sourceID=14","0.955")</f>
        <v>0.955</v>
      </c>
    </row>
    <row r="2414" spans="1:7">
      <c r="A2414" s="3"/>
      <c r="B2414" s="3"/>
      <c r="C2414" s="3"/>
      <c r="D2414" s="3"/>
      <c r="E2414" s="3">
        <v>11</v>
      </c>
      <c r="F2414" s="4" t="str">
        <f>HYPERLINK("http://141.218.60.56/~jnz1568/getInfo.php?workbook=18_15.xlsx&amp;sheet=U0&amp;row=2414&amp;col=6&amp;number=4&amp;sourceID=14","4")</f>
        <v>4</v>
      </c>
      <c r="G2414" s="4" t="str">
        <f>HYPERLINK("http://141.218.60.56/~jnz1568/getInfo.php?workbook=18_15.xlsx&amp;sheet=U0&amp;row=2414&amp;col=7&amp;number=0.941&amp;sourceID=14","0.941")</f>
        <v>0.941</v>
      </c>
    </row>
    <row r="2415" spans="1:7">
      <c r="A2415" s="3"/>
      <c r="B2415" s="3"/>
      <c r="C2415" s="3"/>
      <c r="D2415" s="3"/>
      <c r="E2415" s="3">
        <v>12</v>
      </c>
      <c r="F2415" s="4" t="str">
        <f>HYPERLINK("http://141.218.60.56/~jnz1568/getInfo.php?workbook=18_15.xlsx&amp;sheet=U0&amp;row=2415&amp;col=6&amp;number=4.1&amp;sourceID=14","4.1")</f>
        <v>4.1</v>
      </c>
      <c r="G2415" s="4" t="str">
        <f>HYPERLINK("http://141.218.60.56/~jnz1568/getInfo.php?workbook=18_15.xlsx&amp;sheet=U0&amp;row=2415&amp;col=7&amp;number=0.91&amp;sourceID=14","0.91")</f>
        <v>0.91</v>
      </c>
    </row>
    <row r="2416" spans="1:7">
      <c r="A2416" s="3"/>
      <c r="B2416" s="3"/>
      <c r="C2416" s="3"/>
      <c r="D2416" s="3"/>
      <c r="E2416" s="3">
        <v>13</v>
      </c>
      <c r="F2416" s="4" t="str">
        <f>HYPERLINK("http://141.218.60.56/~jnz1568/getInfo.php?workbook=18_15.xlsx&amp;sheet=U0&amp;row=2416&amp;col=6&amp;number=4.2&amp;sourceID=14","4.2")</f>
        <v>4.2</v>
      </c>
      <c r="G2416" s="4" t="str">
        <f>HYPERLINK("http://141.218.60.56/~jnz1568/getInfo.php?workbook=18_15.xlsx&amp;sheet=U0&amp;row=2416&amp;col=7&amp;number=0.867&amp;sourceID=14","0.867")</f>
        <v>0.867</v>
      </c>
    </row>
    <row r="2417" spans="1:7">
      <c r="A2417" s="3"/>
      <c r="B2417" s="3"/>
      <c r="C2417" s="3"/>
      <c r="D2417" s="3"/>
      <c r="E2417" s="3">
        <v>14</v>
      </c>
      <c r="F2417" s="4" t="str">
        <f>HYPERLINK("http://141.218.60.56/~jnz1568/getInfo.php?workbook=18_15.xlsx&amp;sheet=U0&amp;row=2417&amp;col=6&amp;number=4.3&amp;sourceID=14","4.3")</f>
        <v>4.3</v>
      </c>
      <c r="G2417" s="4" t="str">
        <f>HYPERLINK("http://141.218.60.56/~jnz1568/getInfo.php?workbook=18_15.xlsx&amp;sheet=U0&amp;row=2417&amp;col=7&amp;number=0.824&amp;sourceID=14","0.824")</f>
        <v>0.824</v>
      </c>
    </row>
    <row r="2418" spans="1:7">
      <c r="A2418" s="3"/>
      <c r="B2418" s="3"/>
      <c r="C2418" s="3"/>
      <c r="D2418" s="3"/>
      <c r="E2418" s="3">
        <v>15</v>
      </c>
      <c r="F2418" s="4" t="str">
        <f>HYPERLINK("http://141.218.60.56/~jnz1568/getInfo.php?workbook=18_15.xlsx&amp;sheet=U0&amp;row=2418&amp;col=6&amp;number=4.4&amp;sourceID=14","4.4")</f>
        <v>4.4</v>
      </c>
      <c r="G2418" s="4" t="str">
        <f>HYPERLINK("http://141.218.60.56/~jnz1568/getInfo.php?workbook=18_15.xlsx&amp;sheet=U0&amp;row=2418&amp;col=7&amp;number=0.787&amp;sourceID=14","0.787")</f>
        <v>0.787</v>
      </c>
    </row>
    <row r="2419" spans="1:7">
      <c r="A2419" s="3"/>
      <c r="B2419" s="3"/>
      <c r="C2419" s="3"/>
      <c r="D2419" s="3"/>
      <c r="E2419" s="3">
        <v>16</v>
      </c>
      <c r="F2419" s="4" t="str">
        <f>HYPERLINK("http://141.218.60.56/~jnz1568/getInfo.php?workbook=18_15.xlsx&amp;sheet=U0&amp;row=2419&amp;col=6&amp;number=4.5&amp;sourceID=14","4.5")</f>
        <v>4.5</v>
      </c>
      <c r="G2419" s="4" t="str">
        <f>HYPERLINK("http://141.218.60.56/~jnz1568/getInfo.php?workbook=18_15.xlsx&amp;sheet=U0&amp;row=2419&amp;col=7&amp;number=0.75&amp;sourceID=14","0.75")</f>
        <v>0.75</v>
      </c>
    </row>
    <row r="2420" spans="1:7">
      <c r="A2420" s="3"/>
      <c r="B2420" s="3"/>
      <c r="C2420" s="3"/>
      <c r="D2420" s="3"/>
      <c r="E2420" s="3">
        <v>17</v>
      </c>
      <c r="F2420" s="4" t="str">
        <f>HYPERLINK("http://141.218.60.56/~jnz1568/getInfo.php?workbook=18_15.xlsx&amp;sheet=U0&amp;row=2420&amp;col=6&amp;number=4.6&amp;sourceID=14","4.6")</f>
        <v>4.6</v>
      </c>
      <c r="G2420" s="4" t="str">
        <f>HYPERLINK("http://141.218.60.56/~jnz1568/getInfo.php?workbook=18_15.xlsx&amp;sheet=U0&amp;row=2420&amp;col=7&amp;number=0.705&amp;sourceID=14","0.705")</f>
        <v>0.705</v>
      </c>
    </row>
    <row r="2421" spans="1:7">
      <c r="A2421" s="3"/>
      <c r="B2421" s="3"/>
      <c r="C2421" s="3"/>
      <c r="D2421" s="3"/>
      <c r="E2421" s="3">
        <v>18</v>
      </c>
      <c r="F2421" s="4" t="str">
        <f>HYPERLINK("http://141.218.60.56/~jnz1568/getInfo.php?workbook=18_15.xlsx&amp;sheet=U0&amp;row=2421&amp;col=6&amp;number=4.7&amp;sourceID=14","4.7")</f>
        <v>4.7</v>
      </c>
      <c r="G2421" s="4" t="str">
        <f>HYPERLINK("http://141.218.60.56/~jnz1568/getInfo.php?workbook=18_15.xlsx&amp;sheet=U0&amp;row=2421&amp;col=7&amp;number=0.658&amp;sourceID=14","0.658")</f>
        <v>0.658</v>
      </c>
    </row>
    <row r="2422" spans="1:7">
      <c r="A2422" s="3"/>
      <c r="B2422" s="3"/>
      <c r="C2422" s="3"/>
      <c r="D2422" s="3"/>
      <c r="E2422" s="3">
        <v>19</v>
      </c>
      <c r="F2422" s="4" t="str">
        <f>HYPERLINK("http://141.218.60.56/~jnz1568/getInfo.php?workbook=18_15.xlsx&amp;sheet=U0&amp;row=2422&amp;col=6&amp;number=4.8&amp;sourceID=14","4.8")</f>
        <v>4.8</v>
      </c>
      <c r="G2422" s="4" t="str">
        <f>HYPERLINK("http://141.218.60.56/~jnz1568/getInfo.php?workbook=18_15.xlsx&amp;sheet=U0&amp;row=2422&amp;col=7&amp;number=0.619&amp;sourceID=14","0.619")</f>
        <v>0.619</v>
      </c>
    </row>
    <row r="2423" spans="1:7">
      <c r="A2423" s="3"/>
      <c r="B2423" s="3"/>
      <c r="C2423" s="3"/>
      <c r="D2423" s="3"/>
      <c r="E2423" s="3">
        <v>20</v>
      </c>
      <c r="F2423" s="4" t="str">
        <f>HYPERLINK("http://141.218.60.56/~jnz1568/getInfo.php?workbook=18_15.xlsx&amp;sheet=U0&amp;row=2423&amp;col=6&amp;number=4.9&amp;sourceID=14","4.9")</f>
        <v>4.9</v>
      </c>
      <c r="G2423" s="4" t="str">
        <f>HYPERLINK("http://141.218.60.56/~jnz1568/getInfo.php?workbook=18_15.xlsx&amp;sheet=U0&amp;row=2423&amp;col=7&amp;number=0.584&amp;sourceID=14","0.584")</f>
        <v>0.584</v>
      </c>
    </row>
    <row r="2424" spans="1:7">
      <c r="A2424" s="3">
        <v>18</v>
      </c>
      <c r="B2424" s="3">
        <v>15</v>
      </c>
      <c r="C2424" s="3">
        <v>5</v>
      </c>
      <c r="D2424" s="3">
        <v>18</v>
      </c>
      <c r="E2424" s="3">
        <v>1</v>
      </c>
      <c r="F2424" s="4" t="str">
        <f>HYPERLINK("http://141.218.60.56/~jnz1568/getInfo.php?workbook=18_15.xlsx&amp;sheet=U0&amp;row=2424&amp;col=6&amp;number=3&amp;sourceID=14","3")</f>
        <v>3</v>
      </c>
      <c r="G2424" s="4" t="str">
        <f>HYPERLINK("http://141.218.60.56/~jnz1568/getInfo.php?workbook=18_15.xlsx&amp;sheet=U0&amp;row=2424&amp;col=7&amp;number=0.137&amp;sourceID=14","0.137")</f>
        <v>0.137</v>
      </c>
    </row>
    <row r="2425" spans="1:7">
      <c r="A2425" s="3"/>
      <c r="B2425" s="3"/>
      <c r="C2425" s="3"/>
      <c r="D2425" s="3"/>
      <c r="E2425" s="3">
        <v>2</v>
      </c>
      <c r="F2425" s="4" t="str">
        <f>HYPERLINK("http://141.218.60.56/~jnz1568/getInfo.php?workbook=18_15.xlsx&amp;sheet=U0&amp;row=2425&amp;col=6&amp;number=3.1&amp;sourceID=14","3.1")</f>
        <v>3.1</v>
      </c>
      <c r="G2425" s="4" t="str">
        <f>HYPERLINK("http://141.218.60.56/~jnz1568/getInfo.php?workbook=18_15.xlsx&amp;sheet=U0&amp;row=2425&amp;col=7&amp;number=0.139&amp;sourceID=14","0.139")</f>
        <v>0.139</v>
      </c>
    </row>
    <row r="2426" spans="1:7">
      <c r="A2426" s="3"/>
      <c r="B2426" s="3"/>
      <c r="C2426" s="3"/>
      <c r="D2426" s="3"/>
      <c r="E2426" s="3">
        <v>3</v>
      </c>
      <c r="F2426" s="4" t="str">
        <f>HYPERLINK("http://141.218.60.56/~jnz1568/getInfo.php?workbook=18_15.xlsx&amp;sheet=U0&amp;row=2426&amp;col=6&amp;number=3.2&amp;sourceID=14","3.2")</f>
        <v>3.2</v>
      </c>
      <c r="G2426" s="4" t="str">
        <f>HYPERLINK("http://141.218.60.56/~jnz1568/getInfo.php?workbook=18_15.xlsx&amp;sheet=U0&amp;row=2426&amp;col=7&amp;number=0.142&amp;sourceID=14","0.142")</f>
        <v>0.142</v>
      </c>
    </row>
    <row r="2427" spans="1:7">
      <c r="A2427" s="3"/>
      <c r="B2427" s="3"/>
      <c r="C2427" s="3"/>
      <c r="D2427" s="3"/>
      <c r="E2427" s="3">
        <v>4</v>
      </c>
      <c r="F2427" s="4" t="str">
        <f>HYPERLINK("http://141.218.60.56/~jnz1568/getInfo.php?workbook=18_15.xlsx&amp;sheet=U0&amp;row=2427&amp;col=6&amp;number=3.3&amp;sourceID=14","3.3")</f>
        <v>3.3</v>
      </c>
      <c r="G2427" s="4" t="str">
        <f>HYPERLINK("http://141.218.60.56/~jnz1568/getInfo.php?workbook=18_15.xlsx&amp;sheet=U0&amp;row=2427&amp;col=7&amp;number=0.144&amp;sourceID=14","0.144")</f>
        <v>0.144</v>
      </c>
    </row>
    <row r="2428" spans="1:7">
      <c r="A2428" s="3"/>
      <c r="B2428" s="3"/>
      <c r="C2428" s="3"/>
      <c r="D2428" s="3"/>
      <c r="E2428" s="3">
        <v>5</v>
      </c>
      <c r="F2428" s="4" t="str">
        <f>HYPERLINK("http://141.218.60.56/~jnz1568/getInfo.php?workbook=18_15.xlsx&amp;sheet=U0&amp;row=2428&amp;col=6&amp;number=3.4&amp;sourceID=14","3.4")</f>
        <v>3.4</v>
      </c>
      <c r="G2428" s="4" t="str">
        <f>HYPERLINK("http://141.218.60.56/~jnz1568/getInfo.php?workbook=18_15.xlsx&amp;sheet=U0&amp;row=2428&amp;col=7&amp;number=0.148&amp;sourceID=14","0.148")</f>
        <v>0.148</v>
      </c>
    </row>
    <row r="2429" spans="1:7">
      <c r="A2429" s="3"/>
      <c r="B2429" s="3"/>
      <c r="C2429" s="3"/>
      <c r="D2429" s="3"/>
      <c r="E2429" s="3">
        <v>6</v>
      </c>
      <c r="F2429" s="4" t="str">
        <f>HYPERLINK("http://141.218.60.56/~jnz1568/getInfo.php?workbook=18_15.xlsx&amp;sheet=U0&amp;row=2429&amp;col=6&amp;number=3.5&amp;sourceID=14","3.5")</f>
        <v>3.5</v>
      </c>
      <c r="G2429" s="4" t="str">
        <f>HYPERLINK("http://141.218.60.56/~jnz1568/getInfo.php?workbook=18_15.xlsx&amp;sheet=U0&amp;row=2429&amp;col=7&amp;number=0.152&amp;sourceID=14","0.152")</f>
        <v>0.152</v>
      </c>
    </row>
    <row r="2430" spans="1:7">
      <c r="A2430" s="3"/>
      <c r="B2430" s="3"/>
      <c r="C2430" s="3"/>
      <c r="D2430" s="3"/>
      <c r="E2430" s="3">
        <v>7</v>
      </c>
      <c r="F2430" s="4" t="str">
        <f>HYPERLINK("http://141.218.60.56/~jnz1568/getInfo.php?workbook=18_15.xlsx&amp;sheet=U0&amp;row=2430&amp;col=6&amp;number=3.6&amp;sourceID=14","3.6")</f>
        <v>3.6</v>
      </c>
      <c r="G2430" s="4" t="str">
        <f>HYPERLINK("http://141.218.60.56/~jnz1568/getInfo.php?workbook=18_15.xlsx&amp;sheet=U0&amp;row=2430&amp;col=7&amp;number=0.156&amp;sourceID=14","0.156")</f>
        <v>0.156</v>
      </c>
    </row>
    <row r="2431" spans="1:7">
      <c r="A2431" s="3"/>
      <c r="B2431" s="3"/>
      <c r="C2431" s="3"/>
      <c r="D2431" s="3"/>
      <c r="E2431" s="3">
        <v>8</v>
      </c>
      <c r="F2431" s="4" t="str">
        <f>HYPERLINK("http://141.218.60.56/~jnz1568/getInfo.php?workbook=18_15.xlsx&amp;sheet=U0&amp;row=2431&amp;col=6&amp;number=3.7&amp;sourceID=14","3.7")</f>
        <v>3.7</v>
      </c>
      <c r="G2431" s="4" t="str">
        <f>HYPERLINK("http://141.218.60.56/~jnz1568/getInfo.php?workbook=18_15.xlsx&amp;sheet=U0&amp;row=2431&amp;col=7&amp;number=0.16&amp;sourceID=14","0.16")</f>
        <v>0.16</v>
      </c>
    </row>
    <row r="2432" spans="1:7">
      <c r="A2432" s="3"/>
      <c r="B2432" s="3"/>
      <c r="C2432" s="3"/>
      <c r="D2432" s="3"/>
      <c r="E2432" s="3">
        <v>9</v>
      </c>
      <c r="F2432" s="4" t="str">
        <f>HYPERLINK("http://141.218.60.56/~jnz1568/getInfo.php?workbook=18_15.xlsx&amp;sheet=U0&amp;row=2432&amp;col=6&amp;number=3.8&amp;sourceID=14","3.8")</f>
        <v>3.8</v>
      </c>
      <c r="G2432" s="4" t="str">
        <f>HYPERLINK("http://141.218.60.56/~jnz1568/getInfo.php?workbook=18_15.xlsx&amp;sheet=U0&amp;row=2432&amp;col=7&amp;number=0.162&amp;sourceID=14","0.162")</f>
        <v>0.162</v>
      </c>
    </row>
    <row r="2433" spans="1:7">
      <c r="A2433" s="3"/>
      <c r="B2433" s="3"/>
      <c r="C2433" s="3"/>
      <c r="D2433" s="3"/>
      <c r="E2433" s="3">
        <v>10</v>
      </c>
      <c r="F2433" s="4" t="str">
        <f>HYPERLINK("http://141.218.60.56/~jnz1568/getInfo.php?workbook=18_15.xlsx&amp;sheet=U0&amp;row=2433&amp;col=6&amp;number=3.9&amp;sourceID=14","3.9")</f>
        <v>3.9</v>
      </c>
      <c r="G2433" s="4" t="str">
        <f>HYPERLINK("http://141.218.60.56/~jnz1568/getInfo.php?workbook=18_15.xlsx&amp;sheet=U0&amp;row=2433&amp;col=7&amp;number=0.163&amp;sourceID=14","0.163")</f>
        <v>0.163</v>
      </c>
    </row>
    <row r="2434" spans="1:7">
      <c r="A2434" s="3"/>
      <c r="B2434" s="3"/>
      <c r="C2434" s="3"/>
      <c r="D2434" s="3"/>
      <c r="E2434" s="3">
        <v>11</v>
      </c>
      <c r="F2434" s="4" t="str">
        <f>HYPERLINK("http://141.218.60.56/~jnz1568/getInfo.php?workbook=18_15.xlsx&amp;sheet=U0&amp;row=2434&amp;col=6&amp;number=4&amp;sourceID=14","4")</f>
        <v>4</v>
      </c>
      <c r="G2434" s="4" t="str">
        <f>HYPERLINK("http://141.218.60.56/~jnz1568/getInfo.php?workbook=18_15.xlsx&amp;sheet=U0&amp;row=2434&amp;col=7&amp;number=0.16&amp;sourceID=14","0.16")</f>
        <v>0.16</v>
      </c>
    </row>
    <row r="2435" spans="1:7">
      <c r="A2435" s="3"/>
      <c r="B2435" s="3"/>
      <c r="C2435" s="3"/>
      <c r="D2435" s="3"/>
      <c r="E2435" s="3">
        <v>12</v>
      </c>
      <c r="F2435" s="4" t="str">
        <f>HYPERLINK("http://141.218.60.56/~jnz1568/getInfo.php?workbook=18_15.xlsx&amp;sheet=U0&amp;row=2435&amp;col=6&amp;number=4.1&amp;sourceID=14","4.1")</f>
        <v>4.1</v>
      </c>
      <c r="G2435" s="4" t="str">
        <f>HYPERLINK("http://141.218.60.56/~jnz1568/getInfo.php?workbook=18_15.xlsx&amp;sheet=U0&amp;row=2435&amp;col=7&amp;number=0.154&amp;sourceID=14","0.154")</f>
        <v>0.154</v>
      </c>
    </row>
    <row r="2436" spans="1:7">
      <c r="A2436" s="3"/>
      <c r="B2436" s="3"/>
      <c r="C2436" s="3"/>
      <c r="D2436" s="3"/>
      <c r="E2436" s="3">
        <v>13</v>
      </c>
      <c r="F2436" s="4" t="str">
        <f>HYPERLINK("http://141.218.60.56/~jnz1568/getInfo.php?workbook=18_15.xlsx&amp;sheet=U0&amp;row=2436&amp;col=6&amp;number=4.2&amp;sourceID=14","4.2")</f>
        <v>4.2</v>
      </c>
      <c r="G2436" s="4" t="str">
        <f>HYPERLINK("http://141.218.60.56/~jnz1568/getInfo.php?workbook=18_15.xlsx&amp;sheet=U0&amp;row=2436&amp;col=7&amp;number=0.147&amp;sourceID=14","0.147")</f>
        <v>0.147</v>
      </c>
    </row>
    <row r="2437" spans="1:7">
      <c r="A2437" s="3"/>
      <c r="B2437" s="3"/>
      <c r="C2437" s="3"/>
      <c r="D2437" s="3"/>
      <c r="E2437" s="3">
        <v>14</v>
      </c>
      <c r="F2437" s="4" t="str">
        <f>HYPERLINK("http://141.218.60.56/~jnz1568/getInfo.php?workbook=18_15.xlsx&amp;sheet=U0&amp;row=2437&amp;col=6&amp;number=4.3&amp;sourceID=14","4.3")</f>
        <v>4.3</v>
      </c>
      <c r="G2437" s="4" t="str">
        <f>HYPERLINK("http://141.218.60.56/~jnz1568/getInfo.php?workbook=18_15.xlsx&amp;sheet=U0&amp;row=2437&amp;col=7&amp;number=0.141&amp;sourceID=14","0.141")</f>
        <v>0.141</v>
      </c>
    </row>
    <row r="2438" spans="1:7">
      <c r="A2438" s="3"/>
      <c r="B2438" s="3"/>
      <c r="C2438" s="3"/>
      <c r="D2438" s="3"/>
      <c r="E2438" s="3">
        <v>15</v>
      </c>
      <c r="F2438" s="4" t="str">
        <f>HYPERLINK("http://141.218.60.56/~jnz1568/getInfo.php?workbook=18_15.xlsx&amp;sheet=U0&amp;row=2438&amp;col=6&amp;number=4.4&amp;sourceID=14","4.4")</f>
        <v>4.4</v>
      </c>
      <c r="G2438" s="4" t="str">
        <f>HYPERLINK("http://141.218.60.56/~jnz1568/getInfo.php?workbook=18_15.xlsx&amp;sheet=U0&amp;row=2438&amp;col=7&amp;number=0.135&amp;sourceID=14","0.135")</f>
        <v>0.135</v>
      </c>
    </row>
    <row r="2439" spans="1:7">
      <c r="A2439" s="3"/>
      <c r="B2439" s="3"/>
      <c r="C2439" s="3"/>
      <c r="D2439" s="3"/>
      <c r="E2439" s="3">
        <v>16</v>
      </c>
      <c r="F2439" s="4" t="str">
        <f>HYPERLINK("http://141.218.60.56/~jnz1568/getInfo.php?workbook=18_15.xlsx&amp;sheet=U0&amp;row=2439&amp;col=6&amp;number=4.5&amp;sourceID=14","4.5")</f>
        <v>4.5</v>
      </c>
      <c r="G2439" s="4" t="str">
        <f>HYPERLINK("http://141.218.60.56/~jnz1568/getInfo.php?workbook=18_15.xlsx&amp;sheet=U0&amp;row=2439&amp;col=7&amp;number=0.128&amp;sourceID=14","0.128")</f>
        <v>0.128</v>
      </c>
    </row>
    <row r="2440" spans="1:7">
      <c r="A2440" s="3"/>
      <c r="B2440" s="3"/>
      <c r="C2440" s="3"/>
      <c r="D2440" s="3"/>
      <c r="E2440" s="3">
        <v>17</v>
      </c>
      <c r="F2440" s="4" t="str">
        <f>HYPERLINK("http://141.218.60.56/~jnz1568/getInfo.php?workbook=18_15.xlsx&amp;sheet=U0&amp;row=2440&amp;col=6&amp;number=4.6&amp;sourceID=14","4.6")</f>
        <v>4.6</v>
      </c>
      <c r="G2440" s="4" t="str">
        <f>HYPERLINK("http://141.218.60.56/~jnz1568/getInfo.php?workbook=18_15.xlsx&amp;sheet=U0&amp;row=2440&amp;col=7&amp;number=0.122&amp;sourceID=14","0.122")</f>
        <v>0.122</v>
      </c>
    </row>
    <row r="2441" spans="1:7">
      <c r="A2441" s="3"/>
      <c r="B2441" s="3"/>
      <c r="C2441" s="3"/>
      <c r="D2441" s="3"/>
      <c r="E2441" s="3">
        <v>18</v>
      </c>
      <c r="F2441" s="4" t="str">
        <f>HYPERLINK("http://141.218.60.56/~jnz1568/getInfo.php?workbook=18_15.xlsx&amp;sheet=U0&amp;row=2441&amp;col=6&amp;number=4.7&amp;sourceID=14","4.7")</f>
        <v>4.7</v>
      </c>
      <c r="G2441" s="4" t="str">
        <f>HYPERLINK("http://141.218.60.56/~jnz1568/getInfo.php?workbook=18_15.xlsx&amp;sheet=U0&amp;row=2441&amp;col=7&amp;number=0.118&amp;sourceID=14","0.118")</f>
        <v>0.118</v>
      </c>
    </row>
    <row r="2442" spans="1:7">
      <c r="A2442" s="3"/>
      <c r="B2442" s="3"/>
      <c r="C2442" s="3"/>
      <c r="D2442" s="3"/>
      <c r="E2442" s="3">
        <v>19</v>
      </c>
      <c r="F2442" s="4" t="str">
        <f>HYPERLINK("http://141.218.60.56/~jnz1568/getInfo.php?workbook=18_15.xlsx&amp;sheet=U0&amp;row=2442&amp;col=6&amp;number=4.8&amp;sourceID=14","4.8")</f>
        <v>4.8</v>
      </c>
      <c r="G2442" s="4" t="str">
        <f>HYPERLINK("http://141.218.60.56/~jnz1568/getInfo.php?workbook=18_15.xlsx&amp;sheet=U0&amp;row=2442&amp;col=7&amp;number=0.114&amp;sourceID=14","0.114")</f>
        <v>0.114</v>
      </c>
    </row>
    <row r="2443" spans="1:7">
      <c r="A2443" s="3"/>
      <c r="B2443" s="3"/>
      <c r="C2443" s="3"/>
      <c r="D2443" s="3"/>
      <c r="E2443" s="3">
        <v>20</v>
      </c>
      <c r="F2443" s="4" t="str">
        <f>HYPERLINK("http://141.218.60.56/~jnz1568/getInfo.php?workbook=18_15.xlsx&amp;sheet=U0&amp;row=2443&amp;col=6&amp;number=4.9&amp;sourceID=14","4.9")</f>
        <v>4.9</v>
      </c>
      <c r="G2443" s="4" t="str">
        <f>HYPERLINK("http://141.218.60.56/~jnz1568/getInfo.php?workbook=18_15.xlsx&amp;sheet=U0&amp;row=2443&amp;col=7&amp;number=0.11&amp;sourceID=14","0.11")</f>
        <v>0.11</v>
      </c>
    </row>
    <row r="2444" spans="1:7">
      <c r="A2444" s="3">
        <v>18</v>
      </c>
      <c r="B2444" s="3">
        <v>15</v>
      </c>
      <c r="C2444" s="3">
        <v>5</v>
      </c>
      <c r="D2444" s="3">
        <v>19</v>
      </c>
      <c r="E2444" s="3">
        <v>1</v>
      </c>
      <c r="F2444" s="4" t="str">
        <f>HYPERLINK("http://141.218.60.56/~jnz1568/getInfo.php?workbook=18_15.xlsx&amp;sheet=U0&amp;row=2444&amp;col=6&amp;number=3&amp;sourceID=14","3")</f>
        <v>3</v>
      </c>
      <c r="G2444" s="4" t="str">
        <f>HYPERLINK("http://141.218.60.56/~jnz1568/getInfo.php?workbook=18_15.xlsx&amp;sheet=U0&amp;row=2444&amp;col=7&amp;number=0.332&amp;sourceID=14","0.332")</f>
        <v>0.332</v>
      </c>
    </row>
    <row r="2445" spans="1:7">
      <c r="A2445" s="3"/>
      <c r="B2445" s="3"/>
      <c r="C2445" s="3"/>
      <c r="D2445" s="3"/>
      <c r="E2445" s="3">
        <v>2</v>
      </c>
      <c r="F2445" s="4" t="str">
        <f>HYPERLINK("http://141.218.60.56/~jnz1568/getInfo.php?workbook=18_15.xlsx&amp;sheet=U0&amp;row=2445&amp;col=6&amp;number=3.1&amp;sourceID=14","3.1")</f>
        <v>3.1</v>
      </c>
      <c r="G2445" s="4" t="str">
        <f>HYPERLINK("http://141.218.60.56/~jnz1568/getInfo.php?workbook=18_15.xlsx&amp;sheet=U0&amp;row=2445&amp;col=7&amp;number=0.334&amp;sourceID=14","0.334")</f>
        <v>0.334</v>
      </c>
    </row>
    <row r="2446" spans="1:7">
      <c r="A2446" s="3"/>
      <c r="B2446" s="3"/>
      <c r="C2446" s="3"/>
      <c r="D2446" s="3"/>
      <c r="E2446" s="3">
        <v>3</v>
      </c>
      <c r="F2446" s="4" t="str">
        <f>HYPERLINK("http://141.218.60.56/~jnz1568/getInfo.php?workbook=18_15.xlsx&amp;sheet=U0&amp;row=2446&amp;col=6&amp;number=3.2&amp;sourceID=14","3.2")</f>
        <v>3.2</v>
      </c>
      <c r="G2446" s="4" t="str">
        <f>HYPERLINK("http://141.218.60.56/~jnz1568/getInfo.php?workbook=18_15.xlsx&amp;sheet=U0&amp;row=2446&amp;col=7&amp;number=0.337&amp;sourceID=14","0.337")</f>
        <v>0.337</v>
      </c>
    </row>
    <row r="2447" spans="1:7">
      <c r="A2447" s="3"/>
      <c r="B2447" s="3"/>
      <c r="C2447" s="3"/>
      <c r="D2447" s="3"/>
      <c r="E2447" s="3">
        <v>4</v>
      </c>
      <c r="F2447" s="4" t="str">
        <f>HYPERLINK("http://141.218.60.56/~jnz1568/getInfo.php?workbook=18_15.xlsx&amp;sheet=U0&amp;row=2447&amp;col=6&amp;number=3.3&amp;sourceID=14","3.3")</f>
        <v>3.3</v>
      </c>
      <c r="G2447" s="4" t="str">
        <f>HYPERLINK("http://141.218.60.56/~jnz1568/getInfo.php?workbook=18_15.xlsx&amp;sheet=U0&amp;row=2447&amp;col=7&amp;number=0.339&amp;sourceID=14","0.339")</f>
        <v>0.339</v>
      </c>
    </row>
    <row r="2448" spans="1:7">
      <c r="A2448" s="3"/>
      <c r="B2448" s="3"/>
      <c r="C2448" s="3"/>
      <c r="D2448" s="3"/>
      <c r="E2448" s="3">
        <v>5</v>
      </c>
      <c r="F2448" s="4" t="str">
        <f>HYPERLINK("http://141.218.60.56/~jnz1568/getInfo.php?workbook=18_15.xlsx&amp;sheet=U0&amp;row=2448&amp;col=6&amp;number=3.4&amp;sourceID=14","3.4")</f>
        <v>3.4</v>
      </c>
      <c r="G2448" s="4" t="str">
        <f>HYPERLINK("http://141.218.60.56/~jnz1568/getInfo.php?workbook=18_15.xlsx&amp;sheet=U0&amp;row=2448&amp;col=7&amp;number=0.343&amp;sourceID=14","0.343")</f>
        <v>0.343</v>
      </c>
    </row>
    <row r="2449" spans="1:7">
      <c r="A2449" s="3"/>
      <c r="B2449" s="3"/>
      <c r="C2449" s="3"/>
      <c r="D2449" s="3"/>
      <c r="E2449" s="3">
        <v>6</v>
      </c>
      <c r="F2449" s="4" t="str">
        <f>HYPERLINK("http://141.218.60.56/~jnz1568/getInfo.php?workbook=18_15.xlsx&amp;sheet=U0&amp;row=2449&amp;col=6&amp;number=3.5&amp;sourceID=14","3.5")</f>
        <v>3.5</v>
      </c>
      <c r="G2449" s="4" t="str">
        <f>HYPERLINK("http://141.218.60.56/~jnz1568/getInfo.php?workbook=18_15.xlsx&amp;sheet=U0&amp;row=2449&amp;col=7&amp;number=0.346&amp;sourceID=14","0.346")</f>
        <v>0.346</v>
      </c>
    </row>
    <row r="2450" spans="1:7">
      <c r="A2450" s="3"/>
      <c r="B2450" s="3"/>
      <c r="C2450" s="3"/>
      <c r="D2450" s="3"/>
      <c r="E2450" s="3">
        <v>7</v>
      </c>
      <c r="F2450" s="4" t="str">
        <f>HYPERLINK("http://141.218.60.56/~jnz1568/getInfo.php?workbook=18_15.xlsx&amp;sheet=U0&amp;row=2450&amp;col=6&amp;number=3.6&amp;sourceID=14","3.6")</f>
        <v>3.6</v>
      </c>
      <c r="G2450" s="4" t="str">
        <f>HYPERLINK("http://141.218.60.56/~jnz1568/getInfo.php?workbook=18_15.xlsx&amp;sheet=U0&amp;row=2450&amp;col=7&amp;number=0.351&amp;sourceID=14","0.351")</f>
        <v>0.351</v>
      </c>
    </row>
    <row r="2451" spans="1:7">
      <c r="A2451" s="3"/>
      <c r="B2451" s="3"/>
      <c r="C2451" s="3"/>
      <c r="D2451" s="3"/>
      <c r="E2451" s="3">
        <v>8</v>
      </c>
      <c r="F2451" s="4" t="str">
        <f>HYPERLINK("http://141.218.60.56/~jnz1568/getInfo.php?workbook=18_15.xlsx&amp;sheet=U0&amp;row=2451&amp;col=6&amp;number=3.7&amp;sourceID=14","3.7")</f>
        <v>3.7</v>
      </c>
      <c r="G2451" s="4" t="str">
        <f>HYPERLINK("http://141.218.60.56/~jnz1568/getInfo.php?workbook=18_15.xlsx&amp;sheet=U0&amp;row=2451&amp;col=7&amp;number=0.355&amp;sourceID=14","0.355")</f>
        <v>0.355</v>
      </c>
    </row>
    <row r="2452" spans="1:7">
      <c r="A2452" s="3"/>
      <c r="B2452" s="3"/>
      <c r="C2452" s="3"/>
      <c r="D2452" s="3"/>
      <c r="E2452" s="3">
        <v>9</v>
      </c>
      <c r="F2452" s="4" t="str">
        <f>HYPERLINK("http://141.218.60.56/~jnz1568/getInfo.php?workbook=18_15.xlsx&amp;sheet=U0&amp;row=2452&amp;col=6&amp;number=3.8&amp;sourceID=14","3.8")</f>
        <v>3.8</v>
      </c>
      <c r="G2452" s="4" t="str">
        <f>HYPERLINK("http://141.218.60.56/~jnz1568/getInfo.php?workbook=18_15.xlsx&amp;sheet=U0&amp;row=2452&amp;col=7&amp;number=0.358&amp;sourceID=14","0.358")</f>
        <v>0.358</v>
      </c>
    </row>
    <row r="2453" spans="1:7">
      <c r="A2453" s="3"/>
      <c r="B2453" s="3"/>
      <c r="C2453" s="3"/>
      <c r="D2453" s="3"/>
      <c r="E2453" s="3">
        <v>10</v>
      </c>
      <c r="F2453" s="4" t="str">
        <f>HYPERLINK("http://141.218.60.56/~jnz1568/getInfo.php?workbook=18_15.xlsx&amp;sheet=U0&amp;row=2453&amp;col=6&amp;number=3.9&amp;sourceID=14","3.9")</f>
        <v>3.9</v>
      </c>
      <c r="G2453" s="4" t="str">
        <f>HYPERLINK("http://141.218.60.56/~jnz1568/getInfo.php?workbook=18_15.xlsx&amp;sheet=U0&amp;row=2453&amp;col=7&amp;number=0.359&amp;sourceID=14","0.359")</f>
        <v>0.359</v>
      </c>
    </row>
    <row r="2454" spans="1:7">
      <c r="A2454" s="3"/>
      <c r="B2454" s="3"/>
      <c r="C2454" s="3"/>
      <c r="D2454" s="3"/>
      <c r="E2454" s="3">
        <v>11</v>
      </c>
      <c r="F2454" s="4" t="str">
        <f>HYPERLINK("http://141.218.60.56/~jnz1568/getInfo.php?workbook=18_15.xlsx&amp;sheet=U0&amp;row=2454&amp;col=6&amp;number=4&amp;sourceID=14","4")</f>
        <v>4</v>
      </c>
      <c r="G2454" s="4" t="str">
        <f>HYPERLINK("http://141.218.60.56/~jnz1568/getInfo.php?workbook=18_15.xlsx&amp;sheet=U0&amp;row=2454&amp;col=7&amp;number=0.355&amp;sourceID=14","0.355")</f>
        <v>0.355</v>
      </c>
    </row>
    <row r="2455" spans="1:7">
      <c r="A2455" s="3"/>
      <c r="B2455" s="3"/>
      <c r="C2455" s="3"/>
      <c r="D2455" s="3"/>
      <c r="E2455" s="3">
        <v>12</v>
      </c>
      <c r="F2455" s="4" t="str">
        <f>HYPERLINK("http://141.218.60.56/~jnz1568/getInfo.php?workbook=18_15.xlsx&amp;sheet=U0&amp;row=2455&amp;col=6&amp;number=4.1&amp;sourceID=14","4.1")</f>
        <v>4.1</v>
      </c>
      <c r="G2455" s="4" t="str">
        <f>HYPERLINK("http://141.218.60.56/~jnz1568/getInfo.php?workbook=18_15.xlsx&amp;sheet=U0&amp;row=2455&amp;col=7&amp;number=0.345&amp;sourceID=14","0.345")</f>
        <v>0.345</v>
      </c>
    </row>
    <row r="2456" spans="1:7">
      <c r="A2456" s="3"/>
      <c r="B2456" s="3"/>
      <c r="C2456" s="3"/>
      <c r="D2456" s="3"/>
      <c r="E2456" s="3">
        <v>13</v>
      </c>
      <c r="F2456" s="4" t="str">
        <f>HYPERLINK("http://141.218.60.56/~jnz1568/getInfo.php?workbook=18_15.xlsx&amp;sheet=U0&amp;row=2456&amp;col=6&amp;number=4.2&amp;sourceID=14","4.2")</f>
        <v>4.2</v>
      </c>
      <c r="G2456" s="4" t="str">
        <f>HYPERLINK("http://141.218.60.56/~jnz1568/getInfo.php?workbook=18_15.xlsx&amp;sheet=U0&amp;row=2456&amp;col=7&amp;number=0.331&amp;sourceID=14","0.331")</f>
        <v>0.331</v>
      </c>
    </row>
    <row r="2457" spans="1:7">
      <c r="A2457" s="3"/>
      <c r="B2457" s="3"/>
      <c r="C2457" s="3"/>
      <c r="D2457" s="3"/>
      <c r="E2457" s="3">
        <v>14</v>
      </c>
      <c r="F2457" s="4" t="str">
        <f>HYPERLINK("http://141.218.60.56/~jnz1568/getInfo.php?workbook=18_15.xlsx&amp;sheet=U0&amp;row=2457&amp;col=6&amp;number=4.3&amp;sourceID=14","4.3")</f>
        <v>4.3</v>
      </c>
      <c r="G2457" s="4" t="str">
        <f>HYPERLINK("http://141.218.60.56/~jnz1568/getInfo.php?workbook=18_15.xlsx&amp;sheet=U0&amp;row=2457&amp;col=7&amp;number=0.316&amp;sourceID=14","0.316")</f>
        <v>0.316</v>
      </c>
    </row>
    <row r="2458" spans="1:7">
      <c r="A2458" s="3"/>
      <c r="B2458" s="3"/>
      <c r="C2458" s="3"/>
      <c r="D2458" s="3"/>
      <c r="E2458" s="3">
        <v>15</v>
      </c>
      <c r="F2458" s="4" t="str">
        <f>HYPERLINK("http://141.218.60.56/~jnz1568/getInfo.php?workbook=18_15.xlsx&amp;sheet=U0&amp;row=2458&amp;col=6&amp;number=4.4&amp;sourceID=14","4.4")</f>
        <v>4.4</v>
      </c>
      <c r="G2458" s="4" t="str">
        <f>HYPERLINK("http://141.218.60.56/~jnz1568/getInfo.php?workbook=18_15.xlsx&amp;sheet=U0&amp;row=2458&amp;col=7&amp;number=0.304&amp;sourceID=14","0.304")</f>
        <v>0.304</v>
      </c>
    </row>
    <row r="2459" spans="1:7">
      <c r="A2459" s="3"/>
      <c r="B2459" s="3"/>
      <c r="C2459" s="3"/>
      <c r="D2459" s="3"/>
      <c r="E2459" s="3">
        <v>16</v>
      </c>
      <c r="F2459" s="4" t="str">
        <f>HYPERLINK("http://141.218.60.56/~jnz1568/getInfo.php?workbook=18_15.xlsx&amp;sheet=U0&amp;row=2459&amp;col=6&amp;number=4.5&amp;sourceID=14","4.5")</f>
        <v>4.5</v>
      </c>
      <c r="G2459" s="4" t="str">
        <f>HYPERLINK("http://141.218.60.56/~jnz1568/getInfo.php?workbook=18_15.xlsx&amp;sheet=U0&amp;row=2459&amp;col=7&amp;number=0.292&amp;sourceID=14","0.292")</f>
        <v>0.292</v>
      </c>
    </row>
    <row r="2460" spans="1:7">
      <c r="A2460" s="3"/>
      <c r="B2460" s="3"/>
      <c r="C2460" s="3"/>
      <c r="D2460" s="3"/>
      <c r="E2460" s="3">
        <v>17</v>
      </c>
      <c r="F2460" s="4" t="str">
        <f>HYPERLINK("http://141.218.60.56/~jnz1568/getInfo.php?workbook=18_15.xlsx&amp;sheet=U0&amp;row=2460&amp;col=6&amp;number=4.6&amp;sourceID=14","4.6")</f>
        <v>4.6</v>
      </c>
      <c r="G2460" s="4" t="str">
        <f>HYPERLINK("http://141.218.60.56/~jnz1568/getInfo.php?workbook=18_15.xlsx&amp;sheet=U0&amp;row=2460&amp;col=7&amp;number=0.279&amp;sourceID=14","0.279")</f>
        <v>0.279</v>
      </c>
    </row>
    <row r="2461" spans="1:7">
      <c r="A2461" s="3"/>
      <c r="B2461" s="3"/>
      <c r="C2461" s="3"/>
      <c r="D2461" s="3"/>
      <c r="E2461" s="3">
        <v>18</v>
      </c>
      <c r="F2461" s="4" t="str">
        <f>HYPERLINK("http://141.218.60.56/~jnz1568/getInfo.php?workbook=18_15.xlsx&amp;sheet=U0&amp;row=2461&amp;col=6&amp;number=4.7&amp;sourceID=14","4.7")</f>
        <v>4.7</v>
      </c>
      <c r="G2461" s="4" t="str">
        <f>HYPERLINK("http://141.218.60.56/~jnz1568/getInfo.php?workbook=18_15.xlsx&amp;sheet=U0&amp;row=2461&amp;col=7&amp;number=0.264&amp;sourceID=14","0.264")</f>
        <v>0.264</v>
      </c>
    </row>
    <row r="2462" spans="1:7">
      <c r="A2462" s="3"/>
      <c r="B2462" s="3"/>
      <c r="C2462" s="3"/>
      <c r="D2462" s="3"/>
      <c r="E2462" s="3">
        <v>19</v>
      </c>
      <c r="F2462" s="4" t="str">
        <f>HYPERLINK("http://141.218.60.56/~jnz1568/getInfo.php?workbook=18_15.xlsx&amp;sheet=U0&amp;row=2462&amp;col=6&amp;number=4.8&amp;sourceID=14","4.8")</f>
        <v>4.8</v>
      </c>
      <c r="G2462" s="4" t="str">
        <f>HYPERLINK("http://141.218.60.56/~jnz1568/getInfo.php?workbook=18_15.xlsx&amp;sheet=U0&amp;row=2462&amp;col=7&amp;number=0.251&amp;sourceID=14","0.251")</f>
        <v>0.251</v>
      </c>
    </row>
    <row r="2463" spans="1:7">
      <c r="A2463" s="3"/>
      <c r="B2463" s="3"/>
      <c r="C2463" s="3"/>
      <c r="D2463" s="3"/>
      <c r="E2463" s="3">
        <v>20</v>
      </c>
      <c r="F2463" s="4" t="str">
        <f>HYPERLINK("http://141.218.60.56/~jnz1568/getInfo.php?workbook=18_15.xlsx&amp;sheet=U0&amp;row=2463&amp;col=6&amp;number=4.9&amp;sourceID=14","4.9")</f>
        <v>4.9</v>
      </c>
      <c r="G2463" s="4" t="str">
        <f>HYPERLINK("http://141.218.60.56/~jnz1568/getInfo.php?workbook=18_15.xlsx&amp;sheet=U0&amp;row=2463&amp;col=7&amp;number=0.241&amp;sourceID=14","0.241")</f>
        <v>0.241</v>
      </c>
    </row>
    <row r="2464" spans="1:7">
      <c r="A2464" s="3">
        <v>18</v>
      </c>
      <c r="B2464" s="3">
        <v>15</v>
      </c>
      <c r="C2464" s="3">
        <v>5</v>
      </c>
      <c r="D2464" s="3">
        <v>20</v>
      </c>
      <c r="E2464" s="3">
        <v>1</v>
      </c>
      <c r="F2464" s="4" t="str">
        <f>HYPERLINK("http://141.218.60.56/~jnz1568/getInfo.php?workbook=18_15.xlsx&amp;sheet=U0&amp;row=2464&amp;col=6&amp;number=3&amp;sourceID=14","3")</f>
        <v>3</v>
      </c>
      <c r="G2464" s="4" t="str">
        <f>HYPERLINK("http://141.218.60.56/~jnz1568/getInfo.php?workbook=18_15.xlsx&amp;sheet=U0&amp;row=2464&amp;col=7&amp;number=0.651&amp;sourceID=14","0.651")</f>
        <v>0.651</v>
      </c>
    </row>
    <row r="2465" spans="1:7">
      <c r="A2465" s="3"/>
      <c r="B2465" s="3"/>
      <c r="C2465" s="3"/>
      <c r="D2465" s="3"/>
      <c r="E2465" s="3">
        <v>2</v>
      </c>
      <c r="F2465" s="4" t="str">
        <f>HYPERLINK("http://141.218.60.56/~jnz1568/getInfo.php?workbook=18_15.xlsx&amp;sheet=U0&amp;row=2465&amp;col=6&amp;number=3.1&amp;sourceID=14","3.1")</f>
        <v>3.1</v>
      </c>
      <c r="G2465" s="4" t="str">
        <f>HYPERLINK("http://141.218.60.56/~jnz1568/getInfo.php?workbook=18_15.xlsx&amp;sheet=U0&amp;row=2465&amp;col=7&amp;number=0.65&amp;sourceID=14","0.65")</f>
        <v>0.65</v>
      </c>
    </row>
    <row r="2466" spans="1:7">
      <c r="A2466" s="3"/>
      <c r="B2466" s="3"/>
      <c r="C2466" s="3"/>
      <c r="D2466" s="3"/>
      <c r="E2466" s="3">
        <v>3</v>
      </c>
      <c r="F2466" s="4" t="str">
        <f>HYPERLINK("http://141.218.60.56/~jnz1568/getInfo.php?workbook=18_15.xlsx&amp;sheet=U0&amp;row=2466&amp;col=6&amp;number=3.2&amp;sourceID=14","3.2")</f>
        <v>3.2</v>
      </c>
      <c r="G2466" s="4" t="str">
        <f>HYPERLINK("http://141.218.60.56/~jnz1568/getInfo.php?workbook=18_15.xlsx&amp;sheet=U0&amp;row=2466&amp;col=7&amp;number=0.649&amp;sourceID=14","0.649")</f>
        <v>0.649</v>
      </c>
    </row>
    <row r="2467" spans="1:7">
      <c r="A2467" s="3"/>
      <c r="B2467" s="3"/>
      <c r="C2467" s="3"/>
      <c r="D2467" s="3"/>
      <c r="E2467" s="3">
        <v>4</v>
      </c>
      <c r="F2467" s="4" t="str">
        <f>HYPERLINK("http://141.218.60.56/~jnz1568/getInfo.php?workbook=18_15.xlsx&amp;sheet=U0&amp;row=2467&amp;col=6&amp;number=3.3&amp;sourceID=14","3.3")</f>
        <v>3.3</v>
      </c>
      <c r="G2467" s="4" t="str">
        <f>HYPERLINK("http://141.218.60.56/~jnz1568/getInfo.php?workbook=18_15.xlsx&amp;sheet=U0&amp;row=2467&amp;col=7&amp;number=0.647&amp;sourceID=14","0.647")</f>
        <v>0.647</v>
      </c>
    </row>
    <row r="2468" spans="1:7">
      <c r="A2468" s="3"/>
      <c r="B2468" s="3"/>
      <c r="C2468" s="3"/>
      <c r="D2468" s="3"/>
      <c r="E2468" s="3">
        <v>5</v>
      </c>
      <c r="F2468" s="4" t="str">
        <f>HYPERLINK("http://141.218.60.56/~jnz1568/getInfo.php?workbook=18_15.xlsx&amp;sheet=U0&amp;row=2468&amp;col=6&amp;number=3.4&amp;sourceID=14","3.4")</f>
        <v>3.4</v>
      </c>
      <c r="G2468" s="4" t="str">
        <f>HYPERLINK("http://141.218.60.56/~jnz1568/getInfo.php?workbook=18_15.xlsx&amp;sheet=U0&amp;row=2468&amp;col=7&amp;number=0.646&amp;sourceID=14","0.646")</f>
        <v>0.646</v>
      </c>
    </row>
    <row r="2469" spans="1:7">
      <c r="A2469" s="3"/>
      <c r="B2469" s="3"/>
      <c r="C2469" s="3"/>
      <c r="D2469" s="3"/>
      <c r="E2469" s="3">
        <v>6</v>
      </c>
      <c r="F2469" s="4" t="str">
        <f>HYPERLINK("http://141.218.60.56/~jnz1568/getInfo.php?workbook=18_15.xlsx&amp;sheet=U0&amp;row=2469&amp;col=6&amp;number=3.5&amp;sourceID=14","3.5")</f>
        <v>3.5</v>
      </c>
      <c r="G2469" s="4" t="str">
        <f>HYPERLINK("http://141.218.60.56/~jnz1568/getInfo.php?workbook=18_15.xlsx&amp;sheet=U0&amp;row=2469&amp;col=7&amp;number=0.644&amp;sourceID=14","0.644")</f>
        <v>0.644</v>
      </c>
    </row>
    <row r="2470" spans="1:7">
      <c r="A2470" s="3"/>
      <c r="B2470" s="3"/>
      <c r="C2470" s="3"/>
      <c r="D2470" s="3"/>
      <c r="E2470" s="3">
        <v>7</v>
      </c>
      <c r="F2470" s="4" t="str">
        <f>HYPERLINK("http://141.218.60.56/~jnz1568/getInfo.php?workbook=18_15.xlsx&amp;sheet=U0&amp;row=2470&amp;col=6&amp;number=3.6&amp;sourceID=14","3.6")</f>
        <v>3.6</v>
      </c>
      <c r="G2470" s="4" t="str">
        <f>HYPERLINK("http://141.218.60.56/~jnz1568/getInfo.php?workbook=18_15.xlsx&amp;sheet=U0&amp;row=2470&amp;col=7&amp;number=0.641&amp;sourceID=14","0.641")</f>
        <v>0.641</v>
      </c>
    </row>
    <row r="2471" spans="1:7">
      <c r="A2471" s="3"/>
      <c r="B2471" s="3"/>
      <c r="C2471" s="3"/>
      <c r="D2471" s="3"/>
      <c r="E2471" s="3">
        <v>8</v>
      </c>
      <c r="F2471" s="4" t="str">
        <f>HYPERLINK("http://141.218.60.56/~jnz1568/getInfo.php?workbook=18_15.xlsx&amp;sheet=U0&amp;row=2471&amp;col=6&amp;number=3.7&amp;sourceID=14","3.7")</f>
        <v>3.7</v>
      </c>
      <c r="G2471" s="4" t="str">
        <f>HYPERLINK("http://141.218.60.56/~jnz1568/getInfo.php?workbook=18_15.xlsx&amp;sheet=U0&amp;row=2471&amp;col=7&amp;number=0.637&amp;sourceID=14","0.637")</f>
        <v>0.637</v>
      </c>
    </row>
    <row r="2472" spans="1:7">
      <c r="A2472" s="3"/>
      <c r="B2472" s="3"/>
      <c r="C2472" s="3"/>
      <c r="D2472" s="3"/>
      <c r="E2472" s="3">
        <v>9</v>
      </c>
      <c r="F2472" s="4" t="str">
        <f>HYPERLINK("http://141.218.60.56/~jnz1568/getInfo.php?workbook=18_15.xlsx&amp;sheet=U0&amp;row=2472&amp;col=6&amp;number=3.8&amp;sourceID=14","3.8")</f>
        <v>3.8</v>
      </c>
      <c r="G2472" s="4" t="str">
        <f>HYPERLINK("http://141.218.60.56/~jnz1568/getInfo.php?workbook=18_15.xlsx&amp;sheet=U0&amp;row=2472&amp;col=7&amp;number=0.632&amp;sourceID=14","0.632")</f>
        <v>0.632</v>
      </c>
    </row>
    <row r="2473" spans="1:7">
      <c r="A2473" s="3"/>
      <c r="B2473" s="3"/>
      <c r="C2473" s="3"/>
      <c r="D2473" s="3"/>
      <c r="E2473" s="3">
        <v>10</v>
      </c>
      <c r="F2473" s="4" t="str">
        <f>HYPERLINK("http://141.218.60.56/~jnz1568/getInfo.php?workbook=18_15.xlsx&amp;sheet=U0&amp;row=2473&amp;col=6&amp;number=3.9&amp;sourceID=14","3.9")</f>
        <v>3.9</v>
      </c>
      <c r="G2473" s="4" t="str">
        <f>HYPERLINK("http://141.218.60.56/~jnz1568/getInfo.php?workbook=18_15.xlsx&amp;sheet=U0&amp;row=2473&amp;col=7&amp;number=0.625&amp;sourceID=14","0.625")</f>
        <v>0.625</v>
      </c>
    </row>
    <row r="2474" spans="1:7">
      <c r="A2474" s="3"/>
      <c r="B2474" s="3"/>
      <c r="C2474" s="3"/>
      <c r="D2474" s="3"/>
      <c r="E2474" s="3">
        <v>11</v>
      </c>
      <c r="F2474" s="4" t="str">
        <f>HYPERLINK("http://141.218.60.56/~jnz1568/getInfo.php?workbook=18_15.xlsx&amp;sheet=U0&amp;row=2474&amp;col=6&amp;number=4&amp;sourceID=14","4")</f>
        <v>4</v>
      </c>
      <c r="G2474" s="4" t="str">
        <f>HYPERLINK("http://141.218.60.56/~jnz1568/getInfo.php?workbook=18_15.xlsx&amp;sheet=U0&amp;row=2474&amp;col=7&amp;number=0.615&amp;sourceID=14","0.615")</f>
        <v>0.615</v>
      </c>
    </row>
    <row r="2475" spans="1:7">
      <c r="A2475" s="3"/>
      <c r="B2475" s="3"/>
      <c r="C2475" s="3"/>
      <c r="D2475" s="3"/>
      <c r="E2475" s="3">
        <v>12</v>
      </c>
      <c r="F2475" s="4" t="str">
        <f>HYPERLINK("http://141.218.60.56/~jnz1568/getInfo.php?workbook=18_15.xlsx&amp;sheet=U0&amp;row=2475&amp;col=6&amp;number=4.1&amp;sourceID=14","4.1")</f>
        <v>4.1</v>
      </c>
      <c r="G2475" s="4" t="str">
        <f>HYPERLINK("http://141.218.60.56/~jnz1568/getInfo.php?workbook=18_15.xlsx&amp;sheet=U0&amp;row=2475&amp;col=7&amp;number=0.602&amp;sourceID=14","0.602")</f>
        <v>0.602</v>
      </c>
    </row>
    <row r="2476" spans="1:7">
      <c r="A2476" s="3"/>
      <c r="B2476" s="3"/>
      <c r="C2476" s="3"/>
      <c r="D2476" s="3"/>
      <c r="E2476" s="3">
        <v>13</v>
      </c>
      <c r="F2476" s="4" t="str">
        <f>HYPERLINK("http://141.218.60.56/~jnz1568/getInfo.php?workbook=18_15.xlsx&amp;sheet=U0&amp;row=2476&amp;col=6&amp;number=4.2&amp;sourceID=14","4.2")</f>
        <v>4.2</v>
      </c>
      <c r="G2476" s="4" t="str">
        <f>HYPERLINK("http://141.218.60.56/~jnz1568/getInfo.php?workbook=18_15.xlsx&amp;sheet=U0&amp;row=2476&amp;col=7&amp;number=0.586&amp;sourceID=14","0.586")</f>
        <v>0.586</v>
      </c>
    </row>
    <row r="2477" spans="1:7">
      <c r="A2477" s="3"/>
      <c r="B2477" s="3"/>
      <c r="C2477" s="3"/>
      <c r="D2477" s="3"/>
      <c r="E2477" s="3">
        <v>14</v>
      </c>
      <c r="F2477" s="4" t="str">
        <f>HYPERLINK("http://141.218.60.56/~jnz1568/getInfo.php?workbook=18_15.xlsx&amp;sheet=U0&amp;row=2477&amp;col=6&amp;number=4.3&amp;sourceID=14","4.3")</f>
        <v>4.3</v>
      </c>
      <c r="G2477" s="4" t="str">
        <f>HYPERLINK("http://141.218.60.56/~jnz1568/getInfo.php?workbook=18_15.xlsx&amp;sheet=U0&amp;row=2477&amp;col=7&amp;number=0.566&amp;sourceID=14","0.566")</f>
        <v>0.566</v>
      </c>
    </row>
    <row r="2478" spans="1:7">
      <c r="A2478" s="3"/>
      <c r="B2478" s="3"/>
      <c r="C2478" s="3"/>
      <c r="D2478" s="3"/>
      <c r="E2478" s="3">
        <v>15</v>
      </c>
      <c r="F2478" s="4" t="str">
        <f>HYPERLINK("http://141.218.60.56/~jnz1568/getInfo.php?workbook=18_15.xlsx&amp;sheet=U0&amp;row=2478&amp;col=6&amp;number=4.4&amp;sourceID=14","4.4")</f>
        <v>4.4</v>
      </c>
      <c r="G2478" s="4" t="str">
        <f>HYPERLINK("http://141.218.60.56/~jnz1568/getInfo.php?workbook=18_15.xlsx&amp;sheet=U0&amp;row=2478&amp;col=7&amp;number=0.543&amp;sourceID=14","0.543")</f>
        <v>0.543</v>
      </c>
    </row>
    <row r="2479" spans="1:7">
      <c r="A2479" s="3"/>
      <c r="B2479" s="3"/>
      <c r="C2479" s="3"/>
      <c r="D2479" s="3"/>
      <c r="E2479" s="3">
        <v>16</v>
      </c>
      <c r="F2479" s="4" t="str">
        <f>HYPERLINK("http://141.218.60.56/~jnz1568/getInfo.php?workbook=18_15.xlsx&amp;sheet=U0&amp;row=2479&amp;col=6&amp;number=4.5&amp;sourceID=14","4.5")</f>
        <v>4.5</v>
      </c>
      <c r="G2479" s="4" t="str">
        <f>HYPERLINK("http://141.218.60.56/~jnz1568/getInfo.php?workbook=18_15.xlsx&amp;sheet=U0&amp;row=2479&amp;col=7&amp;number=0.517&amp;sourceID=14","0.517")</f>
        <v>0.517</v>
      </c>
    </row>
    <row r="2480" spans="1:7">
      <c r="A2480" s="3"/>
      <c r="B2480" s="3"/>
      <c r="C2480" s="3"/>
      <c r="D2480" s="3"/>
      <c r="E2480" s="3">
        <v>17</v>
      </c>
      <c r="F2480" s="4" t="str">
        <f>HYPERLINK("http://141.218.60.56/~jnz1568/getInfo.php?workbook=18_15.xlsx&amp;sheet=U0&amp;row=2480&amp;col=6&amp;number=4.6&amp;sourceID=14","4.6")</f>
        <v>4.6</v>
      </c>
      <c r="G2480" s="4" t="str">
        <f>HYPERLINK("http://141.218.60.56/~jnz1568/getInfo.php?workbook=18_15.xlsx&amp;sheet=U0&amp;row=2480&amp;col=7&amp;number=0.488&amp;sourceID=14","0.488")</f>
        <v>0.488</v>
      </c>
    </row>
    <row r="2481" spans="1:7">
      <c r="A2481" s="3"/>
      <c r="B2481" s="3"/>
      <c r="C2481" s="3"/>
      <c r="D2481" s="3"/>
      <c r="E2481" s="3">
        <v>18</v>
      </c>
      <c r="F2481" s="4" t="str">
        <f>HYPERLINK("http://141.218.60.56/~jnz1568/getInfo.php?workbook=18_15.xlsx&amp;sheet=U0&amp;row=2481&amp;col=6&amp;number=4.7&amp;sourceID=14","4.7")</f>
        <v>4.7</v>
      </c>
      <c r="G2481" s="4" t="str">
        <f>HYPERLINK("http://141.218.60.56/~jnz1568/getInfo.php?workbook=18_15.xlsx&amp;sheet=U0&amp;row=2481&amp;col=7&amp;number=0.458&amp;sourceID=14","0.458")</f>
        <v>0.458</v>
      </c>
    </row>
    <row r="2482" spans="1:7">
      <c r="A2482" s="3"/>
      <c r="B2482" s="3"/>
      <c r="C2482" s="3"/>
      <c r="D2482" s="3"/>
      <c r="E2482" s="3">
        <v>19</v>
      </c>
      <c r="F2482" s="4" t="str">
        <f>HYPERLINK("http://141.218.60.56/~jnz1568/getInfo.php?workbook=18_15.xlsx&amp;sheet=U0&amp;row=2482&amp;col=6&amp;number=4.8&amp;sourceID=14","4.8")</f>
        <v>4.8</v>
      </c>
      <c r="G2482" s="4" t="str">
        <f>HYPERLINK("http://141.218.60.56/~jnz1568/getInfo.php?workbook=18_15.xlsx&amp;sheet=U0&amp;row=2482&amp;col=7&amp;number=0.432&amp;sourceID=14","0.432")</f>
        <v>0.432</v>
      </c>
    </row>
    <row r="2483" spans="1:7">
      <c r="A2483" s="3"/>
      <c r="B2483" s="3"/>
      <c r="C2483" s="3"/>
      <c r="D2483" s="3"/>
      <c r="E2483" s="3">
        <v>20</v>
      </c>
      <c r="F2483" s="4" t="str">
        <f>HYPERLINK("http://141.218.60.56/~jnz1568/getInfo.php?workbook=18_15.xlsx&amp;sheet=U0&amp;row=2483&amp;col=6&amp;number=4.9&amp;sourceID=14","4.9")</f>
        <v>4.9</v>
      </c>
      <c r="G2483" s="4" t="str">
        <f>HYPERLINK("http://141.218.60.56/~jnz1568/getInfo.php?workbook=18_15.xlsx&amp;sheet=U0&amp;row=2483&amp;col=7&amp;number=0.408&amp;sourceID=14","0.408")</f>
        <v>0.408</v>
      </c>
    </row>
    <row r="2484" spans="1:7">
      <c r="A2484" s="3">
        <v>18</v>
      </c>
      <c r="B2484" s="3">
        <v>15</v>
      </c>
      <c r="C2484" s="3">
        <v>5</v>
      </c>
      <c r="D2484" s="3">
        <v>21</v>
      </c>
      <c r="E2484" s="3">
        <v>1</v>
      </c>
      <c r="F2484" s="4" t="str">
        <f>HYPERLINK("http://141.218.60.56/~jnz1568/getInfo.php?workbook=18_15.xlsx&amp;sheet=U0&amp;row=2484&amp;col=6&amp;number=3&amp;sourceID=14","3")</f>
        <v>3</v>
      </c>
      <c r="G2484" s="4" t="str">
        <f>HYPERLINK("http://141.218.60.56/~jnz1568/getInfo.php?workbook=18_15.xlsx&amp;sheet=U0&amp;row=2484&amp;col=7&amp;number=1.08&amp;sourceID=14","1.08")</f>
        <v>1.08</v>
      </c>
    </row>
    <row r="2485" spans="1:7">
      <c r="A2485" s="3"/>
      <c r="B2485" s="3"/>
      <c r="C2485" s="3"/>
      <c r="D2485" s="3"/>
      <c r="E2485" s="3">
        <v>2</v>
      </c>
      <c r="F2485" s="4" t="str">
        <f>HYPERLINK("http://141.218.60.56/~jnz1568/getInfo.php?workbook=18_15.xlsx&amp;sheet=U0&amp;row=2485&amp;col=6&amp;number=3.1&amp;sourceID=14","3.1")</f>
        <v>3.1</v>
      </c>
      <c r="G2485" s="4" t="str">
        <f>HYPERLINK("http://141.218.60.56/~jnz1568/getInfo.php?workbook=18_15.xlsx&amp;sheet=U0&amp;row=2485&amp;col=7&amp;number=1.08&amp;sourceID=14","1.08")</f>
        <v>1.08</v>
      </c>
    </row>
    <row r="2486" spans="1:7">
      <c r="A2486" s="3"/>
      <c r="B2486" s="3"/>
      <c r="C2486" s="3"/>
      <c r="D2486" s="3"/>
      <c r="E2486" s="3">
        <v>3</v>
      </c>
      <c r="F2486" s="4" t="str">
        <f>HYPERLINK("http://141.218.60.56/~jnz1568/getInfo.php?workbook=18_15.xlsx&amp;sheet=U0&amp;row=2486&amp;col=6&amp;number=3.2&amp;sourceID=14","3.2")</f>
        <v>3.2</v>
      </c>
      <c r="G2486" s="4" t="str">
        <f>HYPERLINK("http://141.218.60.56/~jnz1568/getInfo.php?workbook=18_15.xlsx&amp;sheet=U0&amp;row=2486&amp;col=7&amp;number=1.07&amp;sourceID=14","1.07")</f>
        <v>1.07</v>
      </c>
    </row>
    <row r="2487" spans="1:7">
      <c r="A2487" s="3"/>
      <c r="B2487" s="3"/>
      <c r="C2487" s="3"/>
      <c r="D2487" s="3"/>
      <c r="E2487" s="3">
        <v>4</v>
      </c>
      <c r="F2487" s="4" t="str">
        <f>HYPERLINK("http://141.218.60.56/~jnz1568/getInfo.php?workbook=18_15.xlsx&amp;sheet=U0&amp;row=2487&amp;col=6&amp;number=3.3&amp;sourceID=14","3.3")</f>
        <v>3.3</v>
      </c>
      <c r="G2487" s="4" t="str">
        <f>HYPERLINK("http://141.218.60.56/~jnz1568/getInfo.php?workbook=18_15.xlsx&amp;sheet=U0&amp;row=2487&amp;col=7&amp;number=1.07&amp;sourceID=14","1.07")</f>
        <v>1.07</v>
      </c>
    </row>
    <row r="2488" spans="1:7">
      <c r="A2488" s="3"/>
      <c r="B2488" s="3"/>
      <c r="C2488" s="3"/>
      <c r="D2488" s="3"/>
      <c r="E2488" s="3">
        <v>5</v>
      </c>
      <c r="F2488" s="4" t="str">
        <f>HYPERLINK("http://141.218.60.56/~jnz1568/getInfo.php?workbook=18_15.xlsx&amp;sheet=U0&amp;row=2488&amp;col=6&amp;number=3.4&amp;sourceID=14","3.4")</f>
        <v>3.4</v>
      </c>
      <c r="G2488" s="4" t="str">
        <f>HYPERLINK("http://141.218.60.56/~jnz1568/getInfo.php?workbook=18_15.xlsx&amp;sheet=U0&amp;row=2488&amp;col=7&amp;number=1.06&amp;sourceID=14","1.06")</f>
        <v>1.06</v>
      </c>
    </row>
    <row r="2489" spans="1:7">
      <c r="A2489" s="3"/>
      <c r="B2489" s="3"/>
      <c r="C2489" s="3"/>
      <c r="D2489" s="3"/>
      <c r="E2489" s="3">
        <v>6</v>
      </c>
      <c r="F2489" s="4" t="str">
        <f>HYPERLINK("http://141.218.60.56/~jnz1568/getInfo.php?workbook=18_15.xlsx&amp;sheet=U0&amp;row=2489&amp;col=6&amp;number=3.5&amp;sourceID=14","3.5")</f>
        <v>3.5</v>
      </c>
      <c r="G2489" s="4" t="str">
        <f>HYPERLINK("http://141.218.60.56/~jnz1568/getInfo.php?workbook=18_15.xlsx&amp;sheet=U0&amp;row=2489&amp;col=7&amp;number=1.05&amp;sourceID=14","1.05")</f>
        <v>1.05</v>
      </c>
    </row>
    <row r="2490" spans="1:7">
      <c r="A2490" s="3"/>
      <c r="B2490" s="3"/>
      <c r="C2490" s="3"/>
      <c r="D2490" s="3"/>
      <c r="E2490" s="3">
        <v>7</v>
      </c>
      <c r="F2490" s="4" t="str">
        <f>HYPERLINK("http://141.218.60.56/~jnz1568/getInfo.php?workbook=18_15.xlsx&amp;sheet=U0&amp;row=2490&amp;col=6&amp;number=3.6&amp;sourceID=14","3.6")</f>
        <v>3.6</v>
      </c>
      <c r="G2490" s="4" t="str">
        <f>HYPERLINK("http://141.218.60.56/~jnz1568/getInfo.php?workbook=18_15.xlsx&amp;sheet=U0&amp;row=2490&amp;col=7&amp;number=1.04&amp;sourceID=14","1.04")</f>
        <v>1.04</v>
      </c>
    </row>
    <row r="2491" spans="1:7">
      <c r="A2491" s="3"/>
      <c r="B2491" s="3"/>
      <c r="C2491" s="3"/>
      <c r="D2491" s="3"/>
      <c r="E2491" s="3">
        <v>8</v>
      </c>
      <c r="F2491" s="4" t="str">
        <f>HYPERLINK("http://141.218.60.56/~jnz1568/getInfo.php?workbook=18_15.xlsx&amp;sheet=U0&amp;row=2491&amp;col=6&amp;number=3.7&amp;sourceID=14","3.7")</f>
        <v>3.7</v>
      </c>
      <c r="G2491" s="4" t="str">
        <f>HYPERLINK("http://141.218.60.56/~jnz1568/getInfo.php?workbook=18_15.xlsx&amp;sheet=U0&amp;row=2491&amp;col=7&amp;number=1.03&amp;sourceID=14","1.03")</f>
        <v>1.03</v>
      </c>
    </row>
    <row r="2492" spans="1:7">
      <c r="A2492" s="3"/>
      <c r="B2492" s="3"/>
      <c r="C2492" s="3"/>
      <c r="D2492" s="3"/>
      <c r="E2492" s="3">
        <v>9</v>
      </c>
      <c r="F2492" s="4" t="str">
        <f>HYPERLINK("http://141.218.60.56/~jnz1568/getInfo.php?workbook=18_15.xlsx&amp;sheet=U0&amp;row=2492&amp;col=6&amp;number=3.8&amp;sourceID=14","3.8")</f>
        <v>3.8</v>
      </c>
      <c r="G2492" s="4" t="str">
        <f>HYPERLINK("http://141.218.60.56/~jnz1568/getInfo.php?workbook=18_15.xlsx&amp;sheet=U0&amp;row=2492&amp;col=7&amp;number=1.01&amp;sourceID=14","1.01")</f>
        <v>1.01</v>
      </c>
    </row>
    <row r="2493" spans="1:7">
      <c r="A2493" s="3"/>
      <c r="B2493" s="3"/>
      <c r="C2493" s="3"/>
      <c r="D2493" s="3"/>
      <c r="E2493" s="3">
        <v>10</v>
      </c>
      <c r="F2493" s="4" t="str">
        <f>HYPERLINK("http://141.218.60.56/~jnz1568/getInfo.php?workbook=18_15.xlsx&amp;sheet=U0&amp;row=2493&amp;col=6&amp;number=3.9&amp;sourceID=14","3.9")</f>
        <v>3.9</v>
      </c>
      <c r="G2493" s="4" t="str">
        <f>HYPERLINK("http://141.218.60.56/~jnz1568/getInfo.php?workbook=18_15.xlsx&amp;sheet=U0&amp;row=2493&amp;col=7&amp;number=0.999&amp;sourceID=14","0.999")</f>
        <v>0.999</v>
      </c>
    </row>
    <row r="2494" spans="1:7">
      <c r="A2494" s="3"/>
      <c r="B2494" s="3"/>
      <c r="C2494" s="3"/>
      <c r="D2494" s="3"/>
      <c r="E2494" s="3">
        <v>11</v>
      </c>
      <c r="F2494" s="4" t="str">
        <f>HYPERLINK("http://141.218.60.56/~jnz1568/getInfo.php?workbook=18_15.xlsx&amp;sheet=U0&amp;row=2494&amp;col=6&amp;number=4&amp;sourceID=14","4")</f>
        <v>4</v>
      </c>
      <c r="G2494" s="4" t="str">
        <f>HYPERLINK("http://141.218.60.56/~jnz1568/getInfo.php?workbook=18_15.xlsx&amp;sheet=U0&amp;row=2494&amp;col=7&amp;number=0.983&amp;sourceID=14","0.983")</f>
        <v>0.983</v>
      </c>
    </row>
    <row r="2495" spans="1:7">
      <c r="A2495" s="3"/>
      <c r="B2495" s="3"/>
      <c r="C2495" s="3"/>
      <c r="D2495" s="3"/>
      <c r="E2495" s="3">
        <v>12</v>
      </c>
      <c r="F2495" s="4" t="str">
        <f>HYPERLINK("http://141.218.60.56/~jnz1568/getInfo.php?workbook=18_15.xlsx&amp;sheet=U0&amp;row=2495&amp;col=6&amp;number=4.1&amp;sourceID=14","4.1")</f>
        <v>4.1</v>
      </c>
      <c r="G2495" s="4" t="str">
        <f>HYPERLINK("http://141.218.60.56/~jnz1568/getInfo.php?workbook=18_15.xlsx&amp;sheet=U0&amp;row=2495&amp;col=7&amp;number=0.967&amp;sourceID=14","0.967")</f>
        <v>0.967</v>
      </c>
    </row>
    <row r="2496" spans="1:7">
      <c r="A2496" s="3"/>
      <c r="B2496" s="3"/>
      <c r="C2496" s="3"/>
      <c r="D2496" s="3"/>
      <c r="E2496" s="3">
        <v>13</v>
      </c>
      <c r="F2496" s="4" t="str">
        <f>HYPERLINK("http://141.218.60.56/~jnz1568/getInfo.php?workbook=18_15.xlsx&amp;sheet=U0&amp;row=2496&amp;col=6&amp;number=4.2&amp;sourceID=14","4.2")</f>
        <v>4.2</v>
      </c>
      <c r="G2496" s="4" t="str">
        <f>HYPERLINK("http://141.218.60.56/~jnz1568/getInfo.php?workbook=18_15.xlsx&amp;sheet=U0&amp;row=2496&amp;col=7&amp;number=0.948&amp;sourceID=14","0.948")</f>
        <v>0.948</v>
      </c>
    </row>
    <row r="2497" spans="1:7">
      <c r="A2497" s="3"/>
      <c r="B2497" s="3"/>
      <c r="C2497" s="3"/>
      <c r="D2497" s="3"/>
      <c r="E2497" s="3">
        <v>14</v>
      </c>
      <c r="F2497" s="4" t="str">
        <f>HYPERLINK("http://141.218.60.56/~jnz1568/getInfo.php?workbook=18_15.xlsx&amp;sheet=U0&amp;row=2497&amp;col=6&amp;number=4.3&amp;sourceID=14","4.3")</f>
        <v>4.3</v>
      </c>
      <c r="G2497" s="4" t="str">
        <f>HYPERLINK("http://141.218.60.56/~jnz1568/getInfo.php?workbook=18_15.xlsx&amp;sheet=U0&amp;row=2497&amp;col=7&amp;number=0.925&amp;sourceID=14","0.925")</f>
        <v>0.925</v>
      </c>
    </row>
    <row r="2498" spans="1:7">
      <c r="A2498" s="3"/>
      <c r="B2498" s="3"/>
      <c r="C2498" s="3"/>
      <c r="D2498" s="3"/>
      <c r="E2498" s="3">
        <v>15</v>
      </c>
      <c r="F2498" s="4" t="str">
        <f>HYPERLINK("http://141.218.60.56/~jnz1568/getInfo.php?workbook=18_15.xlsx&amp;sheet=U0&amp;row=2498&amp;col=6&amp;number=4.4&amp;sourceID=14","4.4")</f>
        <v>4.4</v>
      </c>
      <c r="G2498" s="4" t="str">
        <f>HYPERLINK("http://141.218.60.56/~jnz1568/getInfo.php?workbook=18_15.xlsx&amp;sheet=U0&amp;row=2498&amp;col=7&amp;number=0.894&amp;sourceID=14","0.894")</f>
        <v>0.894</v>
      </c>
    </row>
    <row r="2499" spans="1:7">
      <c r="A2499" s="3"/>
      <c r="B2499" s="3"/>
      <c r="C2499" s="3"/>
      <c r="D2499" s="3"/>
      <c r="E2499" s="3">
        <v>16</v>
      </c>
      <c r="F2499" s="4" t="str">
        <f>HYPERLINK("http://141.218.60.56/~jnz1568/getInfo.php?workbook=18_15.xlsx&amp;sheet=U0&amp;row=2499&amp;col=6&amp;number=4.5&amp;sourceID=14","4.5")</f>
        <v>4.5</v>
      </c>
      <c r="G2499" s="4" t="str">
        <f>HYPERLINK("http://141.218.60.56/~jnz1568/getInfo.php?workbook=18_15.xlsx&amp;sheet=U0&amp;row=2499&amp;col=7&amp;number=0.855&amp;sourceID=14","0.855")</f>
        <v>0.855</v>
      </c>
    </row>
    <row r="2500" spans="1:7">
      <c r="A2500" s="3"/>
      <c r="B2500" s="3"/>
      <c r="C2500" s="3"/>
      <c r="D2500" s="3"/>
      <c r="E2500" s="3">
        <v>17</v>
      </c>
      <c r="F2500" s="4" t="str">
        <f>HYPERLINK("http://141.218.60.56/~jnz1568/getInfo.php?workbook=18_15.xlsx&amp;sheet=U0&amp;row=2500&amp;col=6&amp;number=4.6&amp;sourceID=14","4.6")</f>
        <v>4.6</v>
      </c>
      <c r="G2500" s="4" t="str">
        <f>HYPERLINK("http://141.218.60.56/~jnz1568/getInfo.php?workbook=18_15.xlsx&amp;sheet=U0&amp;row=2500&amp;col=7&amp;number=0.809&amp;sourceID=14","0.809")</f>
        <v>0.809</v>
      </c>
    </row>
    <row r="2501" spans="1:7">
      <c r="A2501" s="3"/>
      <c r="B2501" s="3"/>
      <c r="C2501" s="3"/>
      <c r="D2501" s="3"/>
      <c r="E2501" s="3">
        <v>18</v>
      </c>
      <c r="F2501" s="4" t="str">
        <f>HYPERLINK("http://141.218.60.56/~jnz1568/getInfo.php?workbook=18_15.xlsx&amp;sheet=U0&amp;row=2501&amp;col=6&amp;number=4.7&amp;sourceID=14","4.7")</f>
        <v>4.7</v>
      </c>
      <c r="G2501" s="4" t="str">
        <f>HYPERLINK("http://141.218.60.56/~jnz1568/getInfo.php?workbook=18_15.xlsx&amp;sheet=U0&amp;row=2501&amp;col=7&amp;number=0.761&amp;sourceID=14","0.761")</f>
        <v>0.761</v>
      </c>
    </row>
    <row r="2502" spans="1:7">
      <c r="A2502" s="3"/>
      <c r="B2502" s="3"/>
      <c r="C2502" s="3"/>
      <c r="D2502" s="3"/>
      <c r="E2502" s="3">
        <v>19</v>
      </c>
      <c r="F2502" s="4" t="str">
        <f>HYPERLINK("http://141.218.60.56/~jnz1568/getInfo.php?workbook=18_15.xlsx&amp;sheet=U0&amp;row=2502&amp;col=6&amp;number=4.8&amp;sourceID=14","4.8")</f>
        <v>4.8</v>
      </c>
      <c r="G2502" s="4" t="str">
        <f>HYPERLINK("http://141.218.60.56/~jnz1568/getInfo.php?workbook=18_15.xlsx&amp;sheet=U0&amp;row=2502&amp;col=7&amp;number=0.716&amp;sourceID=14","0.716")</f>
        <v>0.716</v>
      </c>
    </row>
    <row r="2503" spans="1:7">
      <c r="A2503" s="3"/>
      <c r="B2503" s="3"/>
      <c r="C2503" s="3"/>
      <c r="D2503" s="3"/>
      <c r="E2503" s="3">
        <v>20</v>
      </c>
      <c r="F2503" s="4" t="str">
        <f>HYPERLINK("http://141.218.60.56/~jnz1568/getInfo.php?workbook=18_15.xlsx&amp;sheet=U0&amp;row=2503&amp;col=6&amp;number=4.9&amp;sourceID=14","4.9")</f>
        <v>4.9</v>
      </c>
      <c r="G2503" s="4" t="str">
        <f>HYPERLINK("http://141.218.60.56/~jnz1568/getInfo.php?workbook=18_15.xlsx&amp;sheet=U0&amp;row=2503&amp;col=7&amp;number=0.672&amp;sourceID=14","0.672")</f>
        <v>0.672</v>
      </c>
    </row>
    <row r="2504" spans="1:7">
      <c r="A2504" s="3">
        <v>18</v>
      </c>
      <c r="B2504" s="3">
        <v>15</v>
      </c>
      <c r="C2504" s="3">
        <v>5</v>
      </c>
      <c r="D2504" s="3">
        <v>22</v>
      </c>
      <c r="E2504" s="3">
        <v>1</v>
      </c>
      <c r="F2504" s="4" t="str">
        <f>HYPERLINK("http://141.218.60.56/~jnz1568/getInfo.php?workbook=18_15.xlsx&amp;sheet=U0&amp;row=2504&amp;col=6&amp;number=3&amp;sourceID=14","3")</f>
        <v>3</v>
      </c>
      <c r="G2504" s="4" t="str">
        <f>HYPERLINK("http://141.218.60.56/~jnz1568/getInfo.php?workbook=18_15.xlsx&amp;sheet=U0&amp;row=2504&amp;col=7&amp;number=0.474&amp;sourceID=14","0.474")</f>
        <v>0.474</v>
      </c>
    </row>
    <row r="2505" spans="1:7">
      <c r="A2505" s="3"/>
      <c r="B2505" s="3"/>
      <c r="C2505" s="3"/>
      <c r="D2505" s="3"/>
      <c r="E2505" s="3">
        <v>2</v>
      </c>
      <c r="F2505" s="4" t="str">
        <f>HYPERLINK("http://141.218.60.56/~jnz1568/getInfo.php?workbook=18_15.xlsx&amp;sheet=U0&amp;row=2505&amp;col=6&amp;number=3.1&amp;sourceID=14","3.1")</f>
        <v>3.1</v>
      </c>
      <c r="G2505" s="4" t="str">
        <f>HYPERLINK("http://141.218.60.56/~jnz1568/getInfo.php?workbook=18_15.xlsx&amp;sheet=U0&amp;row=2505&amp;col=7&amp;number=0.501&amp;sourceID=14","0.501")</f>
        <v>0.501</v>
      </c>
    </row>
    <row r="2506" spans="1:7">
      <c r="A2506" s="3"/>
      <c r="B2506" s="3"/>
      <c r="C2506" s="3"/>
      <c r="D2506" s="3"/>
      <c r="E2506" s="3">
        <v>3</v>
      </c>
      <c r="F2506" s="4" t="str">
        <f>HYPERLINK("http://141.218.60.56/~jnz1568/getInfo.php?workbook=18_15.xlsx&amp;sheet=U0&amp;row=2506&amp;col=6&amp;number=3.2&amp;sourceID=14","3.2")</f>
        <v>3.2</v>
      </c>
      <c r="G2506" s="4" t="str">
        <f>HYPERLINK("http://141.218.60.56/~jnz1568/getInfo.php?workbook=18_15.xlsx&amp;sheet=U0&amp;row=2506&amp;col=7&amp;number=0.534&amp;sourceID=14","0.534")</f>
        <v>0.534</v>
      </c>
    </row>
    <row r="2507" spans="1:7">
      <c r="A2507" s="3"/>
      <c r="B2507" s="3"/>
      <c r="C2507" s="3"/>
      <c r="D2507" s="3"/>
      <c r="E2507" s="3">
        <v>4</v>
      </c>
      <c r="F2507" s="4" t="str">
        <f>HYPERLINK("http://141.218.60.56/~jnz1568/getInfo.php?workbook=18_15.xlsx&amp;sheet=U0&amp;row=2507&amp;col=6&amp;number=3.3&amp;sourceID=14","3.3")</f>
        <v>3.3</v>
      </c>
      <c r="G2507" s="4" t="str">
        <f>HYPERLINK("http://141.218.60.56/~jnz1568/getInfo.php?workbook=18_15.xlsx&amp;sheet=U0&amp;row=2507&amp;col=7&amp;number=0.574&amp;sourceID=14","0.574")</f>
        <v>0.574</v>
      </c>
    </row>
    <row r="2508" spans="1:7">
      <c r="A2508" s="3"/>
      <c r="B2508" s="3"/>
      <c r="C2508" s="3"/>
      <c r="D2508" s="3"/>
      <c r="E2508" s="3">
        <v>5</v>
      </c>
      <c r="F2508" s="4" t="str">
        <f>HYPERLINK("http://141.218.60.56/~jnz1568/getInfo.php?workbook=18_15.xlsx&amp;sheet=U0&amp;row=2508&amp;col=6&amp;number=3.4&amp;sourceID=14","3.4")</f>
        <v>3.4</v>
      </c>
      <c r="G2508" s="4" t="str">
        <f>HYPERLINK("http://141.218.60.56/~jnz1568/getInfo.php?workbook=18_15.xlsx&amp;sheet=U0&amp;row=2508&amp;col=7&amp;number=0.625&amp;sourceID=14","0.625")</f>
        <v>0.625</v>
      </c>
    </row>
    <row r="2509" spans="1:7">
      <c r="A2509" s="3"/>
      <c r="B2509" s="3"/>
      <c r="C2509" s="3"/>
      <c r="D2509" s="3"/>
      <c r="E2509" s="3">
        <v>6</v>
      </c>
      <c r="F2509" s="4" t="str">
        <f>HYPERLINK("http://141.218.60.56/~jnz1568/getInfo.php?workbook=18_15.xlsx&amp;sheet=U0&amp;row=2509&amp;col=6&amp;number=3.5&amp;sourceID=14","3.5")</f>
        <v>3.5</v>
      </c>
      <c r="G2509" s="4" t="str">
        <f>HYPERLINK("http://141.218.60.56/~jnz1568/getInfo.php?workbook=18_15.xlsx&amp;sheet=U0&amp;row=2509&amp;col=7&amp;number=0.686&amp;sourceID=14","0.686")</f>
        <v>0.686</v>
      </c>
    </row>
    <row r="2510" spans="1:7">
      <c r="A2510" s="3"/>
      <c r="B2510" s="3"/>
      <c r="C2510" s="3"/>
      <c r="D2510" s="3"/>
      <c r="E2510" s="3">
        <v>7</v>
      </c>
      <c r="F2510" s="4" t="str">
        <f>HYPERLINK("http://141.218.60.56/~jnz1568/getInfo.php?workbook=18_15.xlsx&amp;sheet=U0&amp;row=2510&amp;col=6&amp;number=3.6&amp;sourceID=14","3.6")</f>
        <v>3.6</v>
      </c>
      <c r="G2510" s="4" t="str">
        <f>HYPERLINK("http://141.218.60.56/~jnz1568/getInfo.php?workbook=18_15.xlsx&amp;sheet=U0&amp;row=2510&amp;col=7&amp;number=0.76&amp;sourceID=14","0.76")</f>
        <v>0.76</v>
      </c>
    </row>
    <row r="2511" spans="1:7">
      <c r="A2511" s="3"/>
      <c r="B2511" s="3"/>
      <c r="C2511" s="3"/>
      <c r="D2511" s="3"/>
      <c r="E2511" s="3">
        <v>8</v>
      </c>
      <c r="F2511" s="4" t="str">
        <f>HYPERLINK("http://141.218.60.56/~jnz1568/getInfo.php?workbook=18_15.xlsx&amp;sheet=U0&amp;row=2511&amp;col=6&amp;number=3.7&amp;sourceID=14","3.7")</f>
        <v>3.7</v>
      </c>
      <c r="G2511" s="4" t="str">
        <f>HYPERLINK("http://141.218.60.56/~jnz1568/getInfo.php?workbook=18_15.xlsx&amp;sheet=U0&amp;row=2511&amp;col=7&amp;number=0.847&amp;sourceID=14","0.847")</f>
        <v>0.847</v>
      </c>
    </row>
    <row r="2512" spans="1:7">
      <c r="A2512" s="3"/>
      <c r="B2512" s="3"/>
      <c r="C2512" s="3"/>
      <c r="D2512" s="3"/>
      <c r="E2512" s="3">
        <v>9</v>
      </c>
      <c r="F2512" s="4" t="str">
        <f>HYPERLINK("http://141.218.60.56/~jnz1568/getInfo.php?workbook=18_15.xlsx&amp;sheet=U0&amp;row=2512&amp;col=6&amp;number=3.8&amp;sourceID=14","3.8")</f>
        <v>3.8</v>
      </c>
      <c r="G2512" s="4" t="str">
        <f>HYPERLINK("http://141.218.60.56/~jnz1568/getInfo.php?workbook=18_15.xlsx&amp;sheet=U0&amp;row=2512&amp;col=7&amp;number=0.948&amp;sourceID=14","0.948")</f>
        <v>0.948</v>
      </c>
    </row>
    <row r="2513" spans="1:7">
      <c r="A2513" s="3"/>
      <c r="B2513" s="3"/>
      <c r="C2513" s="3"/>
      <c r="D2513" s="3"/>
      <c r="E2513" s="3">
        <v>10</v>
      </c>
      <c r="F2513" s="4" t="str">
        <f>HYPERLINK("http://141.218.60.56/~jnz1568/getInfo.php?workbook=18_15.xlsx&amp;sheet=U0&amp;row=2513&amp;col=6&amp;number=3.9&amp;sourceID=14","3.9")</f>
        <v>3.9</v>
      </c>
      <c r="G2513" s="4" t="str">
        <f>HYPERLINK("http://141.218.60.56/~jnz1568/getInfo.php?workbook=18_15.xlsx&amp;sheet=U0&amp;row=2513&amp;col=7&amp;number=1.06&amp;sourceID=14","1.06")</f>
        <v>1.06</v>
      </c>
    </row>
    <row r="2514" spans="1:7">
      <c r="A2514" s="3"/>
      <c r="B2514" s="3"/>
      <c r="C2514" s="3"/>
      <c r="D2514" s="3"/>
      <c r="E2514" s="3">
        <v>11</v>
      </c>
      <c r="F2514" s="4" t="str">
        <f>HYPERLINK("http://141.218.60.56/~jnz1568/getInfo.php?workbook=18_15.xlsx&amp;sheet=U0&amp;row=2514&amp;col=6&amp;number=4&amp;sourceID=14","4")</f>
        <v>4</v>
      </c>
      <c r="G2514" s="4" t="str">
        <f>HYPERLINK("http://141.218.60.56/~jnz1568/getInfo.php?workbook=18_15.xlsx&amp;sheet=U0&amp;row=2514&amp;col=7&amp;number=1.17&amp;sourceID=14","1.17")</f>
        <v>1.17</v>
      </c>
    </row>
    <row r="2515" spans="1:7">
      <c r="A2515" s="3"/>
      <c r="B2515" s="3"/>
      <c r="C2515" s="3"/>
      <c r="D2515" s="3"/>
      <c r="E2515" s="3">
        <v>12</v>
      </c>
      <c r="F2515" s="4" t="str">
        <f>HYPERLINK("http://141.218.60.56/~jnz1568/getInfo.php?workbook=18_15.xlsx&amp;sheet=U0&amp;row=2515&amp;col=6&amp;number=4.1&amp;sourceID=14","4.1")</f>
        <v>4.1</v>
      </c>
      <c r="G2515" s="4" t="str">
        <f>HYPERLINK("http://141.218.60.56/~jnz1568/getInfo.php?workbook=18_15.xlsx&amp;sheet=U0&amp;row=2515&amp;col=7&amp;number=1.27&amp;sourceID=14","1.27")</f>
        <v>1.27</v>
      </c>
    </row>
    <row r="2516" spans="1:7">
      <c r="A2516" s="3"/>
      <c r="B2516" s="3"/>
      <c r="C2516" s="3"/>
      <c r="D2516" s="3"/>
      <c r="E2516" s="3">
        <v>13</v>
      </c>
      <c r="F2516" s="4" t="str">
        <f>HYPERLINK("http://141.218.60.56/~jnz1568/getInfo.php?workbook=18_15.xlsx&amp;sheet=U0&amp;row=2516&amp;col=6&amp;number=4.2&amp;sourceID=14","4.2")</f>
        <v>4.2</v>
      </c>
      <c r="G2516" s="4" t="str">
        <f>HYPERLINK("http://141.218.60.56/~jnz1568/getInfo.php?workbook=18_15.xlsx&amp;sheet=U0&amp;row=2516&amp;col=7&amp;number=1.34&amp;sourceID=14","1.34")</f>
        <v>1.34</v>
      </c>
    </row>
    <row r="2517" spans="1:7">
      <c r="A2517" s="3"/>
      <c r="B2517" s="3"/>
      <c r="C2517" s="3"/>
      <c r="D2517" s="3"/>
      <c r="E2517" s="3">
        <v>14</v>
      </c>
      <c r="F2517" s="4" t="str">
        <f>HYPERLINK("http://141.218.60.56/~jnz1568/getInfo.php?workbook=18_15.xlsx&amp;sheet=U0&amp;row=2517&amp;col=6&amp;number=4.3&amp;sourceID=14","4.3")</f>
        <v>4.3</v>
      </c>
      <c r="G2517" s="4" t="str">
        <f>HYPERLINK("http://141.218.60.56/~jnz1568/getInfo.php?workbook=18_15.xlsx&amp;sheet=U0&amp;row=2517&amp;col=7&amp;number=1.37&amp;sourceID=14","1.37")</f>
        <v>1.37</v>
      </c>
    </row>
    <row r="2518" spans="1:7">
      <c r="A2518" s="3"/>
      <c r="B2518" s="3"/>
      <c r="C2518" s="3"/>
      <c r="D2518" s="3"/>
      <c r="E2518" s="3">
        <v>15</v>
      </c>
      <c r="F2518" s="4" t="str">
        <f>HYPERLINK("http://141.218.60.56/~jnz1568/getInfo.php?workbook=18_15.xlsx&amp;sheet=U0&amp;row=2518&amp;col=6&amp;number=4.4&amp;sourceID=14","4.4")</f>
        <v>4.4</v>
      </c>
      <c r="G2518" s="4" t="str">
        <f>HYPERLINK("http://141.218.60.56/~jnz1568/getInfo.php?workbook=18_15.xlsx&amp;sheet=U0&amp;row=2518&amp;col=7&amp;number=1.36&amp;sourceID=14","1.36")</f>
        <v>1.36</v>
      </c>
    </row>
    <row r="2519" spans="1:7">
      <c r="A2519" s="3"/>
      <c r="B2519" s="3"/>
      <c r="C2519" s="3"/>
      <c r="D2519" s="3"/>
      <c r="E2519" s="3">
        <v>16</v>
      </c>
      <c r="F2519" s="4" t="str">
        <f>HYPERLINK("http://141.218.60.56/~jnz1568/getInfo.php?workbook=18_15.xlsx&amp;sheet=U0&amp;row=2519&amp;col=6&amp;number=4.5&amp;sourceID=14","4.5")</f>
        <v>4.5</v>
      </c>
      <c r="G2519" s="4" t="str">
        <f>HYPERLINK("http://141.218.60.56/~jnz1568/getInfo.php?workbook=18_15.xlsx&amp;sheet=U0&amp;row=2519&amp;col=7&amp;number=1.3&amp;sourceID=14","1.3")</f>
        <v>1.3</v>
      </c>
    </row>
    <row r="2520" spans="1:7">
      <c r="A2520" s="3"/>
      <c r="B2520" s="3"/>
      <c r="C2520" s="3"/>
      <c r="D2520" s="3"/>
      <c r="E2520" s="3">
        <v>17</v>
      </c>
      <c r="F2520" s="4" t="str">
        <f>HYPERLINK("http://141.218.60.56/~jnz1568/getInfo.php?workbook=18_15.xlsx&amp;sheet=U0&amp;row=2520&amp;col=6&amp;number=4.6&amp;sourceID=14","4.6")</f>
        <v>4.6</v>
      </c>
      <c r="G2520" s="4" t="str">
        <f>HYPERLINK("http://141.218.60.56/~jnz1568/getInfo.php?workbook=18_15.xlsx&amp;sheet=U0&amp;row=2520&amp;col=7&amp;number=1.22&amp;sourceID=14","1.22")</f>
        <v>1.22</v>
      </c>
    </row>
    <row r="2521" spans="1:7">
      <c r="A2521" s="3"/>
      <c r="B2521" s="3"/>
      <c r="C2521" s="3"/>
      <c r="D2521" s="3"/>
      <c r="E2521" s="3">
        <v>18</v>
      </c>
      <c r="F2521" s="4" t="str">
        <f>HYPERLINK("http://141.218.60.56/~jnz1568/getInfo.php?workbook=18_15.xlsx&amp;sheet=U0&amp;row=2521&amp;col=6&amp;number=4.7&amp;sourceID=14","4.7")</f>
        <v>4.7</v>
      </c>
      <c r="G2521" s="4" t="str">
        <f>HYPERLINK("http://141.218.60.56/~jnz1568/getInfo.php?workbook=18_15.xlsx&amp;sheet=U0&amp;row=2521&amp;col=7&amp;number=1.13&amp;sourceID=14","1.13")</f>
        <v>1.13</v>
      </c>
    </row>
    <row r="2522" spans="1:7">
      <c r="A2522" s="3"/>
      <c r="B2522" s="3"/>
      <c r="C2522" s="3"/>
      <c r="D2522" s="3"/>
      <c r="E2522" s="3">
        <v>19</v>
      </c>
      <c r="F2522" s="4" t="str">
        <f>HYPERLINK("http://141.218.60.56/~jnz1568/getInfo.php?workbook=18_15.xlsx&amp;sheet=U0&amp;row=2522&amp;col=6&amp;number=4.8&amp;sourceID=14","4.8")</f>
        <v>4.8</v>
      </c>
      <c r="G2522" s="4" t="str">
        <f>HYPERLINK("http://141.218.60.56/~jnz1568/getInfo.php?workbook=18_15.xlsx&amp;sheet=U0&amp;row=2522&amp;col=7&amp;number=1.03&amp;sourceID=14","1.03")</f>
        <v>1.03</v>
      </c>
    </row>
    <row r="2523" spans="1:7">
      <c r="A2523" s="3"/>
      <c r="B2523" s="3"/>
      <c r="C2523" s="3"/>
      <c r="D2523" s="3"/>
      <c r="E2523" s="3">
        <v>20</v>
      </c>
      <c r="F2523" s="4" t="str">
        <f>HYPERLINK("http://141.218.60.56/~jnz1568/getInfo.php?workbook=18_15.xlsx&amp;sheet=U0&amp;row=2523&amp;col=6&amp;number=4.9&amp;sourceID=14","4.9")</f>
        <v>4.9</v>
      </c>
      <c r="G2523" s="4" t="str">
        <f>HYPERLINK("http://141.218.60.56/~jnz1568/getInfo.php?workbook=18_15.xlsx&amp;sheet=U0&amp;row=2523&amp;col=7&amp;number=0.94&amp;sourceID=14","0.94")</f>
        <v>0.94</v>
      </c>
    </row>
    <row r="2524" spans="1:7">
      <c r="A2524" s="3">
        <v>18</v>
      </c>
      <c r="B2524" s="3">
        <v>15</v>
      </c>
      <c r="C2524" s="3">
        <v>5</v>
      </c>
      <c r="D2524" s="3">
        <v>23</v>
      </c>
      <c r="E2524" s="3">
        <v>1</v>
      </c>
      <c r="F2524" s="4" t="str">
        <f>HYPERLINK("http://141.218.60.56/~jnz1568/getInfo.php?workbook=18_15.xlsx&amp;sheet=U0&amp;row=2524&amp;col=6&amp;number=3&amp;sourceID=14","3")</f>
        <v>3</v>
      </c>
      <c r="G2524" s="4" t="str">
        <f>HYPERLINK("http://141.218.60.56/~jnz1568/getInfo.php?workbook=18_15.xlsx&amp;sheet=U0&amp;row=2524&amp;col=7&amp;number=0.755&amp;sourceID=14","0.755")</f>
        <v>0.755</v>
      </c>
    </row>
    <row r="2525" spans="1:7">
      <c r="A2525" s="3"/>
      <c r="B2525" s="3"/>
      <c r="C2525" s="3"/>
      <c r="D2525" s="3"/>
      <c r="E2525" s="3">
        <v>2</v>
      </c>
      <c r="F2525" s="4" t="str">
        <f>HYPERLINK("http://141.218.60.56/~jnz1568/getInfo.php?workbook=18_15.xlsx&amp;sheet=U0&amp;row=2525&amp;col=6&amp;number=3.1&amp;sourceID=14","3.1")</f>
        <v>3.1</v>
      </c>
      <c r="G2525" s="4" t="str">
        <f>HYPERLINK("http://141.218.60.56/~jnz1568/getInfo.php?workbook=18_15.xlsx&amp;sheet=U0&amp;row=2525&amp;col=7&amp;number=0.8&amp;sourceID=14","0.8")</f>
        <v>0.8</v>
      </c>
    </row>
    <row r="2526" spans="1:7">
      <c r="A2526" s="3"/>
      <c r="B2526" s="3"/>
      <c r="C2526" s="3"/>
      <c r="D2526" s="3"/>
      <c r="E2526" s="3">
        <v>3</v>
      </c>
      <c r="F2526" s="4" t="str">
        <f>HYPERLINK("http://141.218.60.56/~jnz1568/getInfo.php?workbook=18_15.xlsx&amp;sheet=U0&amp;row=2526&amp;col=6&amp;number=3.2&amp;sourceID=14","3.2")</f>
        <v>3.2</v>
      </c>
      <c r="G2526" s="4" t="str">
        <f>HYPERLINK("http://141.218.60.56/~jnz1568/getInfo.php?workbook=18_15.xlsx&amp;sheet=U0&amp;row=2526&amp;col=7&amp;number=0.855&amp;sourceID=14","0.855")</f>
        <v>0.855</v>
      </c>
    </row>
    <row r="2527" spans="1:7">
      <c r="A2527" s="3"/>
      <c r="B2527" s="3"/>
      <c r="C2527" s="3"/>
      <c r="D2527" s="3"/>
      <c r="E2527" s="3">
        <v>4</v>
      </c>
      <c r="F2527" s="4" t="str">
        <f>HYPERLINK("http://141.218.60.56/~jnz1568/getInfo.php?workbook=18_15.xlsx&amp;sheet=U0&amp;row=2527&amp;col=6&amp;number=3.3&amp;sourceID=14","3.3")</f>
        <v>3.3</v>
      </c>
      <c r="G2527" s="4" t="str">
        <f>HYPERLINK("http://141.218.60.56/~jnz1568/getInfo.php?workbook=18_15.xlsx&amp;sheet=U0&amp;row=2527&amp;col=7&amp;number=0.923&amp;sourceID=14","0.923")</f>
        <v>0.923</v>
      </c>
    </row>
    <row r="2528" spans="1:7">
      <c r="A2528" s="3"/>
      <c r="B2528" s="3"/>
      <c r="C2528" s="3"/>
      <c r="D2528" s="3"/>
      <c r="E2528" s="3">
        <v>5</v>
      </c>
      <c r="F2528" s="4" t="str">
        <f>HYPERLINK("http://141.218.60.56/~jnz1568/getInfo.php?workbook=18_15.xlsx&amp;sheet=U0&amp;row=2528&amp;col=6&amp;number=3.4&amp;sourceID=14","3.4")</f>
        <v>3.4</v>
      </c>
      <c r="G2528" s="4" t="str">
        <f>HYPERLINK("http://141.218.60.56/~jnz1568/getInfo.php?workbook=18_15.xlsx&amp;sheet=U0&amp;row=2528&amp;col=7&amp;number=1.01&amp;sourceID=14","1.01")</f>
        <v>1.01</v>
      </c>
    </row>
    <row r="2529" spans="1:7">
      <c r="A2529" s="3"/>
      <c r="B2529" s="3"/>
      <c r="C2529" s="3"/>
      <c r="D2529" s="3"/>
      <c r="E2529" s="3">
        <v>6</v>
      </c>
      <c r="F2529" s="4" t="str">
        <f>HYPERLINK("http://141.218.60.56/~jnz1568/getInfo.php?workbook=18_15.xlsx&amp;sheet=U0&amp;row=2529&amp;col=6&amp;number=3.5&amp;sourceID=14","3.5")</f>
        <v>3.5</v>
      </c>
      <c r="G2529" s="4" t="str">
        <f>HYPERLINK("http://141.218.60.56/~jnz1568/getInfo.php?workbook=18_15.xlsx&amp;sheet=U0&amp;row=2529&amp;col=7&amp;number=1.11&amp;sourceID=14","1.11")</f>
        <v>1.11</v>
      </c>
    </row>
    <row r="2530" spans="1:7">
      <c r="A2530" s="3"/>
      <c r="B2530" s="3"/>
      <c r="C2530" s="3"/>
      <c r="D2530" s="3"/>
      <c r="E2530" s="3">
        <v>7</v>
      </c>
      <c r="F2530" s="4" t="str">
        <f>HYPERLINK("http://141.218.60.56/~jnz1568/getInfo.php?workbook=18_15.xlsx&amp;sheet=U0&amp;row=2530&amp;col=6&amp;number=3.6&amp;sourceID=14","3.6")</f>
        <v>3.6</v>
      </c>
      <c r="G2530" s="4" t="str">
        <f>HYPERLINK("http://141.218.60.56/~jnz1568/getInfo.php?workbook=18_15.xlsx&amp;sheet=U0&amp;row=2530&amp;col=7&amp;number=1.23&amp;sourceID=14","1.23")</f>
        <v>1.23</v>
      </c>
    </row>
    <row r="2531" spans="1:7">
      <c r="A2531" s="3"/>
      <c r="B2531" s="3"/>
      <c r="C2531" s="3"/>
      <c r="D2531" s="3"/>
      <c r="E2531" s="3">
        <v>8</v>
      </c>
      <c r="F2531" s="4" t="str">
        <f>HYPERLINK("http://141.218.60.56/~jnz1568/getInfo.php?workbook=18_15.xlsx&amp;sheet=U0&amp;row=2531&amp;col=6&amp;number=3.7&amp;sourceID=14","3.7")</f>
        <v>3.7</v>
      </c>
      <c r="G2531" s="4" t="str">
        <f>HYPERLINK("http://141.218.60.56/~jnz1568/getInfo.php?workbook=18_15.xlsx&amp;sheet=U0&amp;row=2531&amp;col=7&amp;number=1.38&amp;sourceID=14","1.38")</f>
        <v>1.38</v>
      </c>
    </row>
    <row r="2532" spans="1:7">
      <c r="A2532" s="3"/>
      <c r="B2532" s="3"/>
      <c r="C2532" s="3"/>
      <c r="D2532" s="3"/>
      <c r="E2532" s="3">
        <v>9</v>
      </c>
      <c r="F2532" s="4" t="str">
        <f>HYPERLINK("http://141.218.60.56/~jnz1568/getInfo.php?workbook=18_15.xlsx&amp;sheet=U0&amp;row=2532&amp;col=6&amp;number=3.8&amp;sourceID=14","3.8")</f>
        <v>3.8</v>
      </c>
      <c r="G2532" s="4" t="str">
        <f>HYPERLINK("http://141.218.60.56/~jnz1568/getInfo.php?workbook=18_15.xlsx&amp;sheet=U0&amp;row=2532&amp;col=7&amp;number=1.55&amp;sourceID=14","1.55")</f>
        <v>1.55</v>
      </c>
    </row>
    <row r="2533" spans="1:7">
      <c r="A2533" s="3"/>
      <c r="B2533" s="3"/>
      <c r="C2533" s="3"/>
      <c r="D2533" s="3"/>
      <c r="E2533" s="3">
        <v>10</v>
      </c>
      <c r="F2533" s="4" t="str">
        <f>HYPERLINK("http://141.218.60.56/~jnz1568/getInfo.php?workbook=18_15.xlsx&amp;sheet=U0&amp;row=2533&amp;col=6&amp;number=3.9&amp;sourceID=14","3.9")</f>
        <v>3.9</v>
      </c>
      <c r="G2533" s="4" t="str">
        <f>HYPERLINK("http://141.218.60.56/~jnz1568/getInfo.php?workbook=18_15.xlsx&amp;sheet=U0&amp;row=2533&amp;col=7&amp;number=1.74&amp;sourceID=14","1.74")</f>
        <v>1.74</v>
      </c>
    </row>
    <row r="2534" spans="1:7">
      <c r="A2534" s="3"/>
      <c r="B2534" s="3"/>
      <c r="C2534" s="3"/>
      <c r="D2534" s="3"/>
      <c r="E2534" s="3">
        <v>11</v>
      </c>
      <c r="F2534" s="4" t="str">
        <f>HYPERLINK("http://141.218.60.56/~jnz1568/getInfo.php?workbook=18_15.xlsx&amp;sheet=U0&amp;row=2534&amp;col=6&amp;number=4&amp;sourceID=14","4")</f>
        <v>4</v>
      </c>
      <c r="G2534" s="4" t="str">
        <f>HYPERLINK("http://141.218.60.56/~jnz1568/getInfo.php?workbook=18_15.xlsx&amp;sheet=U0&amp;row=2534&amp;col=7&amp;number=1.94&amp;sourceID=14","1.94")</f>
        <v>1.94</v>
      </c>
    </row>
    <row r="2535" spans="1:7">
      <c r="A2535" s="3"/>
      <c r="B2535" s="3"/>
      <c r="C2535" s="3"/>
      <c r="D2535" s="3"/>
      <c r="E2535" s="3">
        <v>12</v>
      </c>
      <c r="F2535" s="4" t="str">
        <f>HYPERLINK("http://141.218.60.56/~jnz1568/getInfo.php?workbook=18_15.xlsx&amp;sheet=U0&amp;row=2535&amp;col=6&amp;number=4.1&amp;sourceID=14","4.1")</f>
        <v>4.1</v>
      </c>
      <c r="G2535" s="4" t="str">
        <f>HYPERLINK("http://141.218.60.56/~jnz1568/getInfo.php?workbook=18_15.xlsx&amp;sheet=U0&amp;row=2535&amp;col=7&amp;number=2.15&amp;sourceID=14","2.15")</f>
        <v>2.15</v>
      </c>
    </row>
    <row r="2536" spans="1:7">
      <c r="A2536" s="3"/>
      <c r="B2536" s="3"/>
      <c r="C2536" s="3"/>
      <c r="D2536" s="3"/>
      <c r="E2536" s="3">
        <v>13</v>
      </c>
      <c r="F2536" s="4" t="str">
        <f>HYPERLINK("http://141.218.60.56/~jnz1568/getInfo.php?workbook=18_15.xlsx&amp;sheet=U0&amp;row=2536&amp;col=6&amp;number=4.2&amp;sourceID=14","4.2")</f>
        <v>4.2</v>
      </c>
      <c r="G2536" s="4" t="str">
        <f>HYPERLINK("http://141.218.60.56/~jnz1568/getInfo.php?workbook=18_15.xlsx&amp;sheet=U0&amp;row=2536&amp;col=7&amp;number=2.31&amp;sourceID=14","2.31")</f>
        <v>2.31</v>
      </c>
    </row>
    <row r="2537" spans="1:7">
      <c r="A2537" s="3"/>
      <c r="B2537" s="3"/>
      <c r="C2537" s="3"/>
      <c r="D2537" s="3"/>
      <c r="E2537" s="3">
        <v>14</v>
      </c>
      <c r="F2537" s="4" t="str">
        <f>HYPERLINK("http://141.218.60.56/~jnz1568/getInfo.php?workbook=18_15.xlsx&amp;sheet=U0&amp;row=2537&amp;col=6&amp;number=4.3&amp;sourceID=14","4.3")</f>
        <v>4.3</v>
      </c>
      <c r="G2537" s="4" t="str">
        <f>HYPERLINK("http://141.218.60.56/~jnz1568/getInfo.php?workbook=18_15.xlsx&amp;sheet=U0&amp;row=2537&amp;col=7&amp;number=2.4&amp;sourceID=14","2.4")</f>
        <v>2.4</v>
      </c>
    </row>
    <row r="2538" spans="1:7">
      <c r="A2538" s="3"/>
      <c r="B2538" s="3"/>
      <c r="C2538" s="3"/>
      <c r="D2538" s="3"/>
      <c r="E2538" s="3">
        <v>15</v>
      </c>
      <c r="F2538" s="4" t="str">
        <f>HYPERLINK("http://141.218.60.56/~jnz1568/getInfo.php?workbook=18_15.xlsx&amp;sheet=U0&amp;row=2538&amp;col=6&amp;number=4.4&amp;sourceID=14","4.4")</f>
        <v>4.4</v>
      </c>
      <c r="G2538" s="4" t="str">
        <f>HYPERLINK("http://141.218.60.56/~jnz1568/getInfo.php?workbook=18_15.xlsx&amp;sheet=U0&amp;row=2538&amp;col=7&amp;number=2.38&amp;sourceID=14","2.38")</f>
        <v>2.38</v>
      </c>
    </row>
    <row r="2539" spans="1:7">
      <c r="A2539" s="3"/>
      <c r="B2539" s="3"/>
      <c r="C2539" s="3"/>
      <c r="D2539" s="3"/>
      <c r="E2539" s="3">
        <v>16</v>
      </c>
      <c r="F2539" s="4" t="str">
        <f>HYPERLINK("http://141.218.60.56/~jnz1568/getInfo.php?workbook=18_15.xlsx&amp;sheet=U0&amp;row=2539&amp;col=6&amp;number=4.5&amp;sourceID=14","4.5")</f>
        <v>4.5</v>
      </c>
      <c r="G2539" s="4" t="str">
        <f>HYPERLINK("http://141.218.60.56/~jnz1568/getInfo.php?workbook=18_15.xlsx&amp;sheet=U0&amp;row=2539&amp;col=7&amp;number=2.27&amp;sourceID=14","2.27")</f>
        <v>2.27</v>
      </c>
    </row>
    <row r="2540" spans="1:7">
      <c r="A2540" s="3"/>
      <c r="B2540" s="3"/>
      <c r="C2540" s="3"/>
      <c r="D2540" s="3"/>
      <c r="E2540" s="3">
        <v>17</v>
      </c>
      <c r="F2540" s="4" t="str">
        <f>HYPERLINK("http://141.218.60.56/~jnz1568/getInfo.php?workbook=18_15.xlsx&amp;sheet=U0&amp;row=2540&amp;col=6&amp;number=4.6&amp;sourceID=14","4.6")</f>
        <v>4.6</v>
      </c>
      <c r="G2540" s="4" t="str">
        <f>HYPERLINK("http://141.218.60.56/~jnz1568/getInfo.php?workbook=18_15.xlsx&amp;sheet=U0&amp;row=2540&amp;col=7&amp;number=2.13&amp;sourceID=14","2.13")</f>
        <v>2.13</v>
      </c>
    </row>
    <row r="2541" spans="1:7">
      <c r="A2541" s="3"/>
      <c r="B2541" s="3"/>
      <c r="C2541" s="3"/>
      <c r="D2541" s="3"/>
      <c r="E2541" s="3">
        <v>18</v>
      </c>
      <c r="F2541" s="4" t="str">
        <f>HYPERLINK("http://141.218.60.56/~jnz1568/getInfo.php?workbook=18_15.xlsx&amp;sheet=U0&amp;row=2541&amp;col=6&amp;number=4.7&amp;sourceID=14","4.7")</f>
        <v>4.7</v>
      </c>
      <c r="G2541" s="4" t="str">
        <f>HYPERLINK("http://141.218.60.56/~jnz1568/getInfo.php?workbook=18_15.xlsx&amp;sheet=U0&amp;row=2541&amp;col=7&amp;number=1.99&amp;sourceID=14","1.99")</f>
        <v>1.99</v>
      </c>
    </row>
    <row r="2542" spans="1:7">
      <c r="A2542" s="3"/>
      <c r="B2542" s="3"/>
      <c r="C2542" s="3"/>
      <c r="D2542" s="3"/>
      <c r="E2542" s="3">
        <v>19</v>
      </c>
      <c r="F2542" s="4" t="str">
        <f>HYPERLINK("http://141.218.60.56/~jnz1568/getInfo.php?workbook=18_15.xlsx&amp;sheet=U0&amp;row=2542&amp;col=6&amp;number=4.8&amp;sourceID=14","4.8")</f>
        <v>4.8</v>
      </c>
      <c r="G2542" s="4" t="str">
        <f>HYPERLINK("http://141.218.60.56/~jnz1568/getInfo.php?workbook=18_15.xlsx&amp;sheet=U0&amp;row=2542&amp;col=7&amp;number=1.83&amp;sourceID=14","1.83")</f>
        <v>1.83</v>
      </c>
    </row>
    <row r="2543" spans="1:7">
      <c r="A2543" s="3"/>
      <c r="B2543" s="3"/>
      <c r="C2543" s="3"/>
      <c r="D2543" s="3"/>
      <c r="E2543" s="3">
        <v>20</v>
      </c>
      <c r="F2543" s="4" t="str">
        <f>HYPERLINK("http://141.218.60.56/~jnz1568/getInfo.php?workbook=18_15.xlsx&amp;sheet=U0&amp;row=2543&amp;col=6&amp;number=4.9&amp;sourceID=14","4.9")</f>
        <v>4.9</v>
      </c>
      <c r="G2543" s="4" t="str">
        <f>HYPERLINK("http://141.218.60.56/~jnz1568/getInfo.php?workbook=18_15.xlsx&amp;sheet=U0&amp;row=2543&amp;col=7&amp;number=1.65&amp;sourceID=14","1.65")</f>
        <v>1.65</v>
      </c>
    </row>
    <row r="2544" spans="1:7">
      <c r="A2544" s="3">
        <v>18</v>
      </c>
      <c r="B2544" s="3">
        <v>15</v>
      </c>
      <c r="C2544" s="3">
        <v>5</v>
      </c>
      <c r="D2544" s="3">
        <v>24</v>
      </c>
      <c r="E2544" s="3">
        <v>1</v>
      </c>
      <c r="F2544" s="4" t="str">
        <f>HYPERLINK("http://141.218.60.56/~jnz1568/getInfo.php?workbook=18_15.xlsx&amp;sheet=U0&amp;row=2544&amp;col=6&amp;number=3&amp;sourceID=14","3")</f>
        <v>3</v>
      </c>
      <c r="G2544" s="4" t="str">
        <f>HYPERLINK("http://141.218.60.56/~jnz1568/getInfo.php?workbook=18_15.xlsx&amp;sheet=U0&amp;row=2544&amp;col=7&amp;number=0.226&amp;sourceID=14","0.226")</f>
        <v>0.226</v>
      </c>
    </row>
    <row r="2545" spans="1:7">
      <c r="A2545" s="3"/>
      <c r="B2545" s="3"/>
      <c r="C2545" s="3"/>
      <c r="D2545" s="3"/>
      <c r="E2545" s="3">
        <v>2</v>
      </c>
      <c r="F2545" s="4" t="str">
        <f>HYPERLINK("http://141.218.60.56/~jnz1568/getInfo.php?workbook=18_15.xlsx&amp;sheet=U0&amp;row=2545&amp;col=6&amp;number=3.1&amp;sourceID=14","3.1")</f>
        <v>3.1</v>
      </c>
      <c r="G2545" s="4" t="str">
        <f>HYPERLINK("http://141.218.60.56/~jnz1568/getInfo.php?workbook=18_15.xlsx&amp;sheet=U0&amp;row=2545&amp;col=7&amp;number=0.234&amp;sourceID=14","0.234")</f>
        <v>0.234</v>
      </c>
    </row>
    <row r="2546" spans="1:7">
      <c r="A2546" s="3"/>
      <c r="B2546" s="3"/>
      <c r="C2546" s="3"/>
      <c r="D2546" s="3"/>
      <c r="E2546" s="3">
        <v>3</v>
      </c>
      <c r="F2546" s="4" t="str">
        <f>HYPERLINK("http://141.218.60.56/~jnz1568/getInfo.php?workbook=18_15.xlsx&amp;sheet=U0&amp;row=2546&amp;col=6&amp;number=3.2&amp;sourceID=14","3.2")</f>
        <v>3.2</v>
      </c>
      <c r="G2546" s="4" t="str">
        <f>HYPERLINK("http://141.218.60.56/~jnz1568/getInfo.php?workbook=18_15.xlsx&amp;sheet=U0&amp;row=2546&amp;col=7&amp;number=0.245&amp;sourceID=14","0.245")</f>
        <v>0.245</v>
      </c>
    </row>
    <row r="2547" spans="1:7">
      <c r="A2547" s="3"/>
      <c r="B2547" s="3"/>
      <c r="C2547" s="3"/>
      <c r="D2547" s="3"/>
      <c r="E2547" s="3">
        <v>4</v>
      </c>
      <c r="F2547" s="4" t="str">
        <f>HYPERLINK("http://141.218.60.56/~jnz1568/getInfo.php?workbook=18_15.xlsx&amp;sheet=U0&amp;row=2547&amp;col=6&amp;number=3.3&amp;sourceID=14","3.3")</f>
        <v>3.3</v>
      </c>
      <c r="G2547" s="4" t="str">
        <f>HYPERLINK("http://141.218.60.56/~jnz1568/getInfo.php?workbook=18_15.xlsx&amp;sheet=U0&amp;row=2547&amp;col=7&amp;number=0.258&amp;sourceID=14","0.258")</f>
        <v>0.258</v>
      </c>
    </row>
    <row r="2548" spans="1:7">
      <c r="A2548" s="3"/>
      <c r="B2548" s="3"/>
      <c r="C2548" s="3"/>
      <c r="D2548" s="3"/>
      <c r="E2548" s="3">
        <v>5</v>
      </c>
      <c r="F2548" s="4" t="str">
        <f>HYPERLINK("http://141.218.60.56/~jnz1568/getInfo.php?workbook=18_15.xlsx&amp;sheet=U0&amp;row=2548&amp;col=6&amp;number=3.4&amp;sourceID=14","3.4")</f>
        <v>3.4</v>
      </c>
      <c r="G2548" s="4" t="str">
        <f>HYPERLINK("http://141.218.60.56/~jnz1568/getInfo.php?workbook=18_15.xlsx&amp;sheet=U0&amp;row=2548&amp;col=7&amp;number=0.275&amp;sourceID=14","0.275")</f>
        <v>0.275</v>
      </c>
    </row>
    <row r="2549" spans="1:7">
      <c r="A2549" s="3"/>
      <c r="B2549" s="3"/>
      <c r="C2549" s="3"/>
      <c r="D2549" s="3"/>
      <c r="E2549" s="3">
        <v>6</v>
      </c>
      <c r="F2549" s="4" t="str">
        <f>HYPERLINK("http://141.218.60.56/~jnz1568/getInfo.php?workbook=18_15.xlsx&amp;sheet=U0&amp;row=2549&amp;col=6&amp;number=3.5&amp;sourceID=14","3.5")</f>
        <v>3.5</v>
      </c>
      <c r="G2549" s="4" t="str">
        <f>HYPERLINK("http://141.218.60.56/~jnz1568/getInfo.php?workbook=18_15.xlsx&amp;sheet=U0&amp;row=2549&amp;col=7&amp;number=0.295&amp;sourceID=14","0.295")</f>
        <v>0.295</v>
      </c>
    </row>
    <row r="2550" spans="1:7">
      <c r="A2550" s="3"/>
      <c r="B2550" s="3"/>
      <c r="C2550" s="3"/>
      <c r="D2550" s="3"/>
      <c r="E2550" s="3">
        <v>7</v>
      </c>
      <c r="F2550" s="4" t="str">
        <f>HYPERLINK("http://141.218.60.56/~jnz1568/getInfo.php?workbook=18_15.xlsx&amp;sheet=U0&amp;row=2550&amp;col=6&amp;number=3.6&amp;sourceID=14","3.6")</f>
        <v>3.6</v>
      </c>
      <c r="G2550" s="4" t="str">
        <f>HYPERLINK("http://141.218.60.56/~jnz1568/getInfo.php?workbook=18_15.xlsx&amp;sheet=U0&amp;row=2550&amp;col=7&amp;number=0.321&amp;sourceID=14","0.321")</f>
        <v>0.321</v>
      </c>
    </row>
    <row r="2551" spans="1:7">
      <c r="A2551" s="3"/>
      <c r="B2551" s="3"/>
      <c r="C2551" s="3"/>
      <c r="D2551" s="3"/>
      <c r="E2551" s="3">
        <v>8</v>
      </c>
      <c r="F2551" s="4" t="str">
        <f>HYPERLINK("http://141.218.60.56/~jnz1568/getInfo.php?workbook=18_15.xlsx&amp;sheet=U0&amp;row=2551&amp;col=6&amp;number=3.7&amp;sourceID=14","3.7")</f>
        <v>3.7</v>
      </c>
      <c r="G2551" s="4" t="str">
        <f>HYPERLINK("http://141.218.60.56/~jnz1568/getInfo.php?workbook=18_15.xlsx&amp;sheet=U0&amp;row=2551&amp;col=7&amp;number=0.352&amp;sourceID=14","0.352")</f>
        <v>0.352</v>
      </c>
    </row>
    <row r="2552" spans="1:7">
      <c r="A2552" s="3"/>
      <c r="B2552" s="3"/>
      <c r="C2552" s="3"/>
      <c r="D2552" s="3"/>
      <c r="E2552" s="3">
        <v>9</v>
      </c>
      <c r="F2552" s="4" t="str">
        <f>HYPERLINK("http://141.218.60.56/~jnz1568/getInfo.php?workbook=18_15.xlsx&amp;sheet=U0&amp;row=2552&amp;col=6&amp;number=3.8&amp;sourceID=14","3.8")</f>
        <v>3.8</v>
      </c>
      <c r="G2552" s="4" t="str">
        <f>HYPERLINK("http://141.218.60.56/~jnz1568/getInfo.php?workbook=18_15.xlsx&amp;sheet=U0&amp;row=2552&amp;col=7&amp;number=0.392&amp;sourceID=14","0.392")</f>
        <v>0.392</v>
      </c>
    </row>
    <row r="2553" spans="1:7">
      <c r="A2553" s="3"/>
      <c r="B2553" s="3"/>
      <c r="C2553" s="3"/>
      <c r="D2553" s="3"/>
      <c r="E2553" s="3">
        <v>10</v>
      </c>
      <c r="F2553" s="4" t="str">
        <f>HYPERLINK("http://141.218.60.56/~jnz1568/getInfo.php?workbook=18_15.xlsx&amp;sheet=U0&amp;row=2553&amp;col=6&amp;number=3.9&amp;sourceID=14","3.9")</f>
        <v>3.9</v>
      </c>
      <c r="G2553" s="4" t="str">
        <f>HYPERLINK("http://141.218.60.56/~jnz1568/getInfo.php?workbook=18_15.xlsx&amp;sheet=U0&amp;row=2553&amp;col=7&amp;number=0.441&amp;sourceID=14","0.441")</f>
        <v>0.441</v>
      </c>
    </row>
    <row r="2554" spans="1:7">
      <c r="A2554" s="3"/>
      <c r="B2554" s="3"/>
      <c r="C2554" s="3"/>
      <c r="D2554" s="3"/>
      <c r="E2554" s="3">
        <v>11</v>
      </c>
      <c r="F2554" s="4" t="str">
        <f>HYPERLINK("http://141.218.60.56/~jnz1568/getInfo.php?workbook=18_15.xlsx&amp;sheet=U0&amp;row=2554&amp;col=6&amp;number=4&amp;sourceID=14","4")</f>
        <v>4</v>
      </c>
      <c r="G2554" s="4" t="str">
        <f>HYPERLINK("http://141.218.60.56/~jnz1568/getInfo.php?workbook=18_15.xlsx&amp;sheet=U0&amp;row=2554&amp;col=7&amp;number=0.502&amp;sourceID=14","0.502")</f>
        <v>0.502</v>
      </c>
    </row>
    <row r="2555" spans="1:7">
      <c r="A2555" s="3"/>
      <c r="B2555" s="3"/>
      <c r="C2555" s="3"/>
      <c r="D2555" s="3"/>
      <c r="E2555" s="3">
        <v>12</v>
      </c>
      <c r="F2555" s="4" t="str">
        <f>HYPERLINK("http://141.218.60.56/~jnz1568/getInfo.php?workbook=18_15.xlsx&amp;sheet=U0&amp;row=2555&amp;col=6&amp;number=4.1&amp;sourceID=14","4.1")</f>
        <v>4.1</v>
      </c>
      <c r="G2555" s="4" t="str">
        <f>HYPERLINK("http://141.218.60.56/~jnz1568/getInfo.php?workbook=18_15.xlsx&amp;sheet=U0&amp;row=2555&amp;col=7&amp;number=0.572&amp;sourceID=14","0.572")</f>
        <v>0.572</v>
      </c>
    </row>
    <row r="2556" spans="1:7">
      <c r="A2556" s="3"/>
      <c r="B2556" s="3"/>
      <c r="C2556" s="3"/>
      <c r="D2556" s="3"/>
      <c r="E2556" s="3">
        <v>13</v>
      </c>
      <c r="F2556" s="4" t="str">
        <f>HYPERLINK("http://141.218.60.56/~jnz1568/getInfo.php?workbook=18_15.xlsx&amp;sheet=U0&amp;row=2556&amp;col=6&amp;number=4.2&amp;sourceID=14","4.2")</f>
        <v>4.2</v>
      </c>
      <c r="G2556" s="4" t="str">
        <f>HYPERLINK("http://141.218.60.56/~jnz1568/getInfo.php?workbook=18_15.xlsx&amp;sheet=U0&amp;row=2556&amp;col=7&amp;number=0.646&amp;sourceID=14","0.646")</f>
        <v>0.646</v>
      </c>
    </row>
    <row r="2557" spans="1:7">
      <c r="A2557" s="3"/>
      <c r="B2557" s="3"/>
      <c r="C2557" s="3"/>
      <c r="D2557" s="3"/>
      <c r="E2557" s="3">
        <v>14</v>
      </c>
      <c r="F2557" s="4" t="str">
        <f>HYPERLINK("http://141.218.60.56/~jnz1568/getInfo.php?workbook=18_15.xlsx&amp;sheet=U0&amp;row=2557&amp;col=6&amp;number=4.3&amp;sourceID=14","4.3")</f>
        <v>4.3</v>
      </c>
      <c r="G2557" s="4" t="str">
        <f>HYPERLINK("http://141.218.60.56/~jnz1568/getInfo.php?workbook=18_15.xlsx&amp;sheet=U0&amp;row=2557&amp;col=7&amp;number=0.712&amp;sourceID=14","0.712")</f>
        <v>0.712</v>
      </c>
    </row>
    <row r="2558" spans="1:7">
      <c r="A2558" s="3"/>
      <c r="B2558" s="3"/>
      <c r="C2558" s="3"/>
      <c r="D2558" s="3"/>
      <c r="E2558" s="3">
        <v>15</v>
      </c>
      <c r="F2558" s="4" t="str">
        <f>HYPERLINK("http://141.218.60.56/~jnz1568/getInfo.php?workbook=18_15.xlsx&amp;sheet=U0&amp;row=2558&amp;col=6&amp;number=4.4&amp;sourceID=14","4.4")</f>
        <v>4.4</v>
      </c>
      <c r="G2558" s="4" t="str">
        <f>HYPERLINK("http://141.218.60.56/~jnz1568/getInfo.php?workbook=18_15.xlsx&amp;sheet=U0&amp;row=2558&amp;col=7&amp;number=0.765&amp;sourceID=14","0.765")</f>
        <v>0.765</v>
      </c>
    </row>
    <row r="2559" spans="1:7">
      <c r="A2559" s="3"/>
      <c r="B2559" s="3"/>
      <c r="C2559" s="3"/>
      <c r="D2559" s="3"/>
      <c r="E2559" s="3">
        <v>16</v>
      </c>
      <c r="F2559" s="4" t="str">
        <f>HYPERLINK("http://141.218.60.56/~jnz1568/getInfo.php?workbook=18_15.xlsx&amp;sheet=U0&amp;row=2559&amp;col=6&amp;number=4.5&amp;sourceID=14","4.5")</f>
        <v>4.5</v>
      </c>
      <c r="G2559" s="4" t="str">
        <f>HYPERLINK("http://141.218.60.56/~jnz1568/getInfo.php?workbook=18_15.xlsx&amp;sheet=U0&amp;row=2559&amp;col=7&amp;number=0.809&amp;sourceID=14","0.809")</f>
        <v>0.809</v>
      </c>
    </row>
    <row r="2560" spans="1:7">
      <c r="A2560" s="3"/>
      <c r="B2560" s="3"/>
      <c r="C2560" s="3"/>
      <c r="D2560" s="3"/>
      <c r="E2560" s="3">
        <v>17</v>
      </c>
      <c r="F2560" s="4" t="str">
        <f>HYPERLINK("http://141.218.60.56/~jnz1568/getInfo.php?workbook=18_15.xlsx&amp;sheet=U0&amp;row=2560&amp;col=6&amp;number=4.6&amp;sourceID=14","4.6")</f>
        <v>4.6</v>
      </c>
      <c r="G2560" s="4" t="str">
        <f>HYPERLINK("http://141.218.60.56/~jnz1568/getInfo.php?workbook=18_15.xlsx&amp;sheet=U0&amp;row=2560&amp;col=7&amp;number=0.848&amp;sourceID=14","0.848")</f>
        <v>0.848</v>
      </c>
    </row>
    <row r="2561" spans="1:7">
      <c r="A2561" s="3"/>
      <c r="B2561" s="3"/>
      <c r="C2561" s="3"/>
      <c r="D2561" s="3"/>
      <c r="E2561" s="3">
        <v>18</v>
      </c>
      <c r="F2561" s="4" t="str">
        <f>HYPERLINK("http://141.218.60.56/~jnz1568/getInfo.php?workbook=18_15.xlsx&amp;sheet=U0&amp;row=2561&amp;col=6&amp;number=4.7&amp;sourceID=14","4.7")</f>
        <v>4.7</v>
      </c>
      <c r="G2561" s="4" t="str">
        <f>HYPERLINK("http://141.218.60.56/~jnz1568/getInfo.php?workbook=18_15.xlsx&amp;sheet=U0&amp;row=2561&amp;col=7&amp;number=0.877&amp;sourceID=14","0.877")</f>
        <v>0.877</v>
      </c>
    </row>
    <row r="2562" spans="1:7">
      <c r="A2562" s="3"/>
      <c r="B2562" s="3"/>
      <c r="C2562" s="3"/>
      <c r="D2562" s="3"/>
      <c r="E2562" s="3">
        <v>19</v>
      </c>
      <c r="F2562" s="4" t="str">
        <f>HYPERLINK("http://141.218.60.56/~jnz1568/getInfo.php?workbook=18_15.xlsx&amp;sheet=U0&amp;row=2562&amp;col=6&amp;number=4.8&amp;sourceID=14","4.8")</f>
        <v>4.8</v>
      </c>
      <c r="G2562" s="4" t="str">
        <f>HYPERLINK("http://141.218.60.56/~jnz1568/getInfo.php?workbook=18_15.xlsx&amp;sheet=U0&amp;row=2562&amp;col=7&amp;number=0.888&amp;sourceID=14","0.888")</f>
        <v>0.888</v>
      </c>
    </row>
    <row r="2563" spans="1:7">
      <c r="A2563" s="3"/>
      <c r="B2563" s="3"/>
      <c r="C2563" s="3"/>
      <c r="D2563" s="3"/>
      <c r="E2563" s="3">
        <v>20</v>
      </c>
      <c r="F2563" s="4" t="str">
        <f>HYPERLINK("http://141.218.60.56/~jnz1568/getInfo.php?workbook=18_15.xlsx&amp;sheet=U0&amp;row=2563&amp;col=6&amp;number=4.9&amp;sourceID=14","4.9")</f>
        <v>4.9</v>
      </c>
      <c r="G2563" s="4" t="str">
        <f>HYPERLINK("http://141.218.60.56/~jnz1568/getInfo.php?workbook=18_15.xlsx&amp;sheet=U0&amp;row=2563&amp;col=7&amp;number=0.88&amp;sourceID=14","0.88")</f>
        <v>0.88</v>
      </c>
    </row>
    <row r="2564" spans="1:7">
      <c r="A2564" s="3">
        <v>18</v>
      </c>
      <c r="B2564" s="3">
        <v>15</v>
      </c>
      <c r="C2564" s="3">
        <v>5</v>
      </c>
      <c r="D2564" s="3">
        <v>25</v>
      </c>
      <c r="E2564" s="3">
        <v>1</v>
      </c>
      <c r="F2564" s="4" t="str">
        <f>HYPERLINK("http://141.218.60.56/~jnz1568/getInfo.php?workbook=18_15.xlsx&amp;sheet=U0&amp;row=2564&amp;col=6&amp;number=3&amp;sourceID=14","3")</f>
        <v>3</v>
      </c>
      <c r="G2564" s="4" t="str">
        <f>HYPERLINK("http://141.218.60.56/~jnz1568/getInfo.php?workbook=18_15.xlsx&amp;sheet=U0&amp;row=2564&amp;col=7&amp;number=0.343&amp;sourceID=14","0.343")</f>
        <v>0.343</v>
      </c>
    </row>
    <row r="2565" spans="1:7">
      <c r="A2565" s="3"/>
      <c r="B2565" s="3"/>
      <c r="C2565" s="3"/>
      <c r="D2565" s="3"/>
      <c r="E2565" s="3">
        <v>2</v>
      </c>
      <c r="F2565" s="4" t="str">
        <f>HYPERLINK("http://141.218.60.56/~jnz1568/getInfo.php?workbook=18_15.xlsx&amp;sheet=U0&amp;row=2565&amp;col=6&amp;number=3.1&amp;sourceID=14","3.1")</f>
        <v>3.1</v>
      </c>
      <c r="G2565" s="4" t="str">
        <f>HYPERLINK("http://141.218.60.56/~jnz1568/getInfo.php?workbook=18_15.xlsx&amp;sheet=U0&amp;row=2565&amp;col=7&amp;number=0.353&amp;sourceID=14","0.353")</f>
        <v>0.353</v>
      </c>
    </row>
    <row r="2566" spans="1:7">
      <c r="A2566" s="3"/>
      <c r="B2566" s="3"/>
      <c r="C2566" s="3"/>
      <c r="D2566" s="3"/>
      <c r="E2566" s="3">
        <v>3</v>
      </c>
      <c r="F2566" s="4" t="str">
        <f>HYPERLINK("http://141.218.60.56/~jnz1568/getInfo.php?workbook=18_15.xlsx&amp;sheet=U0&amp;row=2566&amp;col=6&amp;number=3.2&amp;sourceID=14","3.2")</f>
        <v>3.2</v>
      </c>
      <c r="G2566" s="4" t="str">
        <f>HYPERLINK("http://141.218.60.56/~jnz1568/getInfo.php?workbook=18_15.xlsx&amp;sheet=U0&amp;row=2566&amp;col=7&amp;number=0.365&amp;sourceID=14","0.365")</f>
        <v>0.365</v>
      </c>
    </row>
    <row r="2567" spans="1:7">
      <c r="A2567" s="3"/>
      <c r="B2567" s="3"/>
      <c r="C2567" s="3"/>
      <c r="D2567" s="3"/>
      <c r="E2567" s="3">
        <v>4</v>
      </c>
      <c r="F2567" s="4" t="str">
        <f>HYPERLINK("http://141.218.60.56/~jnz1568/getInfo.php?workbook=18_15.xlsx&amp;sheet=U0&amp;row=2567&amp;col=6&amp;number=3.3&amp;sourceID=14","3.3")</f>
        <v>3.3</v>
      </c>
      <c r="G2567" s="4" t="str">
        <f>HYPERLINK("http://141.218.60.56/~jnz1568/getInfo.php?workbook=18_15.xlsx&amp;sheet=U0&amp;row=2567&amp;col=7&amp;number=0.38&amp;sourceID=14","0.38")</f>
        <v>0.38</v>
      </c>
    </row>
    <row r="2568" spans="1:7">
      <c r="A2568" s="3"/>
      <c r="B2568" s="3"/>
      <c r="C2568" s="3"/>
      <c r="D2568" s="3"/>
      <c r="E2568" s="3">
        <v>5</v>
      </c>
      <c r="F2568" s="4" t="str">
        <f>HYPERLINK("http://141.218.60.56/~jnz1568/getInfo.php?workbook=18_15.xlsx&amp;sheet=U0&amp;row=2568&amp;col=6&amp;number=3.4&amp;sourceID=14","3.4")</f>
        <v>3.4</v>
      </c>
      <c r="G2568" s="4" t="str">
        <f>HYPERLINK("http://141.218.60.56/~jnz1568/getInfo.php?workbook=18_15.xlsx&amp;sheet=U0&amp;row=2568&amp;col=7&amp;number=0.399&amp;sourceID=14","0.399")</f>
        <v>0.399</v>
      </c>
    </row>
    <row r="2569" spans="1:7">
      <c r="A2569" s="3"/>
      <c r="B2569" s="3"/>
      <c r="C2569" s="3"/>
      <c r="D2569" s="3"/>
      <c r="E2569" s="3">
        <v>6</v>
      </c>
      <c r="F2569" s="4" t="str">
        <f>HYPERLINK("http://141.218.60.56/~jnz1568/getInfo.php?workbook=18_15.xlsx&amp;sheet=U0&amp;row=2569&amp;col=6&amp;number=3.5&amp;sourceID=14","3.5")</f>
        <v>3.5</v>
      </c>
      <c r="G2569" s="4" t="str">
        <f>HYPERLINK("http://141.218.60.56/~jnz1568/getInfo.php?workbook=18_15.xlsx&amp;sheet=U0&amp;row=2569&amp;col=7&amp;number=0.423&amp;sourceID=14","0.423")</f>
        <v>0.423</v>
      </c>
    </row>
    <row r="2570" spans="1:7">
      <c r="A2570" s="3"/>
      <c r="B2570" s="3"/>
      <c r="C2570" s="3"/>
      <c r="D2570" s="3"/>
      <c r="E2570" s="3">
        <v>7</v>
      </c>
      <c r="F2570" s="4" t="str">
        <f>HYPERLINK("http://141.218.60.56/~jnz1568/getInfo.php?workbook=18_15.xlsx&amp;sheet=U0&amp;row=2570&amp;col=6&amp;number=3.6&amp;sourceID=14","3.6")</f>
        <v>3.6</v>
      </c>
      <c r="G2570" s="4" t="str">
        <f>HYPERLINK("http://141.218.60.56/~jnz1568/getInfo.php?workbook=18_15.xlsx&amp;sheet=U0&amp;row=2570&amp;col=7&amp;number=0.451&amp;sourceID=14","0.451")</f>
        <v>0.451</v>
      </c>
    </row>
    <row r="2571" spans="1:7">
      <c r="A2571" s="3"/>
      <c r="B2571" s="3"/>
      <c r="C2571" s="3"/>
      <c r="D2571" s="3"/>
      <c r="E2571" s="3">
        <v>8</v>
      </c>
      <c r="F2571" s="4" t="str">
        <f>HYPERLINK("http://141.218.60.56/~jnz1568/getInfo.php?workbook=18_15.xlsx&amp;sheet=U0&amp;row=2571&amp;col=6&amp;number=3.7&amp;sourceID=14","3.7")</f>
        <v>3.7</v>
      </c>
      <c r="G2571" s="4" t="str">
        <f>HYPERLINK("http://141.218.60.56/~jnz1568/getInfo.php?workbook=18_15.xlsx&amp;sheet=U0&amp;row=2571&amp;col=7&amp;number=0.487&amp;sourceID=14","0.487")</f>
        <v>0.487</v>
      </c>
    </row>
    <row r="2572" spans="1:7">
      <c r="A2572" s="3"/>
      <c r="B2572" s="3"/>
      <c r="C2572" s="3"/>
      <c r="D2572" s="3"/>
      <c r="E2572" s="3">
        <v>9</v>
      </c>
      <c r="F2572" s="4" t="str">
        <f>HYPERLINK("http://141.218.60.56/~jnz1568/getInfo.php?workbook=18_15.xlsx&amp;sheet=U0&amp;row=2572&amp;col=6&amp;number=3.8&amp;sourceID=14","3.8")</f>
        <v>3.8</v>
      </c>
      <c r="G2572" s="4" t="str">
        <f>HYPERLINK("http://141.218.60.56/~jnz1568/getInfo.php?workbook=18_15.xlsx&amp;sheet=U0&amp;row=2572&amp;col=7&amp;number=0.53&amp;sourceID=14","0.53")</f>
        <v>0.53</v>
      </c>
    </row>
    <row r="2573" spans="1:7">
      <c r="A2573" s="3"/>
      <c r="B2573" s="3"/>
      <c r="C2573" s="3"/>
      <c r="D2573" s="3"/>
      <c r="E2573" s="3">
        <v>10</v>
      </c>
      <c r="F2573" s="4" t="str">
        <f>HYPERLINK("http://141.218.60.56/~jnz1568/getInfo.php?workbook=18_15.xlsx&amp;sheet=U0&amp;row=2573&amp;col=6&amp;number=3.9&amp;sourceID=14","3.9")</f>
        <v>3.9</v>
      </c>
      <c r="G2573" s="4" t="str">
        <f>HYPERLINK("http://141.218.60.56/~jnz1568/getInfo.php?workbook=18_15.xlsx&amp;sheet=U0&amp;row=2573&amp;col=7&amp;number=0.584&amp;sourceID=14","0.584")</f>
        <v>0.584</v>
      </c>
    </row>
    <row r="2574" spans="1:7">
      <c r="A2574" s="3"/>
      <c r="B2574" s="3"/>
      <c r="C2574" s="3"/>
      <c r="D2574" s="3"/>
      <c r="E2574" s="3">
        <v>11</v>
      </c>
      <c r="F2574" s="4" t="str">
        <f>HYPERLINK("http://141.218.60.56/~jnz1568/getInfo.php?workbook=18_15.xlsx&amp;sheet=U0&amp;row=2574&amp;col=6&amp;number=4&amp;sourceID=14","4")</f>
        <v>4</v>
      </c>
      <c r="G2574" s="4" t="str">
        <f>HYPERLINK("http://141.218.60.56/~jnz1568/getInfo.php?workbook=18_15.xlsx&amp;sheet=U0&amp;row=2574&amp;col=7&amp;number=0.648&amp;sourceID=14","0.648")</f>
        <v>0.648</v>
      </c>
    </row>
    <row r="2575" spans="1:7">
      <c r="A2575" s="3"/>
      <c r="B2575" s="3"/>
      <c r="C2575" s="3"/>
      <c r="D2575" s="3"/>
      <c r="E2575" s="3">
        <v>12</v>
      </c>
      <c r="F2575" s="4" t="str">
        <f>HYPERLINK("http://141.218.60.56/~jnz1568/getInfo.php?workbook=18_15.xlsx&amp;sheet=U0&amp;row=2575&amp;col=6&amp;number=4.1&amp;sourceID=14","4.1")</f>
        <v>4.1</v>
      </c>
      <c r="G2575" s="4" t="str">
        <f>HYPERLINK("http://141.218.60.56/~jnz1568/getInfo.php?workbook=18_15.xlsx&amp;sheet=U0&amp;row=2575&amp;col=7&amp;number=0.72&amp;sourceID=14","0.72")</f>
        <v>0.72</v>
      </c>
    </row>
    <row r="2576" spans="1:7">
      <c r="A2576" s="3"/>
      <c r="B2576" s="3"/>
      <c r="C2576" s="3"/>
      <c r="D2576" s="3"/>
      <c r="E2576" s="3">
        <v>13</v>
      </c>
      <c r="F2576" s="4" t="str">
        <f>HYPERLINK("http://141.218.60.56/~jnz1568/getInfo.php?workbook=18_15.xlsx&amp;sheet=U0&amp;row=2576&amp;col=6&amp;number=4.2&amp;sourceID=14","4.2")</f>
        <v>4.2</v>
      </c>
      <c r="G2576" s="4" t="str">
        <f>HYPERLINK("http://141.218.60.56/~jnz1568/getInfo.php?workbook=18_15.xlsx&amp;sheet=U0&amp;row=2576&amp;col=7&amp;number=0.794&amp;sourceID=14","0.794")</f>
        <v>0.794</v>
      </c>
    </row>
    <row r="2577" spans="1:7">
      <c r="A2577" s="3"/>
      <c r="B2577" s="3"/>
      <c r="C2577" s="3"/>
      <c r="D2577" s="3"/>
      <c r="E2577" s="3">
        <v>14</v>
      </c>
      <c r="F2577" s="4" t="str">
        <f>HYPERLINK("http://141.218.60.56/~jnz1568/getInfo.php?workbook=18_15.xlsx&amp;sheet=U0&amp;row=2577&amp;col=6&amp;number=4.3&amp;sourceID=14","4.3")</f>
        <v>4.3</v>
      </c>
      <c r="G2577" s="4" t="str">
        <f>HYPERLINK("http://141.218.60.56/~jnz1568/getInfo.php?workbook=18_15.xlsx&amp;sheet=U0&amp;row=2577&amp;col=7&amp;number=0.859&amp;sourceID=14","0.859")</f>
        <v>0.859</v>
      </c>
    </row>
    <row r="2578" spans="1:7">
      <c r="A2578" s="3"/>
      <c r="B2578" s="3"/>
      <c r="C2578" s="3"/>
      <c r="D2578" s="3"/>
      <c r="E2578" s="3">
        <v>15</v>
      </c>
      <c r="F2578" s="4" t="str">
        <f>HYPERLINK("http://141.218.60.56/~jnz1568/getInfo.php?workbook=18_15.xlsx&amp;sheet=U0&amp;row=2578&amp;col=6&amp;number=4.4&amp;sourceID=14","4.4")</f>
        <v>4.4</v>
      </c>
      <c r="G2578" s="4" t="str">
        <f>HYPERLINK("http://141.218.60.56/~jnz1568/getInfo.php?workbook=18_15.xlsx&amp;sheet=U0&amp;row=2578&amp;col=7&amp;number=0.909&amp;sourceID=14","0.909")</f>
        <v>0.909</v>
      </c>
    </row>
    <row r="2579" spans="1:7">
      <c r="A2579" s="3"/>
      <c r="B2579" s="3"/>
      <c r="C2579" s="3"/>
      <c r="D2579" s="3"/>
      <c r="E2579" s="3">
        <v>16</v>
      </c>
      <c r="F2579" s="4" t="str">
        <f>HYPERLINK("http://141.218.60.56/~jnz1568/getInfo.php?workbook=18_15.xlsx&amp;sheet=U0&amp;row=2579&amp;col=6&amp;number=4.5&amp;sourceID=14","4.5")</f>
        <v>4.5</v>
      </c>
      <c r="G2579" s="4" t="str">
        <f>HYPERLINK("http://141.218.60.56/~jnz1568/getInfo.php?workbook=18_15.xlsx&amp;sheet=U0&amp;row=2579&amp;col=7&amp;number=0.95&amp;sourceID=14","0.95")</f>
        <v>0.95</v>
      </c>
    </row>
    <row r="2580" spans="1:7">
      <c r="A2580" s="3"/>
      <c r="B2580" s="3"/>
      <c r="C2580" s="3"/>
      <c r="D2580" s="3"/>
      <c r="E2580" s="3">
        <v>17</v>
      </c>
      <c r="F2580" s="4" t="str">
        <f>HYPERLINK("http://141.218.60.56/~jnz1568/getInfo.php?workbook=18_15.xlsx&amp;sheet=U0&amp;row=2580&amp;col=6&amp;number=4.6&amp;sourceID=14","4.6")</f>
        <v>4.6</v>
      </c>
      <c r="G2580" s="4" t="str">
        <f>HYPERLINK("http://141.218.60.56/~jnz1568/getInfo.php?workbook=18_15.xlsx&amp;sheet=U0&amp;row=2580&amp;col=7&amp;number=0.989&amp;sourceID=14","0.989")</f>
        <v>0.989</v>
      </c>
    </row>
    <row r="2581" spans="1:7">
      <c r="A2581" s="3"/>
      <c r="B2581" s="3"/>
      <c r="C2581" s="3"/>
      <c r="D2581" s="3"/>
      <c r="E2581" s="3">
        <v>18</v>
      </c>
      <c r="F2581" s="4" t="str">
        <f>HYPERLINK("http://141.218.60.56/~jnz1568/getInfo.php?workbook=18_15.xlsx&amp;sheet=U0&amp;row=2581&amp;col=6&amp;number=4.7&amp;sourceID=14","4.7")</f>
        <v>4.7</v>
      </c>
      <c r="G2581" s="4" t="str">
        <f>HYPERLINK("http://141.218.60.56/~jnz1568/getInfo.php?workbook=18_15.xlsx&amp;sheet=U0&amp;row=2581&amp;col=7&amp;number=1.02&amp;sourceID=14","1.02")</f>
        <v>1.02</v>
      </c>
    </row>
    <row r="2582" spans="1:7">
      <c r="A2582" s="3"/>
      <c r="B2582" s="3"/>
      <c r="C2582" s="3"/>
      <c r="D2582" s="3"/>
      <c r="E2582" s="3">
        <v>19</v>
      </c>
      <c r="F2582" s="4" t="str">
        <f>HYPERLINK("http://141.218.60.56/~jnz1568/getInfo.php?workbook=18_15.xlsx&amp;sheet=U0&amp;row=2582&amp;col=6&amp;number=4.8&amp;sourceID=14","4.8")</f>
        <v>4.8</v>
      </c>
      <c r="G2582" s="4" t="str">
        <f>HYPERLINK("http://141.218.60.56/~jnz1568/getInfo.php?workbook=18_15.xlsx&amp;sheet=U0&amp;row=2582&amp;col=7&amp;number=1.05&amp;sourceID=14","1.05")</f>
        <v>1.05</v>
      </c>
    </row>
    <row r="2583" spans="1:7">
      <c r="A2583" s="3"/>
      <c r="B2583" s="3"/>
      <c r="C2583" s="3"/>
      <c r="D2583" s="3"/>
      <c r="E2583" s="3">
        <v>20</v>
      </c>
      <c r="F2583" s="4" t="str">
        <f>HYPERLINK("http://141.218.60.56/~jnz1568/getInfo.php?workbook=18_15.xlsx&amp;sheet=U0&amp;row=2583&amp;col=6&amp;number=4.9&amp;sourceID=14","4.9")</f>
        <v>4.9</v>
      </c>
      <c r="G2583" s="4" t="str">
        <f>HYPERLINK("http://141.218.60.56/~jnz1568/getInfo.php?workbook=18_15.xlsx&amp;sheet=U0&amp;row=2583&amp;col=7&amp;number=1.05&amp;sourceID=14","1.05")</f>
        <v>1.05</v>
      </c>
    </row>
    <row r="2584" spans="1:7">
      <c r="A2584" s="3">
        <v>18</v>
      </c>
      <c r="B2584" s="3">
        <v>15</v>
      </c>
      <c r="C2584" s="3">
        <v>5</v>
      </c>
      <c r="D2584" s="3">
        <v>26</v>
      </c>
      <c r="E2584" s="3">
        <v>1</v>
      </c>
      <c r="F2584" s="4" t="str">
        <f>HYPERLINK("http://141.218.60.56/~jnz1568/getInfo.php?workbook=18_15.xlsx&amp;sheet=U0&amp;row=2584&amp;col=6&amp;number=3&amp;sourceID=14","3")</f>
        <v>3</v>
      </c>
      <c r="G2584" s="4" t="str">
        <f>HYPERLINK("http://141.218.60.56/~jnz1568/getInfo.php?workbook=18_15.xlsx&amp;sheet=U0&amp;row=2584&amp;col=7&amp;number=0.0907&amp;sourceID=14","0.0907")</f>
        <v>0.0907</v>
      </c>
    </row>
    <row r="2585" spans="1:7">
      <c r="A2585" s="3"/>
      <c r="B2585" s="3"/>
      <c r="C2585" s="3"/>
      <c r="D2585" s="3"/>
      <c r="E2585" s="3">
        <v>2</v>
      </c>
      <c r="F2585" s="4" t="str">
        <f>HYPERLINK("http://141.218.60.56/~jnz1568/getInfo.php?workbook=18_15.xlsx&amp;sheet=U0&amp;row=2585&amp;col=6&amp;number=3.1&amp;sourceID=14","3.1")</f>
        <v>3.1</v>
      </c>
      <c r="G2585" s="4" t="str">
        <f>HYPERLINK("http://141.218.60.56/~jnz1568/getInfo.php?workbook=18_15.xlsx&amp;sheet=U0&amp;row=2585&amp;col=7&amp;number=0.0897&amp;sourceID=14","0.0897")</f>
        <v>0.0897</v>
      </c>
    </row>
    <row r="2586" spans="1:7">
      <c r="A2586" s="3"/>
      <c r="B2586" s="3"/>
      <c r="C2586" s="3"/>
      <c r="D2586" s="3"/>
      <c r="E2586" s="3">
        <v>3</v>
      </c>
      <c r="F2586" s="4" t="str">
        <f>HYPERLINK("http://141.218.60.56/~jnz1568/getInfo.php?workbook=18_15.xlsx&amp;sheet=U0&amp;row=2586&amp;col=6&amp;number=3.2&amp;sourceID=14","3.2")</f>
        <v>3.2</v>
      </c>
      <c r="G2586" s="4" t="str">
        <f>HYPERLINK("http://141.218.60.56/~jnz1568/getInfo.php?workbook=18_15.xlsx&amp;sheet=U0&amp;row=2586&amp;col=7&amp;number=0.0885&amp;sourceID=14","0.0885")</f>
        <v>0.0885</v>
      </c>
    </row>
    <row r="2587" spans="1:7">
      <c r="A2587" s="3"/>
      <c r="B2587" s="3"/>
      <c r="C2587" s="3"/>
      <c r="D2587" s="3"/>
      <c r="E2587" s="3">
        <v>4</v>
      </c>
      <c r="F2587" s="4" t="str">
        <f>HYPERLINK("http://141.218.60.56/~jnz1568/getInfo.php?workbook=18_15.xlsx&amp;sheet=U0&amp;row=2587&amp;col=6&amp;number=3.3&amp;sourceID=14","3.3")</f>
        <v>3.3</v>
      </c>
      <c r="G2587" s="4" t="str">
        <f>HYPERLINK("http://141.218.60.56/~jnz1568/getInfo.php?workbook=18_15.xlsx&amp;sheet=U0&amp;row=2587&amp;col=7&amp;number=0.087&amp;sourceID=14","0.087")</f>
        <v>0.087</v>
      </c>
    </row>
    <row r="2588" spans="1:7">
      <c r="A2588" s="3"/>
      <c r="B2588" s="3"/>
      <c r="C2588" s="3"/>
      <c r="D2588" s="3"/>
      <c r="E2588" s="3">
        <v>5</v>
      </c>
      <c r="F2588" s="4" t="str">
        <f>HYPERLINK("http://141.218.60.56/~jnz1568/getInfo.php?workbook=18_15.xlsx&amp;sheet=U0&amp;row=2588&amp;col=6&amp;number=3.4&amp;sourceID=14","3.4")</f>
        <v>3.4</v>
      </c>
      <c r="G2588" s="4" t="str">
        <f>HYPERLINK("http://141.218.60.56/~jnz1568/getInfo.php?workbook=18_15.xlsx&amp;sheet=U0&amp;row=2588&amp;col=7&amp;number=0.0852&amp;sourceID=14","0.0852")</f>
        <v>0.0852</v>
      </c>
    </row>
    <row r="2589" spans="1:7">
      <c r="A2589" s="3"/>
      <c r="B2589" s="3"/>
      <c r="C2589" s="3"/>
      <c r="D2589" s="3"/>
      <c r="E2589" s="3">
        <v>6</v>
      </c>
      <c r="F2589" s="4" t="str">
        <f>HYPERLINK("http://141.218.60.56/~jnz1568/getInfo.php?workbook=18_15.xlsx&amp;sheet=U0&amp;row=2589&amp;col=6&amp;number=3.5&amp;sourceID=14","3.5")</f>
        <v>3.5</v>
      </c>
      <c r="G2589" s="4" t="str">
        <f>HYPERLINK("http://141.218.60.56/~jnz1568/getInfo.php?workbook=18_15.xlsx&amp;sheet=U0&amp;row=2589&amp;col=7&amp;number=0.083&amp;sourceID=14","0.083")</f>
        <v>0.083</v>
      </c>
    </row>
    <row r="2590" spans="1:7">
      <c r="A2590" s="3"/>
      <c r="B2590" s="3"/>
      <c r="C2590" s="3"/>
      <c r="D2590" s="3"/>
      <c r="E2590" s="3">
        <v>7</v>
      </c>
      <c r="F2590" s="4" t="str">
        <f>HYPERLINK("http://141.218.60.56/~jnz1568/getInfo.php?workbook=18_15.xlsx&amp;sheet=U0&amp;row=2590&amp;col=6&amp;number=3.6&amp;sourceID=14","3.6")</f>
        <v>3.6</v>
      </c>
      <c r="G2590" s="4" t="str">
        <f>HYPERLINK("http://141.218.60.56/~jnz1568/getInfo.php?workbook=18_15.xlsx&amp;sheet=U0&amp;row=2590&amp;col=7&amp;number=0.0805&amp;sourceID=14","0.0805")</f>
        <v>0.0805</v>
      </c>
    </row>
    <row r="2591" spans="1:7">
      <c r="A2591" s="3"/>
      <c r="B2591" s="3"/>
      <c r="C2591" s="3"/>
      <c r="D2591" s="3"/>
      <c r="E2591" s="3">
        <v>8</v>
      </c>
      <c r="F2591" s="4" t="str">
        <f>HYPERLINK("http://141.218.60.56/~jnz1568/getInfo.php?workbook=18_15.xlsx&amp;sheet=U0&amp;row=2591&amp;col=6&amp;number=3.7&amp;sourceID=14","3.7")</f>
        <v>3.7</v>
      </c>
      <c r="G2591" s="4" t="str">
        <f>HYPERLINK("http://141.218.60.56/~jnz1568/getInfo.php?workbook=18_15.xlsx&amp;sheet=U0&amp;row=2591&amp;col=7&amp;number=0.0778&amp;sourceID=14","0.0778")</f>
        <v>0.0778</v>
      </c>
    </row>
    <row r="2592" spans="1:7">
      <c r="A2592" s="3"/>
      <c r="B2592" s="3"/>
      <c r="C2592" s="3"/>
      <c r="D2592" s="3"/>
      <c r="E2592" s="3">
        <v>9</v>
      </c>
      <c r="F2592" s="4" t="str">
        <f>HYPERLINK("http://141.218.60.56/~jnz1568/getInfo.php?workbook=18_15.xlsx&amp;sheet=U0&amp;row=2592&amp;col=6&amp;number=3.8&amp;sourceID=14","3.8")</f>
        <v>3.8</v>
      </c>
      <c r="G2592" s="4" t="str">
        <f>HYPERLINK("http://141.218.60.56/~jnz1568/getInfo.php?workbook=18_15.xlsx&amp;sheet=U0&amp;row=2592&amp;col=7&amp;number=0.075&amp;sourceID=14","0.075")</f>
        <v>0.075</v>
      </c>
    </row>
    <row r="2593" spans="1:7">
      <c r="A2593" s="3"/>
      <c r="B2593" s="3"/>
      <c r="C2593" s="3"/>
      <c r="D2593" s="3"/>
      <c r="E2593" s="3">
        <v>10</v>
      </c>
      <c r="F2593" s="4" t="str">
        <f>HYPERLINK("http://141.218.60.56/~jnz1568/getInfo.php?workbook=18_15.xlsx&amp;sheet=U0&amp;row=2593&amp;col=6&amp;number=3.9&amp;sourceID=14","3.9")</f>
        <v>3.9</v>
      </c>
      <c r="G2593" s="4" t="str">
        <f>HYPERLINK("http://141.218.60.56/~jnz1568/getInfo.php?workbook=18_15.xlsx&amp;sheet=U0&amp;row=2593&amp;col=7&amp;number=0.0726&amp;sourceID=14","0.0726")</f>
        <v>0.0726</v>
      </c>
    </row>
    <row r="2594" spans="1:7">
      <c r="A2594" s="3"/>
      <c r="B2594" s="3"/>
      <c r="C2594" s="3"/>
      <c r="D2594" s="3"/>
      <c r="E2594" s="3">
        <v>11</v>
      </c>
      <c r="F2594" s="4" t="str">
        <f>HYPERLINK("http://141.218.60.56/~jnz1568/getInfo.php?workbook=18_15.xlsx&amp;sheet=U0&amp;row=2594&amp;col=6&amp;number=4&amp;sourceID=14","4")</f>
        <v>4</v>
      </c>
      <c r="G2594" s="4" t="str">
        <f>HYPERLINK("http://141.218.60.56/~jnz1568/getInfo.php?workbook=18_15.xlsx&amp;sheet=U0&amp;row=2594&amp;col=7&amp;number=0.0712&amp;sourceID=14","0.0712")</f>
        <v>0.0712</v>
      </c>
    </row>
    <row r="2595" spans="1:7">
      <c r="A2595" s="3"/>
      <c r="B2595" s="3"/>
      <c r="C2595" s="3"/>
      <c r="D2595" s="3"/>
      <c r="E2595" s="3">
        <v>12</v>
      </c>
      <c r="F2595" s="4" t="str">
        <f>HYPERLINK("http://141.218.60.56/~jnz1568/getInfo.php?workbook=18_15.xlsx&amp;sheet=U0&amp;row=2595&amp;col=6&amp;number=4.1&amp;sourceID=14","4.1")</f>
        <v>4.1</v>
      </c>
      <c r="G2595" s="4" t="str">
        <f>HYPERLINK("http://141.218.60.56/~jnz1568/getInfo.php?workbook=18_15.xlsx&amp;sheet=U0&amp;row=2595&amp;col=7&amp;number=0.0713&amp;sourceID=14","0.0713")</f>
        <v>0.0713</v>
      </c>
    </row>
    <row r="2596" spans="1:7">
      <c r="A2596" s="3"/>
      <c r="B2596" s="3"/>
      <c r="C2596" s="3"/>
      <c r="D2596" s="3"/>
      <c r="E2596" s="3">
        <v>13</v>
      </c>
      <c r="F2596" s="4" t="str">
        <f>HYPERLINK("http://141.218.60.56/~jnz1568/getInfo.php?workbook=18_15.xlsx&amp;sheet=U0&amp;row=2596&amp;col=6&amp;number=4.2&amp;sourceID=14","4.2")</f>
        <v>4.2</v>
      </c>
      <c r="G2596" s="4" t="str">
        <f>HYPERLINK("http://141.218.60.56/~jnz1568/getInfo.php?workbook=18_15.xlsx&amp;sheet=U0&amp;row=2596&amp;col=7&amp;number=0.073&amp;sourceID=14","0.073")</f>
        <v>0.073</v>
      </c>
    </row>
    <row r="2597" spans="1:7">
      <c r="A2597" s="3"/>
      <c r="B2597" s="3"/>
      <c r="C2597" s="3"/>
      <c r="D2597" s="3"/>
      <c r="E2597" s="3">
        <v>14</v>
      </c>
      <c r="F2597" s="4" t="str">
        <f>HYPERLINK("http://141.218.60.56/~jnz1568/getInfo.php?workbook=18_15.xlsx&amp;sheet=U0&amp;row=2597&amp;col=6&amp;number=4.3&amp;sourceID=14","4.3")</f>
        <v>4.3</v>
      </c>
      <c r="G2597" s="4" t="str">
        <f>HYPERLINK("http://141.218.60.56/~jnz1568/getInfo.php?workbook=18_15.xlsx&amp;sheet=U0&amp;row=2597&amp;col=7&amp;number=0.076&amp;sourceID=14","0.076")</f>
        <v>0.076</v>
      </c>
    </row>
    <row r="2598" spans="1:7">
      <c r="A2598" s="3"/>
      <c r="B2598" s="3"/>
      <c r="C2598" s="3"/>
      <c r="D2598" s="3"/>
      <c r="E2598" s="3">
        <v>15</v>
      </c>
      <c r="F2598" s="4" t="str">
        <f>HYPERLINK("http://141.218.60.56/~jnz1568/getInfo.php?workbook=18_15.xlsx&amp;sheet=U0&amp;row=2598&amp;col=6&amp;number=4.4&amp;sourceID=14","4.4")</f>
        <v>4.4</v>
      </c>
      <c r="G2598" s="4" t="str">
        <f>HYPERLINK("http://141.218.60.56/~jnz1568/getInfo.php?workbook=18_15.xlsx&amp;sheet=U0&amp;row=2598&amp;col=7&amp;number=0.0797&amp;sourceID=14","0.0797")</f>
        <v>0.0797</v>
      </c>
    </row>
    <row r="2599" spans="1:7">
      <c r="A2599" s="3"/>
      <c r="B2599" s="3"/>
      <c r="C2599" s="3"/>
      <c r="D2599" s="3"/>
      <c r="E2599" s="3">
        <v>16</v>
      </c>
      <c r="F2599" s="4" t="str">
        <f>HYPERLINK("http://141.218.60.56/~jnz1568/getInfo.php?workbook=18_15.xlsx&amp;sheet=U0&amp;row=2599&amp;col=6&amp;number=4.5&amp;sourceID=14","4.5")</f>
        <v>4.5</v>
      </c>
      <c r="G2599" s="4" t="str">
        <f>HYPERLINK("http://141.218.60.56/~jnz1568/getInfo.php?workbook=18_15.xlsx&amp;sheet=U0&amp;row=2599&amp;col=7&amp;number=0.0836&amp;sourceID=14","0.0836")</f>
        <v>0.0836</v>
      </c>
    </row>
    <row r="2600" spans="1:7">
      <c r="A2600" s="3"/>
      <c r="B2600" s="3"/>
      <c r="C2600" s="3"/>
      <c r="D2600" s="3"/>
      <c r="E2600" s="3">
        <v>17</v>
      </c>
      <c r="F2600" s="4" t="str">
        <f>HYPERLINK("http://141.218.60.56/~jnz1568/getInfo.php?workbook=18_15.xlsx&amp;sheet=U0&amp;row=2600&amp;col=6&amp;number=4.6&amp;sourceID=14","4.6")</f>
        <v>4.6</v>
      </c>
      <c r="G2600" s="4" t="str">
        <f>HYPERLINK("http://141.218.60.56/~jnz1568/getInfo.php?workbook=18_15.xlsx&amp;sheet=U0&amp;row=2600&amp;col=7&amp;number=0.0869&amp;sourceID=14","0.0869")</f>
        <v>0.0869</v>
      </c>
    </row>
    <row r="2601" spans="1:7">
      <c r="A2601" s="3"/>
      <c r="B2601" s="3"/>
      <c r="C2601" s="3"/>
      <c r="D2601" s="3"/>
      <c r="E2601" s="3">
        <v>18</v>
      </c>
      <c r="F2601" s="4" t="str">
        <f>HYPERLINK("http://141.218.60.56/~jnz1568/getInfo.php?workbook=18_15.xlsx&amp;sheet=U0&amp;row=2601&amp;col=6&amp;number=4.7&amp;sourceID=14","4.7")</f>
        <v>4.7</v>
      </c>
      <c r="G2601" s="4" t="str">
        <f>HYPERLINK("http://141.218.60.56/~jnz1568/getInfo.php?workbook=18_15.xlsx&amp;sheet=U0&amp;row=2601&amp;col=7&amp;number=0.0895&amp;sourceID=14","0.0895")</f>
        <v>0.0895</v>
      </c>
    </row>
    <row r="2602" spans="1:7">
      <c r="A2602" s="3"/>
      <c r="B2602" s="3"/>
      <c r="C2602" s="3"/>
      <c r="D2602" s="3"/>
      <c r="E2602" s="3">
        <v>19</v>
      </c>
      <c r="F2602" s="4" t="str">
        <f>HYPERLINK("http://141.218.60.56/~jnz1568/getInfo.php?workbook=18_15.xlsx&amp;sheet=U0&amp;row=2602&amp;col=6&amp;number=4.8&amp;sourceID=14","4.8")</f>
        <v>4.8</v>
      </c>
      <c r="G2602" s="4" t="str">
        <f>HYPERLINK("http://141.218.60.56/~jnz1568/getInfo.php?workbook=18_15.xlsx&amp;sheet=U0&amp;row=2602&amp;col=7&amp;number=0.091&amp;sourceID=14","0.091")</f>
        <v>0.091</v>
      </c>
    </row>
    <row r="2603" spans="1:7">
      <c r="A2603" s="3"/>
      <c r="B2603" s="3"/>
      <c r="C2603" s="3"/>
      <c r="D2603" s="3"/>
      <c r="E2603" s="3">
        <v>20</v>
      </c>
      <c r="F2603" s="4" t="str">
        <f>HYPERLINK("http://141.218.60.56/~jnz1568/getInfo.php?workbook=18_15.xlsx&amp;sheet=U0&amp;row=2603&amp;col=6&amp;number=4.9&amp;sourceID=14","4.9")</f>
        <v>4.9</v>
      </c>
      <c r="G2603" s="4" t="str">
        <f>HYPERLINK("http://141.218.60.56/~jnz1568/getInfo.php?workbook=18_15.xlsx&amp;sheet=U0&amp;row=2603&amp;col=7&amp;number=0.0911&amp;sourceID=14","0.0911")</f>
        <v>0.0911</v>
      </c>
    </row>
    <row r="2604" spans="1:7">
      <c r="A2604" s="3">
        <v>18</v>
      </c>
      <c r="B2604" s="3">
        <v>15</v>
      </c>
      <c r="C2604" s="3">
        <v>5</v>
      </c>
      <c r="D2604" s="3">
        <v>27</v>
      </c>
      <c r="E2604" s="3">
        <v>1</v>
      </c>
      <c r="F2604" s="4" t="str">
        <f>HYPERLINK("http://141.218.60.56/~jnz1568/getInfo.php?workbook=18_15.xlsx&amp;sheet=U0&amp;row=2604&amp;col=6&amp;number=3&amp;sourceID=14","3")</f>
        <v>3</v>
      </c>
      <c r="G2604" s="4" t="str">
        <f>HYPERLINK("http://141.218.60.56/~jnz1568/getInfo.php?workbook=18_15.xlsx&amp;sheet=U0&amp;row=2604&amp;col=7&amp;number=0.174&amp;sourceID=14","0.174")</f>
        <v>0.174</v>
      </c>
    </row>
    <row r="2605" spans="1:7">
      <c r="A2605" s="3"/>
      <c r="B2605" s="3"/>
      <c r="C2605" s="3"/>
      <c r="D2605" s="3"/>
      <c r="E2605" s="3">
        <v>2</v>
      </c>
      <c r="F2605" s="4" t="str">
        <f>HYPERLINK("http://141.218.60.56/~jnz1568/getInfo.php?workbook=18_15.xlsx&amp;sheet=U0&amp;row=2605&amp;col=6&amp;number=3.1&amp;sourceID=14","3.1")</f>
        <v>3.1</v>
      </c>
      <c r="G2605" s="4" t="str">
        <f>HYPERLINK("http://141.218.60.56/~jnz1568/getInfo.php?workbook=18_15.xlsx&amp;sheet=U0&amp;row=2605&amp;col=7&amp;number=0.173&amp;sourceID=14","0.173")</f>
        <v>0.173</v>
      </c>
    </row>
    <row r="2606" spans="1:7">
      <c r="A2606" s="3"/>
      <c r="B2606" s="3"/>
      <c r="C2606" s="3"/>
      <c r="D2606" s="3"/>
      <c r="E2606" s="3">
        <v>3</v>
      </c>
      <c r="F2606" s="4" t="str">
        <f>HYPERLINK("http://141.218.60.56/~jnz1568/getInfo.php?workbook=18_15.xlsx&amp;sheet=U0&amp;row=2606&amp;col=6&amp;number=3.2&amp;sourceID=14","3.2")</f>
        <v>3.2</v>
      </c>
      <c r="G2606" s="4" t="str">
        <f>HYPERLINK("http://141.218.60.56/~jnz1568/getInfo.php?workbook=18_15.xlsx&amp;sheet=U0&amp;row=2606&amp;col=7&amp;number=0.171&amp;sourceID=14","0.171")</f>
        <v>0.171</v>
      </c>
    </row>
    <row r="2607" spans="1:7">
      <c r="A2607" s="3"/>
      <c r="B2607" s="3"/>
      <c r="C2607" s="3"/>
      <c r="D2607" s="3"/>
      <c r="E2607" s="3">
        <v>4</v>
      </c>
      <c r="F2607" s="4" t="str">
        <f>HYPERLINK("http://141.218.60.56/~jnz1568/getInfo.php?workbook=18_15.xlsx&amp;sheet=U0&amp;row=2607&amp;col=6&amp;number=3.3&amp;sourceID=14","3.3")</f>
        <v>3.3</v>
      </c>
      <c r="G2607" s="4" t="str">
        <f>HYPERLINK("http://141.218.60.56/~jnz1568/getInfo.php?workbook=18_15.xlsx&amp;sheet=U0&amp;row=2607&amp;col=7&amp;number=0.168&amp;sourceID=14","0.168")</f>
        <v>0.168</v>
      </c>
    </row>
    <row r="2608" spans="1:7">
      <c r="A2608" s="3"/>
      <c r="B2608" s="3"/>
      <c r="C2608" s="3"/>
      <c r="D2608" s="3"/>
      <c r="E2608" s="3">
        <v>5</v>
      </c>
      <c r="F2608" s="4" t="str">
        <f>HYPERLINK("http://141.218.60.56/~jnz1568/getInfo.php?workbook=18_15.xlsx&amp;sheet=U0&amp;row=2608&amp;col=6&amp;number=3.4&amp;sourceID=14","3.4")</f>
        <v>3.4</v>
      </c>
      <c r="G2608" s="4" t="str">
        <f>HYPERLINK("http://141.218.60.56/~jnz1568/getInfo.php?workbook=18_15.xlsx&amp;sheet=U0&amp;row=2608&amp;col=7&amp;number=0.165&amp;sourceID=14","0.165")</f>
        <v>0.165</v>
      </c>
    </row>
    <row r="2609" spans="1:7">
      <c r="A2609" s="3"/>
      <c r="B2609" s="3"/>
      <c r="C2609" s="3"/>
      <c r="D2609" s="3"/>
      <c r="E2609" s="3">
        <v>6</v>
      </c>
      <c r="F2609" s="4" t="str">
        <f>HYPERLINK("http://141.218.60.56/~jnz1568/getInfo.php?workbook=18_15.xlsx&amp;sheet=U0&amp;row=2609&amp;col=6&amp;number=3.5&amp;sourceID=14","3.5")</f>
        <v>3.5</v>
      </c>
      <c r="G2609" s="4" t="str">
        <f>HYPERLINK("http://141.218.60.56/~jnz1568/getInfo.php?workbook=18_15.xlsx&amp;sheet=U0&amp;row=2609&amp;col=7&amp;number=0.162&amp;sourceID=14","0.162")</f>
        <v>0.162</v>
      </c>
    </row>
    <row r="2610" spans="1:7">
      <c r="A2610" s="3"/>
      <c r="B2610" s="3"/>
      <c r="C2610" s="3"/>
      <c r="D2610" s="3"/>
      <c r="E2610" s="3">
        <v>7</v>
      </c>
      <c r="F2610" s="4" t="str">
        <f>HYPERLINK("http://141.218.60.56/~jnz1568/getInfo.php?workbook=18_15.xlsx&amp;sheet=U0&amp;row=2610&amp;col=6&amp;number=3.6&amp;sourceID=14","3.6")</f>
        <v>3.6</v>
      </c>
      <c r="G2610" s="4" t="str">
        <f>HYPERLINK("http://141.218.60.56/~jnz1568/getInfo.php?workbook=18_15.xlsx&amp;sheet=U0&amp;row=2610&amp;col=7&amp;number=0.158&amp;sourceID=14","0.158")</f>
        <v>0.158</v>
      </c>
    </row>
    <row r="2611" spans="1:7">
      <c r="A2611" s="3"/>
      <c r="B2611" s="3"/>
      <c r="C2611" s="3"/>
      <c r="D2611" s="3"/>
      <c r="E2611" s="3">
        <v>8</v>
      </c>
      <c r="F2611" s="4" t="str">
        <f>HYPERLINK("http://141.218.60.56/~jnz1568/getInfo.php?workbook=18_15.xlsx&amp;sheet=U0&amp;row=2611&amp;col=6&amp;number=3.7&amp;sourceID=14","3.7")</f>
        <v>3.7</v>
      </c>
      <c r="G2611" s="4" t="str">
        <f>HYPERLINK("http://141.218.60.56/~jnz1568/getInfo.php?workbook=18_15.xlsx&amp;sheet=U0&amp;row=2611&amp;col=7&amp;number=0.153&amp;sourceID=14","0.153")</f>
        <v>0.153</v>
      </c>
    </row>
    <row r="2612" spans="1:7">
      <c r="A2612" s="3"/>
      <c r="B2612" s="3"/>
      <c r="C2612" s="3"/>
      <c r="D2612" s="3"/>
      <c r="E2612" s="3">
        <v>9</v>
      </c>
      <c r="F2612" s="4" t="str">
        <f>HYPERLINK("http://141.218.60.56/~jnz1568/getInfo.php?workbook=18_15.xlsx&amp;sheet=U0&amp;row=2612&amp;col=6&amp;number=3.8&amp;sourceID=14","3.8")</f>
        <v>3.8</v>
      </c>
      <c r="G2612" s="4" t="str">
        <f>HYPERLINK("http://141.218.60.56/~jnz1568/getInfo.php?workbook=18_15.xlsx&amp;sheet=U0&amp;row=2612&amp;col=7&amp;number=0.148&amp;sourceID=14","0.148")</f>
        <v>0.148</v>
      </c>
    </row>
    <row r="2613" spans="1:7">
      <c r="A2613" s="3"/>
      <c r="B2613" s="3"/>
      <c r="C2613" s="3"/>
      <c r="D2613" s="3"/>
      <c r="E2613" s="3">
        <v>10</v>
      </c>
      <c r="F2613" s="4" t="str">
        <f>HYPERLINK("http://141.218.60.56/~jnz1568/getInfo.php?workbook=18_15.xlsx&amp;sheet=U0&amp;row=2613&amp;col=6&amp;number=3.9&amp;sourceID=14","3.9")</f>
        <v>3.9</v>
      </c>
      <c r="G2613" s="4" t="str">
        <f>HYPERLINK("http://141.218.60.56/~jnz1568/getInfo.php?workbook=18_15.xlsx&amp;sheet=U0&amp;row=2613&amp;col=7&amp;number=0.142&amp;sourceID=14","0.142")</f>
        <v>0.142</v>
      </c>
    </row>
    <row r="2614" spans="1:7">
      <c r="A2614" s="3"/>
      <c r="B2614" s="3"/>
      <c r="C2614" s="3"/>
      <c r="D2614" s="3"/>
      <c r="E2614" s="3">
        <v>11</v>
      </c>
      <c r="F2614" s="4" t="str">
        <f>HYPERLINK("http://141.218.60.56/~jnz1568/getInfo.php?workbook=18_15.xlsx&amp;sheet=U0&amp;row=2614&amp;col=6&amp;number=4&amp;sourceID=14","4")</f>
        <v>4</v>
      </c>
      <c r="G2614" s="4" t="str">
        <f>HYPERLINK("http://141.218.60.56/~jnz1568/getInfo.php?workbook=18_15.xlsx&amp;sheet=U0&amp;row=2614&amp;col=7&amp;number=0.138&amp;sourceID=14","0.138")</f>
        <v>0.138</v>
      </c>
    </row>
    <row r="2615" spans="1:7">
      <c r="A2615" s="3"/>
      <c r="B2615" s="3"/>
      <c r="C2615" s="3"/>
      <c r="D2615" s="3"/>
      <c r="E2615" s="3">
        <v>12</v>
      </c>
      <c r="F2615" s="4" t="str">
        <f>HYPERLINK("http://141.218.60.56/~jnz1568/getInfo.php?workbook=18_15.xlsx&amp;sheet=U0&amp;row=2615&amp;col=6&amp;number=4.1&amp;sourceID=14","4.1")</f>
        <v>4.1</v>
      </c>
      <c r="G2615" s="4" t="str">
        <f>HYPERLINK("http://141.218.60.56/~jnz1568/getInfo.php?workbook=18_15.xlsx&amp;sheet=U0&amp;row=2615&amp;col=7&amp;number=0.137&amp;sourceID=14","0.137")</f>
        <v>0.137</v>
      </c>
    </row>
    <row r="2616" spans="1:7">
      <c r="A2616" s="3"/>
      <c r="B2616" s="3"/>
      <c r="C2616" s="3"/>
      <c r="D2616" s="3"/>
      <c r="E2616" s="3">
        <v>13</v>
      </c>
      <c r="F2616" s="4" t="str">
        <f>HYPERLINK("http://141.218.60.56/~jnz1568/getInfo.php?workbook=18_15.xlsx&amp;sheet=U0&amp;row=2616&amp;col=6&amp;number=4.2&amp;sourceID=14","4.2")</f>
        <v>4.2</v>
      </c>
      <c r="G2616" s="4" t="str">
        <f>HYPERLINK("http://141.218.60.56/~jnz1568/getInfo.php?workbook=18_15.xlsx&amp;sheet=U0&amp;row=2616&amp;col=7&amp;number=0.138&amp;sourceID=14","0.138")</f>
        <v>0.138</v>
      </c>
    </row>
    <row r="2617" spans="1:7">
      <c r="A2617" s="3"/>
      <c r="B2617" s="3"/>
      <c r="C2617" s="3"/>
      <c r="D2617" s="3"/>
      <c r="E2617" s="3">
        <v>14</v>
      </c>
      <c r="F2617" s="4" t="str">
        <f>HYPERLINK("http://141.218.60.56/~jnz1568/getInfo.php?workbook=18_15.xlsx&amp;sheet=U0&amp;row=2617&amp;col=6&amp;number=4.3&amp;sourceID=14","4.3")</f>
        <v>4.3</v>
      </c>
      <c r="G2617" s="4" t="str">
        <f>HYPERLINK("http://141.218.60.56/~jnz1568/getInfo.php?workbook=18_15.xlsx&amp;sheet=U0&amp;row=2617&amp;col=7&amp;number=0.143&amp;sourceID=14","0.143")</f>
        <v>0.143</v>
      </c>
    </row>
    <row r="2618" spans="1:7">
      <c r="A2618" s="3"/>
      <c r="B2618" s="3"/>
      <c r="C2618" s="3"/>
      <c r="D2618" s="3"/>
      <c r="E2618" s="3">
        <v>15</v>
      </c>
      <c r="F2618" s="4" t="str">
        <f>HYPERLINK("http://141.218.60.56/~jnz1568/getInfo.php?workbook=18_15.xlsx&amp;sheet=U0&amp;row=2618&amp;col=6&amp;number=4.4&amp;sourceID=14","4.4")</f>
        <v>4.4</v>
      </c>
      <c r="G2618" s="4" t="str">
        <f>HYPERLINK("http://141.218.60.56/~jnz1568/getInfo.php?workbook=18_15.xlsx&amp;sheet=U0&amp;row=2618&amp;col=7&amp;number=0.149&amp;sourceID=14","0.149")</f>
        <v>0.149</v>
      </c>
    </row>
    <row r="2619" spans="1:7">
      <c r="A2619" s="3"/>
      <c r="B2619" s="3"/>
      <c r="C2619" s="3"/>
      <c r="D2619" s="3"/>
      <c r="E2619" s="3">
        <v>16</v>
      </c>
      <c r="F2619" s="4" t="str">
        <f>HYPERLINK("http://141.218.60.56/~jnz1568/getInfo.php?workbook=18_15.xlsx&amp;sheet=U0&amp;row=2619&amp;col=6&amp;number=4.5&amp;sourceID=14","4.5")</f>
        <v>4.5</v>
      </c>
      <c r="G2619" s="4" t="str">
        <f>HYPERLINK("http://141.218.60.56/~jnz1568/getInfo.php?workbook=18_15.xlsx&amp;sheet=U0&amp;row=2619&amp;col=7&amp;number=0.155&amp;sourceID=14","0.155")</f>
        <v>0.155</v>
      </c>
    </row>
    <row r="2620" spans="1:7">
      <c r="A2620" s="3"/>
      <c r="B2620" s="3"/>
      <c r="C2620" s="3"/>
      <c r="D2620" s="3"/>
      <c r="E2620" s="3">
        <v>17</v>
      </c>
      <c r="F2620" s="4" t="str">
        <f>HYPERLINK("http://141.218.60.56/~jnz1568/getInfo.php?workbook=18_15.xlsx&amp;sheet=U0&amp;row=2620&amp;col=6&amp;number=4.6&amp;sourceID=14","4.6")</f>
        <v>4.6</v>
      </c>
      <c r="G2620" s="4" t="str">
        <f>HYPERLINK("http://141.218.60.56/~jnz1568/getInfo.php?workbook=18_15.xlsx&amp;sheet=U0&amp;row=2620&amp;col=7&amp;number=0.161&amp;sourceID=14","0.161")</f>
        <v>0.161</v>
      </c>
    </row>
    <row r="2621" spans="1:7">
      <c r="A2621" s="3"/>
      <c r="B2621" s="3"/>
      <c r="C2621" s="3"/>
      <c r="D2621" s="3"/>
      <c r="E2621" s="3">
        <v>18</v>
      </c>
      <c r="F2621" s="4" t="str">
        <f>HYPERLINK("http://141.218.60.56/~jnz1568/getInfo.php?workbook=18_15.xlsx&amp;sheet=U0&amp;row=2621&amp;col=6&amp;number=4.7&amp;sourceID=14","4.7")</f>
        <v>4.7</v>
      </c>
      <c r="G2621" s="4" t="str">
        <f>HYPERLINK("http://141.218.60.56/~jnz1568/getInfo.php?workbook=18_15.xlsx&amp;sheet=U0&amp;row=2621&amp;col=7&amp;number=0.166&amp;sourceID=14","0.166")</f>
        <v>0.166</v>
      </c>
    </row>
    <row r="2622" spans="1:7">
      <c r="A2622" s="3"/>
      <c r="B2622" s="3"/>
      <c r="C2622" s="3"/>
      <c r="D2622" s="3"/>
      <c r="E2622" s="3">
        <v>19</v>
      </c>
      <c r="F2622" s="4" t="str">
        <f>HYPERLINK("http://141.218.60.56/~jnz1568/getInfo.php?workbook=18_15.xlsx&amp;sheet=U0&amp;row=2622&amp;col=6&amp;number=4.8&amp;sourceID=14","4.8")</f>
        <v>4.8</v>
      </c>
      <c r="G2622" s="4" t="str">
        <f>HYPERLINK("http://141.218.60.56/~jnz1568/getInfo.php?workbook=18_15.xlsx&amp;sheet=U0&amp;row=2622&amp;col=7&amp;number=0.17&amp;sourceID=14","0.17")</f>
        <v>0.17</v>
      </c>
    </row>
    <row r="2623" spans="1:7">
      <c r="A2623" s="3"/>
      <c r="B2623" s="3"/>
      <c r="C2623" s="3"/>
      <c r="D2623" s="3"/>
      <c r="E2623" s="3">
        <v>20</v>
      </c>
      <c r="F2623" s="4" t="str">
        <f>HYPERLINK("http://141.218.60.56/~jnz1568/getInfo.php?workbook=18_15.xlsx&amp;sheet=U0&amp;row=2623&amp;col=6&amp;number=4.9&amp;sourceID=14","4.9")</f>
        <v>4.9</v>
      </c>
      <c r="G2623" s="4" t="str">
        <f>HYPERLINK("http://141.218.60.56/~jnz1568/getInfo.php?workbook=18_15.xlsx&amp;sheet=U0&amp;row=2623&amp;col=7&amp;number=0.172&amp;sourceID=14","0.172")</f>
        <v>0.172</v>
      </c>
    </row>
    <row r="2624" spans="1:7">
      <c r="A2624" s="3">
        <v>18</v>
      </c>
      <c r="B2624" s="3">
        <v>15</v>
      </c>
      <c r="C2624" s="3">
        <v>5</v>
      </c>
      <c r="D2624" s="3">
        <v>28</v>
      </c>
      <c r="E2624" s="3">
        <v>1</v>
      </c>
      <c r="F2624" s="4" t="str">
        <f>HYPERLINK("http://141.218.60.56/~jnz1568/getInfo.php?workbook=18_15.xlsx&amp;sheet=U0&amp;row=2624&amp;col=6&amp;number=3&amp;sourceID=14","3")</f>
        <v>3</v>
      </c>
      <c r="G2624" s="4" t="str">
        <f>HYPERLINK("http://141.218.60.56/~jnz1568/getInfo.php?workbook=18_15.xlsx&amp;sheet=U0&amp;row=2624&amp;col=7&amp;number=0.26&amp;sourceID=14","0.26")</f>
        <v>0.26</v>
      </c>
    </row>
    <row r="2625" spans="1:7">
      <c r="A2625" s="3"/>
      <c r="B2625" s="3"/>
      <c r="C2625" s="3"/>
      <c r="D2625" s="3"/>
      <c r="E2625" s="3">
        <v>2</v>
      </c>
      <c r="F2625" s="4" t="str">
        <f>HYPERLINK("http://141.218.60.56/~jnz1568/getInfo.php?workbook=18_15.xlsx&amp;sheet=U0&amp;row=2625&amp;col=6&amp;number=3.1&amp;sourceID=14","3.1")</f>
        <v>3.1</v>
      </c>
      <c r="G2625" s="4" t="str">
        <f>HYPERLINK("http://141.218.60.56/~jnz1568/getInfo.php?workbook=18_15.xlsx&amp;sheet=U0&amp;row=2625&amp;col=7&amp;number=0.257&amp;sourceID=14","0.257")</f>
        <v>0.257</v>
      </c>
    </row>
    <row r="2626" spans="1:7">
      <c r="A2626" s="3"/>
      <c r="B2626" s="3"/>
      <c r="C2626" s="3"/>
      <c r="D2626" s="3"/>
      <c r="E2626" s="3">
        <v>3</v>
      </c>
      <c r="F2626" s="4" t="str">
        <f>HYPERLINK("http://141.218.60.56/~jnz1568/getInfo.php?workbook=18_15.xlsx&amp;sheet=U0&amp;row=2626&amp;col=6&amp;number=3.2&amp;sourceID=14","3.2")</f>
        <v>3.2</v>
      </c>
      <c r="G2626" s="4" t="str">
        <f>HYPERLINK("http://141.218.60.56/~jnz1568/getInfo.php?workbook=18_15.xlsx&amp;sheet=U0&amp;row=2626&amp;col=7&amp;number=0.254&amp;sourceID=14","0.254")</f>
        <v>0.254</v>
      </c>
    </row>
    <row r="2627" spans="1:7">
      <c r="A2627" s="3"/>
      <c r="B2627" s="3"/>
      <c r="C2627" s="3"/>
      <c r="D2627" s="3"/>
      <c r="E2627" s="3">
        <v>4</v>
      </c>
      <c r="F2627" s="4" t="str">
        <f>HYPERLINK("http://141.218.60.56/~jnz1568/getInfo.php?workbook=18_15.xlsx&amp;sheet=U0&amp;row=2627&amp;col=6&amp;number=3.3&amp;sourceID=14","3.3")</f>
        <v>3.3</v>
      </c>
      <c r="G2627" s="4" t="str">
        <f>HYPERLINK("http://141.218.60.56/~jnz1568/getInfo.php?workbook=18_15.xlsx&amp;sheet=U0&amp;row=2627&amp;col=7&amp;number=0.25&amp;sourceID=14","0.25")</f>
        <v>0.25</v>
      </c>
    </row>
    <row r="2628" spans="1:7">
      <c r="A2628" s="3"/>
      <c r="B2628" s="3"/>
      <c r="C2628" s="3"/>
      <c r="D2628" s="3"/>
      <c r="E2628" s="3">
        <v>5</v>
      </c>
      <c r="F2628" s="4" t="str">
        <f>HYPERLINK("http://141.218.60.56/~jnz1568/getInfo.php?workbook=18_15.xlsx&amp;sheet=U0&amp;row=2628&amp;col=6&amp;number=3.4&amp;sourceID=14","3.4")</f>
        <v>3.4</v>
      </c>
      <c r="G2628" s="4" t="str">
        <f>HYPERLINK("http://141.218.60.56/~jnz1568/getInfo.php?workbook=18_15.xlsx&amp;sheet=U0&amp;row=2628&amp;col=7&amp;number=0.245&amp;sourceID=14","0.245")</f>
        <v>0.245</v>
      </c>
    </row>
    <row r="2629" spans="1:7">
      <c r="A2629" s="3"/>
      <c r="B2629" s="3"/>
      <c r="C2629" s="3"/>
      <c r="D2629" s="3"/>
      <c r="E2629" s="3">
        <v>6</v>
      </c>
      <c r="F2629" s="4" t="str">
        <f>HYPERLINK("http://141.218.60.56/~jnz1568/getInfo.php?workbook=18_15.xlsx&amp;sheet=U0&amp;row=2629&amp;col=6&amp;number=3.5&amp;sourceID=14","3.5")</f>
        <v>3.5</v>
      </c>
      <c r="G2629" s="4" t="str">
        <f>HYPERLINK("http://141.218.60.56/~jnz1568/getInfo.php?workbook=18_15.xlsx&amp;sheet=U0&amp;row=2629&amp;col=7&amp;number=0.238&amp;sourceID=14","0.238")</f>
        <v>0.238</v>
      </c>
    </row>
    <row r="2630" spans="1:7">
      <c r="A2630" s="3"/>
      <c r="B2630" s="3"/>
      <c r="C2630" s="3"/>
      <c r="D2630" s="3"/>
      <c r="E2630" s="3">
        <v>7</v>
      </c>
      <c r="F2630" s="4" t="str">
        <f>HYPERLINK("http://141.218.60.56/~jnz1568/getInfo.php?workbook=18_15.xlsx&amp;sheet=U0&amp;row=2630&amp;col=6&amp;number=3.6&amp;sourceID=14","3.6")</f>
        <v>3.6</v>
      </c>
      <c r="G2630" s="4" t="str">
        <f>HYPERLINK("http://141.218.60.56/~jnz1568/getInfo.php?workbook=18_15.xlsx&amp;sheet=U0&amp;row=2630&amp;col=7&amp;number=0.231&amp;sourceID=14","0.231")</f>
        <v>0.231</v>
      </c>
    </row>
    <row r="2631" spans="1:7">
      <c r="A2631" s="3"/>
      <c r="B2631" s="3"/>
      <c r="C2631" s="3"/>
      <c r="D2631" s="3"/>
      <c r="E2631" s="3">
        <v>8</v>
      </c>
      <c r="F2631" s="4" t="str">
        <f>HYPERLINK("http://141.218.60.56/~jnz1568/getInfo.php?workbook=18_15.xlsx&amp;sheet=U0&amp;row=2631&amp;col=6&amp;number=3.7&amp;sourceID=14","3.7")</f>
        <v>3.7</v>
      </c>
      <c r="G2631" s="4" t="str">
        <f>HYPERLINK("http://141.218.60.56/~jnz1568/getInfo.php?workbook=18_15.xlsx&amp;sheet=U0&amp;row=2631&amp;col=7&amp;number=0.223&amp;sourceID=14","0.223")</f>
        <v>0.223</v>
      </c>
    </row>
    <row r="2632" spans="1:7">
      <c r="A2632" s="3"/>
      <c r="B2632" s="3"/>
      <c r="C2632" s="3"/>
      <c r="D2632" s="3"/>
      <c r="E2632" s="3">
        <v>9</v>
      </c>
      <c r="F2632" s="4" t="str">
        <f>HYPERLINK("http://141.218.60.56/~jnz1568/getInfo.php?workbook=18_15.xlsx&amp;sheet=U0&amp;row=2632&amp;col=6&amp;number=3.8&amp;sourceID=14","3.8")</f>
        <v>3.8</v>
      </c>
      <c r="G2632" s="4" t="str">
        <f>HYPERLINK("http://141.218.60.56/~jnz1568/getInfo.php?workbook=18_15.xlsx&amp;sheet=U0&amp;row=2632&amp;col=7&amp;number=0.215&amp;sourceID=14","0.215")</f>
        <v>0.215</v>
      </c>
    </row>
    <row r="2633" spans="1:7">
      <c r="A2633" s="3"/>
      <c r="B2633" s="3"/>
      <c r="C2633" s="3"/>
      <c r="D2633" s="3"/>
      <c r="E2633" s="3">
        <v>10</v>
      </c>
      <c r="F2633" s="4" t="str">
        <f>HYPERLINK("http://141.218.60.56/~jnz1568/getInfo.php?workbook=18_15.xlsx&amp;sheet=U0&amp;row=2633&amp;col=6&amp;number=3.9&amp;sourceID=14","3.9")</f>
        <v>3.9</v>
      </c>
      <c r="G2633" s="4" t="str">
        <f>HYPERLINK("http://141.218.60.56/~jnz1568/getInfo.php?workbook=18_15.xlsx&amp;sheet=U0&amp;row=2633&amp;col=7&amp;number=0.208&amp;sourceID=14","0.208")</f>
        <v>0.208</v>
      </c>
    </row>
    <row r="2634" spans="1:7">
      <c r="A2634" s="3"/>
      <c r="B2634" s="3"/>
      <c r="C2634" s="3"/>
      <c r="D2634" s="3"/>
      <c r="E2634" s="3">
        <v>11</v>
      </c>
      <c r="F2634" s="4" t="str">
        <f>HYPERLINK("http://141.218.60.56/~jnz1568/getInfo.php?workbook=18_15.xlsx&amp;sheet=U0&amp;row=2634&amp;col=6&amp;number=4&amp;sourceID=14","4")</f>
        <v>4</v>
      </c>
      <c r="G2634" s="4" t="str">
        <f>HYPERLINK("http://141.218.60.56/~jnz1568/getInfo.php?workbook=18_15.xlsx&amp;sheet=U0&amp;row=2634&amp;col=7&amp;number=0.203&amp;sourceID=14","0.203")</f>
        <v>0.203</v>
      </c>
    </row>
    <row r="2635" spans="1:7">
      <c r="A2635" s="3"/>
      <c r="B2635" s="3"/>
      <c r="C2635" s="3"/>
      <c r="D2635" s="3"/>
      <c r="E2635" s="3">
        <v>12</v>
      </c>
      <c r="F2635" s="4" t="str">
        <f>HYPERLINK("http://141.218.60.56/~jnz1568/getInfo.php?workbook=18_15.xlsx&amp;sheet=U0&amp;row=2635&amp;col=6&amp;number=4.1&amp;sourceID=14","4.1")</f>
        <v>4.1</v>
      </c>
      <c r="G2635" s="4" t="str">
        <f>HYPERLINK("http://141.218.60.56/~jnz1568/getInfo.php?workbook=18_15.xlsx&amp;sheet=U0&amp;row=2635&amp;col=7&amp;number=0.201&amp;sourceID=14","0.201")</f>
        <v>0.201</v>
      </c>
    </row>
    <row r="2636" spans="1:7">
      <c r="A2636" s="3"/>
      <c r="B2636" s="3"/>
      <c r="C2636" s="3"/>
      <c r="D2636" s="3"/>
      <c r="E2636" s="3">
        <v>13</v>
      </c>
      <c r="F2636" s="4" t="str">
        <f>HYPERLINK("http://141.218.60.56/~jnz1568/getInfo.php?workbook=18_15.xlsx&amp;sheet=U0&amp;row=2636&amp;col=6&amp;number=4.2&amp;sourceID=14","4.2")</f>
        <v>4.2</v>
      </c>
      <c r="G2636" s="4" t="str">
        <f>HYPERLINK("http://141.218.60.56/~jnz1568/getInfo.php?workbook=18_15.xlsx&amp;sheet=U0&amp;row=2636&amp;col=7&amp;number=0.204&amp;sourceID=14","0.204")</f>
        <v>0.204</v>
      </c>
    </row>
    <row r="2637" spans="1:7">
      <c r="A2637" s="3"/>
      <c r="B2637" s="3"/>
      <c r="C2637" s="3"/>
      <c r="D2637" s="3"/>
      <c r="E2637" s="3">
        <v>14</v>
      </c>
      <c r="F2637" s="4" t="str">
        <f>HYPERLINK("http://141.218.60.56/~jnz1568/getInfo.php?workbook=18_15.xlsx&amp;sheet=U0&amp;row=2637&amp;col=6&amp;number=4.3&amp;sourceID=14","4.3")</f>
        <v>4.3</v>
      </c>
      <c r="G2637" s="4" t="str">
        <f>HYPERLINK("http://141.218.60.56/~jnz1568/getInfo.php?workbook=18_15.xlsx&amp;sheet=U0&amp;row=2637&amp;col=7&amp;number=0.209&amp;sourceID=14","0.209")</f>
        <v>0.209</v>
      </c>
    </row>
    <row r="2638" spans="1:7">
      <c r="A2638" s="3"/>
      <c r="B2638" s="3"/>
      <c r="C2638" s="3"/>
      <c r="D2638" s="3"/>
      <c r="E2638" s="3">
        <v>15</v>
      </c>
      <c r="F2638" s="4" t="str">
        <f>HYPERLINK("http://141.218.60.56/~jnz1568/getInfo.php?workbook=18_15.xlsx&amp;sheet=U0&amp;row=2638&amp;col=6&amp;number=4.4&amp;sourceID=14","4.4")</f>
        <v>4.4</v>
      </c>
      <c r="G2638" s="4" t="str">
        <f>HYPERLINK("http://141.218.60.56/~jnz1568/getInfo.php?workbook=18_15.xlsx&amp;sheet=U0&amp;row=2638&amp;col=7&amp;number=0.216&amp;sourceID=14","0.216")</f>
        <v>0.216</v>
      </c>
    </row>
    <row r="2639" spans="1:7">
      <c r="A2639" s="3"/>
      <c r="B2639" s="3"/>
      <c r="C2639" s="3"/>
      <c r="D2639" s="3"/>
      <c r="E2639" s="3">
        <v>16</v>
      </c>
      <c r="F2639" s="4" t="str">
        <f>HYPERLINK("http://141.218.60.56/~jnz1568/getInfo.php?workbook=18_15.xlsx&amp;sheet=U0&amp;row=2639&amp;col=6&amp;number=4.5&amp;sourceID=14","4.5")</f>
        <v>4.5</v>
      </c>
      <c r="G2639" s="4" t="str">
        <f>HYPERLINK("http://141.218.60.56/~jnz1568/getInfo.php?workbook=18_15.xlsx&amp;sheet=U0&amp;row=2639&amp;col=7&amp;number=0.223&amp;sourceID=14","0.223")</f>
        <v>0.223</v>
      </c>
    </row>
    <row r="2640" spans="1:7">
      <c r="A2640" s="3"/>
      <c r="B2640" s="3"/>
      <c r="C2640" s="3"/>
      <c r="D2640" s="3"/>
      <c r="E2640" s="3">
        <v>17</v>
      </c>
      <c r="F2640" s="4" t="str">
        <f>HYPERLINK("http://141.218.60.56/~jnz1568/getInfo.php?workbook=18_15.xlsx&amp;sheet=U0&amp;row=2640&amp;col=6&amp;number=4.6&amp;sourceID=14","4.6")</f>
        <v>4.6</v>
      </c>
      <c r="G2640" s="4" t="str">
        <f>HYPERLINK("http://141.218.60.56/~jnz1568/getInfo.php?workbook=18_15.xlsx&amp;sheet=U0&amp;row=2640&amp;col=7&amp;number=0.227&amp;sourceID=14","0.227")</f>
        <v>0.227</v>
      </c>
    </row>
    <row r="2641" spans="1:7">
      <c r="A2641" s="3"/>
      <c r="B2641" s="3"/>
      <c r="C2641" s="3"/>
      <c r="D2641" s="3"/>
      <c r="E2641" s="3">
        <v>18</v>
      </c>
      <c r="F2641" s="4" t="str">
        <f>HYPERLINK("http://141.218.60.56/~jnz1568/getInfo.php?workbook=18_15.xlsx&amp;sheet=U0&amp;row=2641&amp;col=6&amp;number=4.7&amp;sourceID=14","4.7")</f>
        <v>4.7</v>
      </c>
      <c r="G2641" s="4" t="str">
        <f>HYPERLINK("http://141.218.60.56/~jnz1568/getInfo.php?workbook=18_15.xlsx&amp;sheet=U0&amp;row=2641&amp;col=7&amp;number=0.23&amp;sourceID=14","0.23")</f>
        <v>0.23</v>
      </c>
    </row>
    <row r="2642" spans="1:7">
      <c r="A2642" s="3"/>
      <c r="B2642" s="3"/>
      <c r="C2642" s="3"/>
      <c r="D2642" s="3"/>
      <c r="E2642" s="3">
        <v>19</v>
      </c>
      <c r="F2642" s="4" t="str">
        <f>HYPERLINK("http://141.218.60.56/~jnz1568/getInfo.php?workbook=18_15.xlsx&amp;sheet=U0&amp;row=2642&amp;col=6&amp;number=4.8&amp;sourceID=14","4.8")</f>
        <v>4.8</v>
      </c>
      <c r="G2642" s="4" t="str">
        <f>HYPERLINK("http://141.218.60.56/~jnz1568/getInfo.php?workbook=18_15.xlsx&amp;sheet=U0&amp;row=2642&amp;col=7&amp;number=0.232&amp;sourceID=14","0.232")</f>
        <v>0.232</v>
      </c>
    </row>
    <row r="2643" spans="1:7">
      <c r="A2643" s="3"/>
      <c r="B2643" s="3"/>
      <c r="C2643" s="3"/>
      <c r="D2643" s="3"/>
      <c r="E2643" s="3">
        <v>20</v>
      </c>
      <c r="F2643" s="4" t="str">
        <f>HYPERLINK("http://141.218.60.56/~jnz1568/getInfo.php?workbook=18_15.xlsx&amp;sheet=U0&amp;row=2643&amp;col=6&amp;number=4.9&amp;sourceID=14","4.9")</f>
        <v>4.9</v>
      </c>
      <c r="G2643" s="4" t="str">
        <f>HYPERLINK("http://141.218.60.56/~jnz1568/getInfo.php?workbook=18_15.xlsx&amp;sheet=U0&amp;row=2643&amp;col=7&amp;number=0.231&amp;sourceID=14","0.231")</f>
        <v>0.231</v>
      </c>
    </row>
    <row r="2644" spans="1:7">
      <c r="A2644" s="3">
        <v>18</v>
      </c>
      <c r="B2644" s="3">
        <v>15</v>
      </c>
      <c r="C2644" s="3">
        <v>5</v>
      </c>
      <c r="D2644" s="3">
        <v>29</v>
      </c>
      <c r="E2644" s="3">
        <v>1</v>
      </c>
      <c r="F2644" s="4" t="str">
        <f>HYPERLINK("http://141.218.60.56/~jnz1568/getInfo.php?workbook=18_15.xlsx&amp;sheet=U0&amp;row=2644&amp;col=6&amp;number=3&amp;sourceID=14","3")</f>
        <v>3</v>
      </c>
      <c r="G2644" s="4" t="str">
        <f>HYPERLINK("http://141.218.60.56/~jnz1568/getInfo.php?workbook=18_15.xlsx&amp;sheet=U0&amp;row=2644&amp;col=7&amp;number=0.306&amp;sourceID=14","0.306")</f>
        <v>0.306</v>
      </c>
    </row>
    <row r="2645" spans="1:7">
      <c r="A2645" s="3"/>
      <c r="B2645" s="3"/>
      <c r="C2645" s="3"/>
      <c r="D2645" s="3"/>
      <c r="E2645" s="3">
        <v>2</v>
      </c>
      <c r="F2645" s="4" t="str">
        <f>HYPERLINK("http://141.218.60.56/~jnz1568/getInfo.php?workbook=18_15.xlsx&amp;sheet=U0&amp;row=2645&amp;col=6&amp;number=3.1&amp;sourceID=14","3.1")</f>
        <v>3.1</v>
      </c>
      <c r="G2645" s="4" t="str">
        <f>HYPERLINK("http://141.218.60.56/~jnz1568/getInfo.php?workbook=18_15.xlsx&amp;sheet=U0&amp;row=2645&amp;col=7&amp;number=0.305&amp;sourceID=14","0.305")</f>
        <v>0.305</v>
      </c>
    </row>
    <row r="2646" spans="1:7">
      <c r="A2646" s="3"/>
      <c r="B2646" s="3"/>
      <c r="C2646" s="3"/>
      <c r="D2646" s="3"/>
      <c r="E2646" s="3">
        <v>3</v>
      </c>
      <c r="F2646" s="4" t="str">
        <f>HYPERLINK("http://141.218.60.56/~jnz1568/getInfo.php?workbook=18_15.xlsx&amp;sheet=U0&amp;row=2646&amp;col=6&amp;number=3.2&amp;sourceID=14","3.2")</f>
        <v>3.2</v>
      </c>
      <c r="G2646" s="4" t="str">
        <f>HYPERLINK("http://141.218.60.56/~jnz1568/getInfo.php?workbook=18_15.xlsx&amp;sheet=U0&amp;row=2646&amp;col=7&amp;number=0.304&amp;sourceID=14","0.304")</f>
        <v>0.304</v>
      </c>
    </row>
    <row r="2647" spans="1:7">
      <c r="A2647" s="3"/>
      <c r="B2647" s="3"/>
      <c r="C2647" s="3"/>
      <c r="D2647" s="3"/>
      <c r="E2647" s="3">
        <v>4</v>
      </c>
      <c r="F2647" s="4" t="str">
        <f>HYPERLINK("http://141.218.60.56/~jnz1568/getInfo.php?workbook=18_15.xlsx&amp;sheet=U0&amp;row=2647&amp;col=6&amp;number=3.3&amp;sourceID=14","3.3")</f>
        <v>3.3</v>
      </c>
      <c r="G2647" s="4" t="str">
        <f>HYPERLINK("http://141.218.60.56/~jnz1568/getInfo.php?workbook=18_15.xlsx&amp;sheet=U0&amp;row=2647&amp;col=7&amp;number=0.303&amp;sourceID=14","0.303")</f>
        <v>0.303</v>
      </c>
    </row>
    <row r="2648" spans="1:7">
      <c r="A2648" s="3"/>
      <c r="B2648" s="3"/>
      <c r="C2648" s="3"/>
      <c r="D2648" s="3"/>
      <c r="E2648" s="3">
        <v>5</v>
      </c>
      <c r="F2648" s="4" t="str">
        <f>HYPERLINK("http://141.218.60.56/~jnz1568/getInfo.php?workbook=18_15.xlsx&amp;sheet=U0&amp;row=2648&amp;col=6&amp;number=3.4&amp;sourceID=14","3.4")</f>
        <v>3.4</v>
      </c>
      <c r="G2648" s="4" t="str">
        <f>HYPERLINK("http://141.218.60.56/~jnz1568/getInfo.php?workbook=18_15.xlsx&amp;sheet=U0&amp;row=2648&amp;col=7&amp;number=0.302&amp;sourceID=14","0.302")</f>
        <v>0.302</v>
      </c>
    </row>
    <row r="2649" spans="1:7">
      <c r="A2649" s="3"/>
      <c r="B2649" s="3"/>
      <c r="C2649" s="3"/>
      <c r="D2649" s="3"/>
      <c r="E2649" s="3">
        <v>6</v>
      </c>
      <c r="F2649" s="4" t="str">
        <f>HYPERLINK("http://141.218.60.56/~jnz1568/getInfo.php?workbook=18_15.xlsx&amp;sheet=U0&amp;row=2649&amp;col=6&amp;number=3.5&amp;sourceID=14","3.5")</f>
        <v>3.5</v>
      </c>
      <c r="G2649" s="4" t="str">
        <f>HYPERLINK("http://141.218.60.56/~jnz1568/getInfo.php?workbook=18_15.xlsx&amp;sheet=U0&amp;row=2649&amp;col=7&amp;number=0.301&amp;sourceID=14","0.301")</f>
        <v>0.301</v>
      </c>
    </row>
    <row r="2650" spans="1:7">
      <c r="A2650" s="3"/>
      <c r="B2650" s="3"/>
      <c r="C2650" s="3"/>
      <c r="D2650" s="3"/>
      <c r="E2650" s="3">
        <v>7</v>
      </c>
      <c r="F2650" s="4" t="str">
        <f>HYPERLINK("http://141.218.60.56/~jnz1568/getInfo.php?workbook=18_15.xlsx&amp;sheet=U0&amp;row=2650&amp;col=6&amp;number=3.6&amp;sourceID=14","3.6")</f>
        <v>3.6</v>
      </c>
      <c r="G2650" s="4" t="str">
        <f>HYPERLINK("http://141.218.60.56/~jnz1568/getInfo.php?workbook=18_15.xlsx&amp;sheet=U0&amp;row=2650&amp;col=7&amp;number=0.299&amp;sourceID=14","0.299")</f>
        <v>0.299</v>
      </c>
    </row>
    <row r="2651" spans="1:7">
      <c r="A2651" s="3"/>
      <c r="B2651" s="3"/>
      <c r="C2651" s="3"/>
      <c r="D2651" s="3"/>
      <c r="E2651" s="3">
        <v>8</v>
      </c>
      <c r="F2651" s="4" t="str">
        <f>HYPERLINK("http://141.218.60.56/~jnz1568/getInfo.php?workbook=18_15.xlsx&amp;sheet=U0&amp;row=2651&amp;col=6&amp;number=3.7&amp;sourceID=14","3.7")</f>
        <v>3.7</v>
      </c>
      <c r="G2651" s="4" t="str">
        <f>HYPERLINK("http://141.218.60.56/~jnz1568/getInfo.php?workbook=18_15.xlsx&amp;sheet=U0&amp;row=2651&amp;col=7&amp;number=0.297&amp;sourceID=14","0.297")</f>
        <v>0.297</v>
      </c>
    </row>
    <row r="2652" spans="1:7">
      <c r="A2652" s="3"/>
      <c r="B2652" s="3"/>
      <c r="C2652" s="3"/>
      <c r="D2652" s="3"/>
      <c r="E2652" s="3">
        <v>9</v>
      </c>
      <c r="F2652" s="4" t="str">
        <f>HYPERLINK("http://141.218.60.56/~jnz1568/getInfo.php?workbook=18_15.xlsx&amp;sheet=U0&amp;row=2652&amp;col=6&amp;number=3.8&amp;sourceID=14","3.8")</f>
        <v>3.8</v>
      </c>
      <c r="G2652" s="4" t="str">
        <f>HYPERLINK("http://141.218.60.56/~jnz1568/getInfo.php?workbook=18_15.xlsx&amp;sheet=U0&amp;row=2652&amp;col=7&amp;number=0.295&amp;sourceID=14","0.295")</f>
        <v>0.295</v>
      </c>
    </row>
    <row r="2653" spans="1:7">
      <c r="A2653" s="3"/>
      <c r="B2653" s="3"/>
      <c r="C2653" s="3"/>
      <c r="D2653" s="3"/>
      <c r="E2653" s="3">
        <v>10</v>
      </c>
      <c r="F2653" s="4" t="str">
        <f>HYPERLINK("http://141.218.60.56/~jnz1568/getInfo.php?workbook=18_15.xlsx&amp;sheet=U0&amp;row=2653&amp;col=6&amp;number=3.9&amp;sourceID=14","3.9")</f>
        <v>3.9</v>
      </c>
      <c r="G2653" s="4" t="str">
        <f>HYPERLINK("http://141.218.60.56/~jnz1568/getInfo.php?workbook=18_15.xlsx&amp;sheet=U0&amp;row=2653&amp;col=7&amp;number=0.292&amp;sourceID=14","0.292")</f>
        <v>0.292</v>
      </c>
    </row>
    <row r="2654" spans="1:7">
      <c r="A2654" s="3"/>
      <c r="B2654" s="3"/>
      <c r="C2654" s="3"/>
      <c r="D2654" s="3"/>
      <c r="E2654" s="3">
        <v>11</v>
      </c>
      <c r="F2654" s="4" t="str">
        <f>HYPERLINK("http://141.218.60.56/~jnz1568/getInfo.php?workbook=18_15.xlsx&amp;sheet=U0&amp;row=2654&amp;col=6&amp;number=4&amp;sourceID=14","4")</f>
        <v>4</v>
      </c>
      <c r="G2654" s="4" t="str">
        <f>HYPERLINK("http://141.218.60.56/~jnz1568/getInfo.php?workbook=18_15.xlsx&amp;sheet=U0&amp;row=2654&amp;col=7&amp;number=0.289&amp;sourceID=14","0.289")</f>
        <v>0.289</v>
      </c>
    </row>
    <row r="2655" spans="1:7">
      <c r="A2655" s="3"/>
      <c r="B2655" s="3"/>
      <c r="C2655" s="3"/>
      <c r="D2655" s="3"/>
      <c r="E2655" s="3">
        <v>12</v>
      </c>
      <c r="F2655" s="4" t="str">
        <f>HYPERLINK("http://141.218.60.56/~jnz1568/getInfo.php?workbook=18_15.xlsx&amp;sheet=U0&amp;row=2655&amp;col=6&amp;number=4.1&amp;sourceID=14","4.1")</f>
        <v>4.1</v>
      </c>
      <c r="G2655" s="4" t="str">
        <f>HYPERLINK("http://141.218.60.56/~jnz1568/getInfo.php?workbook=18_15.xlsx&amp;sheet=U0&amp;row=2655&amp;col=7&amp;number=0.286&amp;sourceID=14","0.286")</f>
        <v>0.286</v>
      </c>
    </row>
    <row r="2656" spans="1:7">
      <c r="A2656" s="3"/>
      <c r="B2656" s="3"/>
      <c r="C2656" s="3"/>
      <c r="D2656" s="3"/>
      <c r="E2656" s="3">
        <v>13</v>
      </c>
      <c r="F2656" s="4" t="str">
        <f>HYPERLINK("http://141.218.60.56/~jnz1568/getInfo.php?workbook=18_15.xlsx&amp;sheet=U0&amp;row=2656&amp;col=6&amp;number=4.2&amp;sourceID=14","4.2")</f>
        <v>4.2</v>
      </c>
      <c r="G2656" s="4" t="str">
        <f>HYPERLINK("http://141.218.60.56/~jnz1568/getInfo.php?workbook=18_15.xlsx&amp;sheet=U0&amp;row=2656&amp;col=7&amp;number=0.285&amp;sourceID=14","0.285")</f>
        <v>0.285</v>
      </c>
    </row>
    <row r="2657" spans="1:7">
      <c r="A2657" s="3"/>
      <c r="B2657" s="3"/>
      <c r="C2657" s="3"/>
      <c r="D2657" s="3"/>
      <c r="E2657" s="3">
        <v>14</v>
      </c>
      <c r="F2657" s="4" t="str">
        <f>HYPERLINK("http://141.218.60.56/~jnz1568/getInfo.php?workbook=18_15.xlsx&amp;sheet=U0&amp;row=2657&amp;col=6&amp;number=4.3&amp;sourceID=14","4.3")</f>
        <v>4.3</v>
      </c>
      <c r="G2657" s="4" t="str">
        <f>HYPERLINK("http://141.218.60.56/~jnz1568/getInfo.php?workbook=18_15.xlsx&amp;sheet=U0&amp;row=2657&amp;col=7&amp;number=0.284&amp;sourceID=14","0.284")</f>
        <v>0.284</v>
      </c>
    </row>
    <row r="2658" spans="1:7">
      <c r="A2658" s="3"/>
      <c r="B2658" s="3"/>
      <c r="C2658" s="3"/>
      <c r="D2658" s="3"/>
      <c r="E2658" s="3">
        <v>15</v>
      </c>
      <c r="F2658" s="4" t="str">
        <f>HYPERLINK("http://141.218.60.56/~jnz1568/getInfo.php?workbook=18_15.xlsx&amp;sheet=U0&amp;row=2658&amp;col=6&amp;number=4.4&amp;sourceID=14","4.4")</f>
        <v>4.4</v>
      </c>
      <c r="G2658" s="4" t="str">
        <f>HYPERLINK("http://141.218.60.56/~jnz1568/getInfo.php?workbook=18_15.xlsx&amp;sheet=U0&amp;row=2658&amp;col=7&amp;number=0.284&amp;sourceID=14","0.284")</f>
        <v>0.284</v>
      </c>
    </row>
    <row r="2659" spans="1:7">
      <c r="A2659" s="3"/>
      <c r="B2659" s="3"/>
      <c r="C2659" s="3"/>
      <c r="D2659" s="3"/>
      <c r="E2659" s="3">
        <v>16</v>
      </c>
      <c r="F2659" s="4" t="str">
        <f>HYPERLINK("http://141.218.60.56/~jnz1568/getInfo.php?workbook=18_15.xlsx&amp;sheet=U0&amp;row=2659&amp;col=6&amp;number=4.5&amp;sourceID=14","4.5")</f>
        <v>4.5</v>
      </c>
      <c r="G2659" s="4" t="str">
        <f>HYPERLINK("http://141.218.60.56/~jnz1568/getInfo.php?workbook=18_15.xlsx&amp;sheet=U0&amp;row=2659&amp;col=7&amp;number=0.285&amp;sourceID=14","0.285")</f>
        <v>0.285</v>
      </c>
    </row>
    <row r="2660" spans="1:7">
      <c r="A2660" s="3"/>
      <c r="B2660" s="3"/>
      <c r="C2660" s="3"/>
      <c r="D2660" s="3"/>
      <c r="E2660" s="3">
        <v>17</v>
      </c>
      <c r="F2660" s="4" t="str">
        <f>HYPERLINK("http://141.218.60.56/~jnz1568/getInfo.php?workbook=18_15.xlsx&amp;sheet=U0&amp;row=2660&amp;col=6&amp;number=4.6&amp;sourceID=14","4.6")</f>
        <v>4.6</v>
      </c>
      <c r="G2660" s="4" t="str">
        <f>HYPERLINK("http://141.218.60.56/~jnz1568/getInfo.php?workbook=18_15.xlsx&amp;sheet=U0&amp;row=2660&amp;col=7&amp;number=0.284&amp;sourceID=14","0.284")</f>
        <v>0.284</v>
      </c>
    </row>
    <row r="2661" spans="1:7">
      <c r="A2661" s="3"/>
      <c r="B2661" s="3"/>
      <c r="C2661" s="3"/>
      <c r="D2661" s="3"/>
      <c r="E2661" s="3">
        <v>18</v>
      </c>
      <c r="F2661" s="4" t="str">
        <f>HYPERLINK("http://141.218.60.56/~jnz1568/getInfo.php?workbook=18_15.xlsx&amp;sheet=U0&amp;row=2661&amp;col=6&amp;number=4.7&amp;sourceID=14","4.7")</f>
        <v>4.7</v>
      </c>
      <c r="G2661" s="4" t="str">
        <f>HYPERLINK("http://141.218.60.56/~jnz1568/getInfo.php?workbook=18_15.xlsx&amp;sheet=U0&amp;row=2661&amp;col=7&amp;number=0.282&amp;sourceID=14","0.282")</f>
        <v>0.282</v>
      </c>
    </row>
    <row r="2662" spans="1:7">
      <c r="A2662" s="3"/>
      <c r="B2662" s="3"/>
      <c r="C2662" s="3"/>
      <c r="D2662" s="3"/>
      <c r="E2662" s="3">
        <v>19</v>
      </c>
      <c r="F2662" s="4" t="str">
        <f>HYPERLINK("http://141.218.60.56/~jnz1568/getInfo.php?workbook=18_15.xlsx&amp;sheet=U0&amp;row=2662&amp;col=6&amp;number=4.8&amp;sourceID=14","4.8")</f>
        <v>4.8</v>
      </c>
      <c r="G2662" s="4" t="str">
        <f>HYPERLINK("http://141.218.60.56/~jnz1568/getInfo.php?workbook=18_15.xlsx&amp;sheet=U0&amp;row=2662&amp;col=7&amp;number=0.28&amp;sourceID=14","0.28")</f>
        <v>0.28</v>
      </c>
    </row>
    <row r="2663" spans="1:7">
      <c r="A2663" s="3"/>
      <c r="B2663" s="3"/>
      <c r="C2663" s="3"/>
      <c r="D2663" s="3"/>
      <c r="E2663" s="3">
        <v>20</v>
      </c>
      <c r="F2663" s="4" t="str">
        <f>HYPERLINK("http://141.218.60.56/~jnz1568/getInfo.php?workbook=18_15.xlsx&amp;sheet=U0&amp;row=2663&amp;col=6&amp;number=4.9&amp;sourceID=14","4.9")</f>
        <v>4.9</v>
      </c>
      <c r="G2663" s="4" t="str">
        <f>HYPERLINK("http://141.218.60.56/~jnz1568/getInfo.php?workbook=18_15.xlsx&amp;sheet=U0&amp;row=2663&amp;col=7&amp;number=0.279&amp;sourceID=14","0.279")</f>
        <v>0.279</v>
      </c>
    </row>
    <row r="2664" spans="1:7">
      <c r="A2664" s="3">
        <v>18</v>
      </c>
      <c r="B2664" s="3">
        <v>15</v>
      </c>
      <c r="C2664" s="3">
        <v>5</v>
      </c>
      <c r="D2664" s="3">
        <v>30</v>
      </c>
      <c r="E2664" s="3">
        <v>1</v>
      </c>
      <c r="F2664" s="4" t="str">
        <f>HYPERLINK("http://141.218.60.56/~jnz1568/getInfo.php?workbook=18_15.xlsx&amp;sheet=U0&amp;row=2664&amp;col=6&amp;number=3&amp;sourceID=14","3")</f>
        <v>3</v>
      </c>
      <c r="G2664" s="4" t="str">
        <f>HYPERLINK("http://141.218.60.56/~jnz1568/getInfo.php?workbook=18_15.xlsx&amp;sheet=U0&amp;row=2664&amp;col=7&amp;number=0.851&amp;sourceID=14","0.851")</f>
        <v>0.851</v>
      </c>
    </row>
    <row r="2665" spans="1:7">
      <c r="A2665" s="3"/>
      <c r="B2665" s="3"/>
      <c r="C2665" s="3"/>
      <c r="D2665" s="3"/>
      <c r="E2665" s="3">
        <v>2</v>
      </c>
      <c r="F2665" s="4" t="str">
        <f>HYPERLINK("http://141.218.60.56/~jnz1568/getInfo.php?workbook=18_15.xlsx&amp;sheet=U0&amp;row=2665&amp;col=6&amp;number=3.1&amp;sourceID=14","3.1")</f>
        <v>3.1</v>
      </c>
      <c r="G2665" s="4" t="str">
        <f>HYPERLINK("http://141.218.60.56/~jnz1568/getInfo.php?workbook=18_15.xlsx&amp;sheet=U0&amp;row=2665&amp;col=7&amp;number=0.848&amp;sourceID=14","0.848")</f>
        <v>0.848</v>
      </c>
    </row>
    <row r="2666" spans="1:7">
      <c r="A2666" s="3"/>
      <c r="B2666" s="3"/>
      <c r="C2666" s="3"/>
      <c r="D2666" s="3"/>
      <c r="E2666" s="3">
        <v>3</v>
      </c>
      <c r="F2666" s="4" t="str">
        <f>HYPERLINK("http://141.218.60.56/~jnz1568/getInfo.php?workbook=18_15.xlsx&amp;sheet=U0&amp;row=2666&amp;col=6&amp;number=3.2&amp;sourceID=14","3.2")</f>
        <v>3.2</v>
      </c>
      <c r="G2666" s="4" t="str">
        <f>HYPERLINK("http://141.218.60.56/~jnz1568/getInfo.php?workbook=18_15.xlsx&amp;sheet=U0&amp;row=2666&amp;col=7&amp;number=0.844&amp;sourceID=14","0.844")</f>
        <v>0.844</v>
      </c>
    </row>
    <row r="2667" spans="1:7">
      <c r="A2667" s="3"/>
      <c r="B2667" s="3"/>
      <c r="C2667" s="3"/>
      <c r="D2667" s="3"/>
      <c r="E2667" s="3">
        <v>4</v>
      </c>
      <c r="F2667" s="4" t="str">
        <f>HYPERLINK("http://141.218.60.56/~jnz1568/getInfo.php?workbook=18_15.xlsx&amp;sheet=U0&amp;row=2667&amp;col=6&amp;number=3.3&amp;sourceID=14","3.3")</f>
        <v>3.3</v>
      </c>
      <c r="G2667" s="4" t="str">
        <f>HYPERLINK("http://141.218.60.56/~jnz1568/getInfo.php?workbook=18_15.xlsx&amp;sheet=U0&amp;row=2667&amp;col=7&amp;number=0.84&amp;sourceID=14","0.84")</f>
        <v>0.84</v>
      </c>
    </row>
    <row r="2668" spans="1:7">
      <c r="A2668" s="3"/>
      <c r="B2668" s="3"/>
      <c r="C2668" s="3"/>
      <c r="D2668" s="3"/>
      <c r="E2668" s="3">
        <v>5</v>
      </c>
      <c r="F2668" s="4" t="str">
        <f>HYPERLINK("http://141.218.60.56/~jnz1568/getInfo.php?workbook=18_15.xlsx&amp;sheet=U0&amp;row=2668&amp;col=6&amp;number=3.4&amp;sourceID=14","3.4")</f>
        <v>3.4</v>
      </c>
      <c r="G2668" s="4" t="str">
        <f>HYPERLINK("http://141.218.60.56/~jnz1568/getInfo.php?workbook=18_15.xlsx&amp;sheet=U0&amp;row=2668&amp;col=7&amp;number=0.834&amp;sourceID=14","0.834")</f>
        <v>0.834</v>
      </c>
    </row>
    <row r="2669" spans="1:7">
      <c r="A2669" s="3"/>
      <c r="B2669" s="3"/>
      <c r="C2669" s="3"/>
      <c r="D2669" s="3"/>
      <c r="E2669" s="3">
        <v>6</v>
      </c>
      <c r="F2669" s="4" t="str">
        <f>HYPERLINK("http://141.218.60.56/~jnz1568/getInfo.php?workbook=18_15.xlsx&amp;sheet=U0&amp;row=2669&amp;col=6&amp;number=3.5&amp;sourceID=14","3.5")</f>
        <v>3.5</v>
      </c>
      <c r="G2669" s="4" t="str">
        <f>HYPERLINK("http://141.218.60.56/~jnz1568/getInfo.php?workbook=18_15.xlsx&amp;sheet=U0&amp;row=2669&amp;col=7&amp;number=0.827&amp;sourceID=14","0.827")</f>
        <v>0.827</v>
      </c>
    </row>
    <row r="2670" spans="1:7">
      <c r="A2670" s="3"/>
      <c r="B2670" s="3"/>
      <c r="C2670" s="3"/>
      <c r="D2670" s="3"/>
      <c r="E2670" s="3">
        <v>7</v>
      </c>
      <c r="F2670" s="4" t="str">
        <f>HYPERLINK("http://141.218.60.56/~jnz1568/getInfo.php?workbook=18_15.xlsx&amp;sheet=U0&amp;row=2670&amp;col=6&amp;number=3.6&amp;sourceID=14","3.6")</f>
        <v>3.6</v>
      </c>
      <c r="G2670" s="4" t="str">
        <f>HYPERLINK("http://141.218.60.56/~jnz1568/getInfo.php?workbook=18_15.xlsx&amp;sheet=U0&amp;row=2670&amp;col=7&amp;number=0.819&amp;sourceID=14","0.819")</f>
        <v>0.819</v>
      </c>
    </row>
    <row r="2671" spans="1:7">
      <c r="A2671" s="3"/>
      <c r="B2671" s="3"/>
      <c r="C2671" s="3"/>
      <c r="D2671" s="3"/>
      <c r="E2671" s="3">
        <v>8</v>
      </c>
      <c r="F2671" s="4" t="str">
        <f>HYPERLINK("http://141.218.60.56/~jnz1568/getInfo.php?workbook=18_15.xlsx&amp;sheet=U0&amp;row=2671&amp;col=6&amp;number=3.7&amp;sourceID=14","3.7")</f>
        <v>3.7</v>
      </c>
      <c r="G2671" s="4" t="str">
        <f>HYPERLINK("http://141.218.60.56/~jnz1568/getInfo.php?workbook=18_15.xlsx&amp;sheet=U0&amp;row=2671&amp;col=7&amp;number=0.809&amp;sourceID=14","0.809")</f>
        <v>0.809</v>
      </c>
    </row>
    <row r="2672" spans="1:7">
      <c r="A2672" s="3"/>
      <c r="B2672" s="3"/>
      <c r="C2672" s="3"/>
      <c r="D2672" s="3"/>
      <c r="E2672" s="3">
        <v>9</v>
      </c>
      <c r="F2672" s="4" t="str">
        <f>HYPERLINK("http://141.218.60.56/~jnz1568/getInfo.php?workbook=18_15.xlsx&amp;sheet=U0&amp;row=2672&amp;col=6&amp;number=3.8&amp;sourceID=14","3.8")</f>
        <v>3.8</v>
      </c>
      <c r="G2672" s="4" t="str">
        <f>HYPERLINK("http://141.218.60.56/~jnz1568/getInfo.php?workbook=18_15.xlsx&amp;sheet=U0&amp;row=2672&amp;col=7&amp;number=0.798&amp;sourceID=14","0.798")</f>
        <v>0.798</v>
      </c>
    </row>
    <row r="2673" spans="1:7">
      <c r="A2673" s="3"/>
      <c r="B2673" s="3"/>
      <c r="C2673" s="3"/>
      <c r="D2673" s="3"/>
      <c r="E2673" s="3">
        <v>10</v>
      </c>
      <c r="F2673" s="4" t="str">
        <f>HYPERLINK("http://141.218.60.56/~jnz1568/getInfo.php?workbook=18_15.xlsx&amp;sheet=U0&amp;row=2673&amp;col=6&amp;number=3.9&amp;sourceID=14","3.9")</f>
        <v>3.9</v>
      </c>
      <c r="G2673" s="4" t="str">
        <f>HYPERLINK("http://141.218.60.56/~jnz1568/getInfo.php?workbook=18_15.xlsx&amp;sheet=U0&amp;row=2673&amp;col=7&amp;number=0.786&amp;sourceID=14","0.786")</f>
        <v>0.786</v>
      </c>
    </row>
    <row r="2674" spans="1:7">
      <c r="A2674" s="3"/>
      <c r="B2674" s="3"/>
      <c r="C2674" s="3"/>
      <c r="D2674" s="3"/>
      <c r="E2674" s="3">
        <v>11</v>
      </c>
      <c r="F2674" s="4" t="str">
        <f>HYPERLINK("http://141.218.60.56/~jnz1568/getInfo.php?workbook=18_15.xlsx&amp;sheet=U0&amp;row=2674&amp;col=6&amp;number=4&amp;sourceID=14","4")</f>
        <v>4</v>
      </c>
      <c r="G2674" s="4" t="str">
        <f>HYPERLINK("http://141.218.60.56/~jnz1568/getInfo.php?workbook=18_15.xlsx&amp;sheet=U0&amp;row=2674&amp;col=7&amp;number=0.774&amp;sourceID=14","0.774")</f>
        <v>0.774</v>
      </c>
    </row>
    <row r="2675" spans="1:7">
      <c r="A2675" s="3"/>
      <c r="B2675" s="3"/>
      <c r="C2675" s="3"/>
      <c r="D2675" s="3"/>
      <c r="E2675" s="3">
        <v>12</v>
      </c>
      <c r="F2675" s="4" t="str">
        <f>HYPERLINK("http://141.218.60.56/~jnz1568/getInfo.php?workbook=18_15.xlsx&amp;sheet=U0&amp;row=2675&amp;col=6&amp;number=4.1&amp;sourceID=14","4.1")</f>
        <v>4.1</v>
      </c>
      <c r="G2675" s="4" t="str">
        <f>HYPERLINK("http://141.218.60.56/~jnz1568/getInfo.php?workbook=18_15.xlsx&amp;sheet=U0&amp;row=2675&amp;col=7&amp;number=0.763&amp;sourceID=14","0.763")</f>
        <v>0.763</v>
      </c>
    </row>
    <row r="2676" spans="1:7">
      <c r="A2676" s="3"/>
      <c r="B2676" s="3"/>
      <c r="C2676" s="3"/>
      <c r="D2676" s="3"/>
      <c r="E2676" s="3">
        <v>13</v>
      </c>
      <c r="F2676" s="4" t="str">
        <f>HYPERLINK("http://141.218.60.56/~jnz1568/getInfo.php?workbook=18_15.xlsx&amp;sheet=U0&amp;row=2676&amp;col=6&amp;number=4.2&amp;sourceID=14","4.2")</f>
        <v>4.2</v>
      </c>
      <c r="G2676" s="4" t="str">
        <f>HYPERLINK("http://141.218.60.56/~jnz1568/getInfo.php?workbook=18_15.xlsx&amp;sheet=U0&amp;row=2676&amp;col=7&amp;number=0.759&amp;sourceID=14","0.759")</f>
        <v>0.759</v>
      </c>
    </row>
    <row r="2677" spans="1:7">
      <c r="A2677" s="3"/>
      <c r="B2677" s="3"/>
      <c r="C2677" s="3"/>
      <c r="D2677" s="3"/>
      <c r="E2677" s="3">
        <v>14</v>
      </c>
      <c r="F2677" s="4" t="str">
        <f>HYPERLINK("http://141.218.60.56/~jnz1568/getInfo.php?workbook=18_15.xlsx&amp;sheet=U0&amp;row=2677&amp;col=6&amp;number=4.3&amp;sourceID=14","4.3")</f>
        <v>4.3</v>
      </c>
      <c r="G2677" s="4" t="str">
        <f>HYPERLINK("http://141.218.60.56/~jnz1568/getInfo.php?workbook=18_15.xlsx&amp;sheet=U0&amp;row=2677&amp;col=7&amp;number=0.763&amp;sourceID=14","0.763")</f>
        <v>0.763</v>
      </c>
    </row>
    <row r="2678" spans="1:7">
      <c r="A2678" s="3"/>
      <c r="B2678" s="3"/>
      <c r="C2678" s="3"/>
      <c r="D2678" s="3"/>
      <c r="E2678" s="3">
        <v>15</v>
      </c>
      <c r="F2678" s="4" t="str">
        <f>HYPERLINK("http://141.218.60.56/~jnz1568/getInfo.php?workbook=18_15.xlsx&amp;sheet=U0&amp;row=2678&amp;col=6&amp;number=4.4&amp;sourceID=14","4.4")</f>
        <v>4.4</v>
      </c>
      <c r="G2678" s="4" t="str">
        <f>HYPERLINK("http://141.218.60.56/~jnz1568/getInfo.php?workbook=18_15.xlsx&amp;sheet=U0&amp;row=2678&amp;col=7&amp;number=0.776&amp;sourceID=14","0.776")</f>
        <v>0.776</v>
      </c>
    </row>
    <row r="2679" spans="1:7">
      <c r="A2679" s="3"/>
      <c r="B2679" s="3"/>
      <c r="C2679" s="3"/>
      <c r="D2679" s="3"/>
      <c r="E2679" s="3">
        <v>16</v>
      </c>
      <c r="F2679" s="4" t="str">
        <f>HYPERLINK("http://141.218.60.56/~jnz1568/getInfo.php?workbook=18_15.xlsx&amp;sheet=U0&amp;row=2679&amp;col=6&amp;number=4.5&amp;sourceID=14","4.5")</f>
        <v>4.5</v>
      </c>
      <c r="G2679" s="4" t="str">
        <f>HYPERLINK("http://141.218.60.56/~jnz1568/getInfo.php?workbook=18_15.xlsx&amp;sheet=U0&amp;row=2679&amp;col=7&amp;number=0.795&amp;sourceID=14","0.795")</f>
        <v>0.795</v>
      </c>
    </row>
    <row r="2680" spans="1:7">
      <c r="A2680" s="3"/>
      <c r="B2680" s="3"/>
      <c r="C2680" s="3"/>
      <c r="D2680" s="3"/>
      <c r="E2680" s="3">
        <v>17</v>
      </c>
      <c r="F2680" s="4" t="str">
        <f>HYPERLINK("http://141.218.60.56/~jnz1568/getInfo.php?workbook=18_15.xlsx&amp;sheet=U0&amp;row=2680&amp;col=6&amp;number=4.6&amp;sourceID=14","4.6")</f>
        <v>4.6</v>
      </c>
      <c r="G2680" s="4" t="str">
        <f>HYPERLINK("http://141.218.60.56/~jnz1568/getInfo.php?workbook=18_15.xlsx&amp;sheet=U0&amp;row=2680&amp;col=7&amp;number=0.814&amp;sourceID=14","0.814")</f>
        <v>0.814</v>
      </c>
    </row>
    <row r="2681" spans="1:7">
      <c r="A2681" s="3"/>
      <c r="B2681" s="3"/>
      <c r="C2681" s="3"/>
      <c r="D2681" s="3"/>
      <c r="E2681" s="3">
        <v>18</v>
      </c>
      <c r="F2681" s="4" t="str">
        <f>HYPERLINK("http://141.218.60.56/~jnz1568/getInfo.php?workbook=18_15.xlsx&amp;sheet=U0&amp;row=2681&amp;col=6&amp;number=4.7&amp;sourceID=14","4.7")</f>
        <v>4.7</v>
      </c>
      <c r="G2681" s="4" t="str">
        <f>HYPERLINK("http://141.218.60.56/~jnz1568/getInfo.php?workbook=18_15.xlsx&amp;sheet=U0&amp;row=2681&amp;col=7&amp;number=0.83&amp;sourceID=14","0.83")</f>
        <v>0.83</v>
      </c>
    </row>
    <row r="2682" spans="1:7">
      <c r="A2682" s="3"/>
      <c r="B2682" s="3"/>
      <c r="C2682" s="3"/>
      <c r="D2682" s="3"/>
      <c r="E2682" s="3">
        <v>19</v>
      </c>
      <c r="F2682" s="4" t="str">
        <f>HYPERLINK("http://141.218.60.56/~jnz1568/getInfo.php?workbook=18_15.xlsx&amp;sheet=U0&amp;row=2682&amp;col=6&amp;number=4.8&amp;sourceID=14","4.8")</f>
        <v>4.8</v>
      </c>
      <c r="G2682" s="4" t="str">
        <f>HYPERLINK("http://141.218.60.56/~jnz1568/getInfo.php?workbook=18_15.xlsx&amp;sheet=U0&amp;row=2682&amp;col=7&amp;number=0.849&amp;sourceID=14","0.849")</f>
        <v>0.849</v>
      </c>
    </row>
    <row r="2683" spans="1:7">
      <c r="A2683" s="3"/>
      <c r="B2683" s="3"/>
      <c r="C2683" s="3"/>
      <c r="D2683" s="3"/>
      <c r="E2683" s="3">
        <v>20</v>
      </c>
      <c r="F2683" s="4" t="str">
        <f>HYPERLINK("http://141.218.60.56/~jnz1568/getInfo.php?workbook=18_15.xlsx&amp;sheet=U0&amp;row=2683&amp;col=6&amp;number=4.9&amp;sourceID=14","4.9")</f>
        <v>4.9</v>
      </c>
      <c r="G2683" s="4" t="str">
        <f>HYPERLINK("http://141.218.60.56/~jnz1568/getInfo.php?workbook=18_15.xlsx&amp;sheet=U0&amp;row=2683&amp;col=7&amp;number=0.874&amp;sourceID=14","0.874")</f>
        <v>0.874</v>
      </c>
    </row>
    <row r="2684" spans="1:7">
      <c r="A2684" s="3">
        <v>18</v>
      </c>
      <c r="B2684" s="3">
        <v>15</v>
      </c>
      <c r="C2684" s="3">
        <v>6</v>
      </c>
      <c r="D2684" s="3">
        <v>17</v>
      </c>
      <c r="E2684" s="3">
        <v>1</v>
      </c>
      <c r="F2684" s="4" t="str">
        <f>HYPERLINK("http://141.218.60.56/~jnz1568/getInfo.php?workbook=18_15.xlsx&amp;sheet=U0&amp;row=2684&amp;col=6&amp;number=3&amp;sourceID=14","3")</f>
        <v>3</v>
      </c>
      <c r="G2684" s="4" t="str">
        <f>HYPERLINK("http://141.218.60.56/~jnz1568/getInfo.php?workbook=18_15.xlsx&amp;sheet=U0&amp;row=2684&amp;col=7&amp;number=0.358&amp;sourceID=14","0.358")</f>
        <v>0.358</v>
      </c>
    </row>
    <row r="2685" spans="1:7">
      <c r="A2685" s="3"/>
      <c r="B2685" s="3"/>
      <c r="C2685" s="3"/>
      <c r="D2685" s="3"/>
      <c r="E2685" s="3">
        <v>2</v>
      </c>
      <c r="F2685" s="4" t="str">
        <f>HYPERLINK("http://141.218.60.56/~jnz1568/getInfo.php?workbook=18_15.xlsx&amp;sheet=U0&amp;row=2685&amp;col=6&amp;number=3.1&amp;sourceID=14","3.1")</f>
        <v>3.1</v>
      </c>
      <c r="G2685" s="4" t="str">
        <f>HYPERLINK("http://141.218.60.56/~jnz1568/getInfo.php?workbook=18_15.xlsx&amp;sheet=U0&amp;row=2685&amp;col=7&amp;number=0.354&amp;sourceID=14","0.354")</f>
        <v>0.354</v>
      </c>
    </row>
    <row r="2686" spans="1:7">
      <c r="A2686" s="3"/>
      <c r="B2686" s="3"/>
      <c r="C2686" s="3"/>
      <c r="D2686" s="3"/>
      <c r="E2686" s="3">
        <v>3</v>
      </c>
      <c r="F2686" s="4" t="str">
        <f>HYPERLINK("http://141.218.60.56/~jnz1568/getInfo.php?workbook=18_15.xlsx&amp;sheet=U0&amp;row=2686&amp;col=6&amp;number=3.2&amp;sourceID=14","3.2")</f>
        <v>3.2</v>
      </c>
      <c r="G2686" s="4" t="str">
        <f>HYPERLINK("http://141.218.60.56/~jnz1568/getInfo.php?workbook=18_15.xlsx&amp;sheet=U0&amp;row=2686&amp;col=7&amp;number=0.349&amp;sourceID=14","0.349")</f>
        <v>0.349</v>
      </c>
    </row>
    <row r="2687" spans="1:7">
      <c r="A2687" s="3"/>
      <c r="B2687" s="3"/>
      <c r="C2687" s="3"/>
      <c r="D2687" s="3"/>
      <c r="E2687" s="3">
        <v>4</v>
      </c>
      <c r="F2687" s="4" t="str">
        <f>HYPERLINK("http://141.218.60.56/~jnz1568/getInfo.php?workbook=18_15.xlsx&amp;sheet=U0&amp;row=2687&amp;col=6&amp;number=3.3&amp;sourceID=14","3.3")</f>
        <v>3.3</v>
      </c>
      <c r="G2687" s="4" t="str">
        <f>HYPERLINK("http://141.218.60.56/~jnz1568/getInfo.php?workbook=18_15.xlsx&amp;sheet=U0&amp;row=2687&amp;col=7&amp;number=0.343&amp;sourceID=14","0.343")</f>
        <v>0.343</v>
      </c>
    </row>
    <row r="2688" spans="1:7">
      <c r="A2688" s="3"/>
      <c r="B2688" s="3"/>
      <c r="C2688" s="3"/>
      <c r="D2688" s="3"/>
      <c r="E2688" s="3">
        <v>5</v>
      </c>
      <c r="F2688" s="4" t="str">
        <f>HYPERLINK("http://141.218.60.56/~jnz1568/getInfo.php?workbook=18_15.xlsx&amp;sheet=U0&amp;row=2688&amp;col=6&amp;number=3.4&amp;sourceID=14","3.4")</f>
        <v>3.4</v>
      </c>
      <c r="G2688" s="4" t="str">
        <f>HYPERLINK("http://141.218.60.56/~jnz1568/getInfo.php?workbook=18_15.xlsx&amp;sheet=U0&amp;row=2688&amp;col=7&amp;number=0.336&amp;sourceID=14","0.336")</f>
        <v>0.336</v>
      </c>
    </row>
    <row r="2689" spans="1:7">
      <c r="A2689" s="3"/>
      <c r="B2689" s="3"/>
      <c r="C2689" s="3"/>
      <c r="D2689" s="3"/>
      <c r="E2689" s="3">
        <v>6</v>
      </c>
      <c r="F2689" s="4" t="str">
        <f>HYPERLINK("http://141.218.60.56/~jnz1568/getInfo.php?workbook=18_15.xlsx&amp;sheet=U0&amp;row=2689&amp;col=6&amp;number=3.5&amp;sourceID=14","3.5")</f>
        <v>3.5</v>
      </c>
      <c r="G2689" s="4" t="str">
        <f>HYPERLINK("http://141.218.60.56/~jnz1568/getInfo.php?workbook=18_15.xlsx&amp;sheet=U0&amp;row=2689&amp;col=7&amp;number=0.328&amp;sourceID=14","0.328")</f>
        <v>0.328</v>
      </c>
    </row>
    <row r="2690" spans="1:7">
      <c r="A2690" s="3"/>
      <c r="B2690" s="3"/>
      <c r="C2690" s="3"/>
      <c r="D2690" s="3"/>
      <c r="E2690" s="3">
        <v>7</v>
      </c>
      <c r="F2690" s="4" t="str">
        <f>HYPERLINK("http://141.218.60.56/~jnz1568/getInfo.php?workbook=18_15.xlsx&amp;sheet=U0&amp;row=2690&amp;col=6&amp;number=3.6&amp;sourceID=14","3.6")</f>
        <v>3.6</v>
      </c>
      <c r="G2690" s="4" t="str">
        <f>HYPERLINK("http://141.218.60.56/~jnz1568/getInfo.php?workbook=18_15.xlsx&amp;sheet=U0&amp;row=2690&amp;col=7&amp;number=0.32&amp;sourceID=14","0.32")</f>
        <v>0.32</v>
      </c>
    </row>
    <row r="2691" spans="1:7">
      <c r="A2691" s="3"/>
      <c r="B2691" s="3"/>
      <c r="C2691" s="3"/>
      <c r="D2691" s="3"/>
      <c r="E2691" s="3">
        <v>8</v>
      </c>
      <c r="F2691" s="4" t="str">
        <f>HYPERLINK("http://141.218.60.56/~jnz1568/getInfo.php?workbook=18_15.xlsx&amp;sheet=U0&amp;row=2691&amp;col=6&amp;number=3.7&amp;sourceID=14","3.7")</f>
        <v>3.7</v>
      </c>
      <c r="G2691" s="4" t="str">
        <f>HYPERLINK("http://141.218.60.56/~jnz1568/getInfo.php?workbook=18_15.xlsx&amp;sheet=U0&amp;row=2691&amp;col=7&amp;number=0.312&amp;sourceID=14","0.312")</f>
        <v>0.312</v>
      </c>
    </row>
    <row r="2692" spans="1:7">
      <c r="A2692" s="3"/>
      <c r="B2692" s="3"/>
      <c r="C2692" s="3"/>
      <c r="D2692" s="3"/>
      <c r="E2692" s="3">
        <v>9</v>
      </c>
      <c r="F2692" s="4" t="str">
        <f>HYPERLINK("http://141.218.60.56/~jnz1568/getInfo.php?workbook=18_15.xlsx&amp;sheet=U0&amp;row=2692&amp;col=6&amp;number=3.8&amp;sourceID=14","3.8")</f>
        <v>3.8</v>
      </c>
      <c r="G2692" s="4" t="str">
        <f>HYPERLINK("http://141.218.60.56/~jnz1568/getInfo.php?workbook=18_15.xlsx&amp;sheet=U0&amp;row=2692&amp;col=7&amp;number=0.307&amp;sourceID=14","0.307")</f>
        <v>0.307</v>
      </c>
    </row>
    <row r="2693" spans="1:7">
      <c r="A2693" s="3"/>
      <c r="B2693" s="3"/>
      <c r="C2693" s="3"/>
      <c r="D2693" s="3"/>
      <c r="E2693" s="3">
        <v>10</v>
      </c>
      <c r="F2693" s="4" t="str">
        <f>HYPERLINK("http://141.218.60.56/~jnz1568/getInfo.php?workbook=18_15.xlsx&amp;sheet=U0&amp;row=2693&amp;col=6&amp;number=3.9&amp;sourceID=14","3.9")</f>
        <v>3.9</v>
      </c>
      <c r="G2693" s="4" t="str">
        <f>HYPERLINK("http://141.218.60.56/~jnz1568/getInfo.php?workbook=18_15.xlsx&amp;sheet=U0&amp;row=2693&amp;col=7&amp;number=0.304&amp;sourceID=14","0.304")</f>
        <v>0.304</v>
      </c>
    </row>
    <row r="2694" spans="1:7">
      <c r="A2694" s="3"/>
      <c r="B2694" s="3"/>
      <c r="C2694" s="3"/>
      <c r="D2694" s="3"/>
      <c r="E2694" s="3">
        <v>11</v>
      </c>
      <c r="F2694" s="4" t="str">
        <f>HYPERLINK("http://141.218.60.56/~jnz1568/getInfo.php?workbook=18_15.xlsx&amp;sheet=U0&amp;row=2694&amp;col=6&amp;number=4&amp;sourceID=14","4")</f>
        <v>4</v>
      </c>
      <c r="G2694" s="4" t="str">
        <f>HYPERLINK("http://141.218.60.56/~jnz1568/getInfo.php?workbook=18_15.xlsx&amp;sheet=U0&amp;row=2694&amp;col=7&amp;number=0.304&amp;sourceID=14","0.304")</f>
        <v>0.304</v>
      </c>
    </row>
    <row r="2695" spans="1:7">
      <c r="A2695" s="3"/>
      <c r="B2695" s="3"/>
      <c r="C2695" s="3"/>
      <c r="D2695" s="3"/>
      <c r="E2695" s="3">
        <v>12</v>
      </c>
      <c r="F2695" s="4" t="str">
        <f>HYPERLINK("http://141.218.60.56/~jnz1568/getInfo.php?workbook=18_15.xlsx&amp;sheet=U0&amp;row=2695&amp;col=6&amp;number=4.1&amp;sourceID=14","4.1")</f>
        <v>4.1</v>
      </c>
      <c r="G2695" s="4" t="str">
        <f>HYPERLINK("http://141.218.60.56/~jnz1568/getInfo.php?workbook=18_15.xlsx&amp;sheet=U0&amp;row=2695&amp;col=7&amp;number=0.305&amp;sourceID=14","0.305")</f>
        <v>0.305</v>
      </c>
    </row>
    <row r="2696" spans="1:7">
      <c r="A2696" s="3"/>
      <c r="B2696" s="3"/>
      <c r="C2696" s="3"/>
      <c r="D2696" s="3"/>
      <c r="E2696" s="3">
        <v>13</v>
      </c>
      <c r="F2696" s="4" t="str">
        <f>HYPERLINK("http://141.218.60.56/~jnz1568/getInfo.php?workbook=18_15.xlsx&amp;sheet=U0&amp;row=2696&amp;col=6&amp;number=4.2&amp;sourceID=14","4.2")</f>
        <v>4.2</v>
      </c>
      <c r="G2696" s="4" t="str">
        <f>HYPERLINK("http://141.218.60.56/~jnz1568/getInfo.php?workbook=18_15.xlsx&amp;sheet=U0&amp;row=2696&amp;col=7&amp;number=0.304&amp;sourceID=14","0.304")</f>
        <v>0.304</v>
      </c>
    </row>
    <row r="2697" spans="1:7">
      <c r="A2697" s="3"/>
      <c r="B2697" s="3"/>
      <c r="C2697" s="3"/>
      <c r="D2697" s="3"/>
      <c r="E2697" s="3">
        <v>14</v>
      </c>
      <c r="F2697" s="4" t="str">
        <f>HYPERLINK("http://141.218.60.56/~jnz1568/getInfo.php?workbook=18_15.xlsx&amp;sheet=U0&amp;row=2697&amp;col=6&amp;number=4.3&amp;sourceID=14","4.3")</f>
        <v>4.3</v>
      </c>
      <c r="G2697" s="4" t="str">
        <f>HYPERLINK("http://141.218.60.56/~jnz1568/getInfo.php?workbook=18_15.xlsx&amp;sheet=U0&amp;row=2697&amp;col=7&amp;number=0.299&amp;sourceID=14","0.299")</f>
        <v>0.299</v>
      </c>
    </row>
    <row r="2698" spans="1:7">
      <c r="A2698" s="3"/>
      <c r="B2698" s="3"/>
      <c r="C2698" s="3"/>
      <c r="D2698" s="3"/>
      <c r="E2698" s="3">
        <v>15</v>
      </c>
      <c r="F2698" s="4" t="str">
        <f>HYPERLINK("http://141.218.60.56/~jnz1568/getInfo.php?workbook=18_15.xlsx&amp;sheet=U0&amp;row=2698&amp;col=6&amp;number=4.4&amp;sourceID=14","4.4")</f>
        <v>4.4</v>
      </c>
      <c r="G2698" s="4" t="str">
        <f>HYPERLINK("http://141.218.60.56/~jnz1568/getInfo.php?workbook=18_15.xlsx&amp;sheet=U0&amp;row=2698&amp;col=7&amp;number=0.291&amp;sourceID=14","0.291")</f>
        <v>0.291</v>
      </c>
    </row>
    <row r="2699" spans="1:7">
      <c r="A2699" s="3"/>
      <c r="B2699" s="3"/>
      <c r="C2699" s="3"/>
      <c r="D2699" s="3"/>
      <c r="E2699" s="3">
        <v>16</v>
      </c>
      <c r="F2699" s="4" t="str">
        <f>HYPERLINK("http://141.218.60.56/~jnz1568/getInfo.php?workbook=18_15.xlsx&amp;sheet=U0&amp;row=2699&amp;col=6&amp;number=4.5&amp;sourceID=14","4.5")</f>
        <v>4.5</v>
      </c>
      <c r="G2699" s="4" t="str">
        <f>HYPERLINK("http://141.218.60.56/~jnz1568/getInfo.php?workbook=18_15.xlsx&amp;sheet=U0&amp;row=2699&amp;col=7&amp;number=0.282&amp;sourceID=14","0.282")</f>
        <v>0.282</v>
      </c>
    </row>
    <row r="2700" spans="1:7">
      <c r="A2700" s="3"/>
      <c r="B2700" s="3"/>
      <c r="C2700" s="3"/>
      <c r="D2700" s="3"/>
      <c r="E2700" s="3">
        <v>17</v>
      </c>
      <c r="F2700" s="4" t="str">
        <f>HYPERLINK("http://141.218.60.56/~jnz1568/getInfo.php?workbook=18_15.xlsx&amp;sheet=U0&amp;row=2700&amp;col=6&amp;number=4.6&amp;sourceID=14","4.6")</f>
        <v>4.6</v>
      </c>
      <c r="G2700" s="4" t="str">
        <f>HYPERLINK("http://141.218.60.56/~jnz1568/getInfo.php?workbook=18_15.xlsx&amp;sheet=U0&amp;row=2700&amp;col=7&amp;number=0.271&amp;sourceID=14","0.271")</f>
        <v>0.271</v>
      </c>
    </row>
    <row r="2701" spans="1:7">
      <c r="A2701" s="3"/>
      <c r="B2701" s="3"/>
      <c r="C2701" s="3"/>
      <c r="D2701" s="3"/>
      <c r="E2701" s="3">
        <v>18</v>
      </c>
      <c r="F2701" s="4" t="str">
        <f>HYPERLINK("http://141.218.60.56/~jnz1568/getInfo.php?workbook=18_15.xlsx&amp;sheet=U0&amp;row=2701&amp;col=6&amp;number=4.7&amp;sourceID=14","4.7")</f>
        <v>4.7</v>
      </c>
      <c r="G2701" s="4" t="str">
        <f>HYPERLINK("http://141.218.60.56/~jnz1568/getInfo.php?workbook=18_15.xlsx&amp;sheet=U0&amp;row=2701&amp;col=7&amp;number=0.259&amp;sourceID=14","0.259")</f>
        <v>0.259</v>
      </c>
    </row>
    <row r="2702" spans="1:7">
      <c r="A2702" s="3"/>
      <c r="B2702" s="3"/>
      <c r="C2702" s="3"/>
      <c r="D2702" s="3"/>
      <c r="E2702" s="3">
        <v>19</v>
      </c>
      <c r="F2702" s="4" t="str">
        <f>HYPERLINK("http://141.218.60.56/~jnz1568/getInfo.php?workbook=18_15.xlsx&amp;sheet=U0&amp;row=2702&amp;col=6&amp;number=4.8&amp;sourceID=14","4.8")</f>
        <v>4.8</v>
      </c>
      <c r="G2702" s="4" t="str">
        <f>HYPERLINK("http://141.218.60.56/~jnz1568/getInfo.php?workbook=18_15.xlsx&amp;sheet=U0&amp;row=2702&amp;col=7&amp;number=0.245&amp;sourceID=14","0.245")</f>
        <v>0.245</v>
      </c>
    </row>
    <row r="2703" spans="1:7">
      <c r="A2703" s="3"/>
      <c r="B2703" s="3"/>
      <c r="C2703" s="3"/>
      <c r="D2703" s="3"/>
      <c r="E2703" s="3">
        <v>20</v>
      </c>
      <c r="F2703" s="4" t="str">
        <f>HYPERLINK("http://141.218.60.56/~jnz1568/getInfo.php?workbook=18_15.xlsx&amp;sheet=U0&amp;row=2703&amp;col=6&amp;number=4.9&amp;sourceID=14","4.9")</f>
        <v>4.9</v>
      </c>
      <c r="G2703" s="4" t="str">
        <f>HYPERLINK("http://141.218.60.56/~jnz1568/getInfo.php?workbook=18_15.xlsx&amp;sheet=U0&amp;row=2703&amp;col=7&amp;number=0.229&amp;sourceID=14","0.229")</f>
        <v>0.229</v>
      </c>
    </row>
    <row r="2704" spans="1:7">
      <c r="A2704" s="3">
        <v>18</v>
      </c>
      <c r="B2704" s="3">
        <v>15</v>
      </c>
      <c r="C2704" s="3">
        <v>6</v>
      </c>
      <c r="D2704" s="3">
        <v>25</v>
      </c>
      <c r="E2704" s="3">
        <v>1</v>
      </c>
      <c r="F2704" s="4" t="str">
        <f>HYPERLINK("http://141.218.60.56/~jnz1568/getInfo.php?workbook=18_15.xlsx&amp;sheet=U0&amp;row=2704&amp;col=6&amp;number=3&amp;sourceID=14","3")</f>
        <v>3</v>
      </c>
      <c r="G2704" s="4" t="str">
        <f>HYPERLINK("http://141.218.60.56/~jnz1568/getInfo.php?workbook=18_15.xlsx&amp;sheet=U0&amp;row=2704&amp;col=7&amp;number=0.0191&amp;sourceID=14","0.0191")</f>
        <v>0.0191</v>
      </c>
    </row>
    <row r="2705" spans="1:7">
      <c r="A2705" s="3"/>
      <c r="B2705" s="3"/>
      <c r="C2705" s="3"/>
      <c r="D2705" s="3"/>
      <c r="E2705" s="3">
        <v>2</v>
      </c>
      <c r="F2705" s="4" t="str">
        <f>HYPERLINK("http://141.218.60.56/~jnz1568/getInfo.php?workbook=18_15.xlsx&amp;sheet=U0&amp;row=2705&amp;col=6&amp;number=3.1&amp;sourceID=14","3.1")</f>
        <v>3.1</v>
      </c>
      <c r="G2705" s="4" t="str">
        <f>HYPERLINK("http://141.218.60.56/~jnz1568/getInfo.php?workbook=18_15.xlsx&amp;sheet=U0&amp;row=2705&amp;col=7&amp;number=0.0195&amp;sourceID=14","0.0195")</f>
        <v>0.0195</v>
      </c>
    </row>
    <row r="2706" spans="1:7">
      <c r="A2706" s="3"/>
      <c r="B2706" s="3"/>
      <c r="C2706" s="3"/>
      <c r="D2706" s="3"/>
      <c r="E2706" s="3">
        <v>3</v>
      </c>
      <c r="F2706" s="4" t="str">
        <f>HYPERLINK("http://141.218.60.56/~jnz1568/getInfo.php?workbook=18_15.xlsx&amp;sheet=U0&amp;row=2706&amp;col=6&amp;number=3.2&amp;sourceID=14","3.2")</f>
        <v>3.2</v>
      </c>
      <c r="G2706" s="4" t="str">
        <f>HYPERLINK("http://141.218.60.56/~jnz1568/getInfo.php?workbook=18_15.xlsx&amp;sheet=U0&amp;row=2706&amp;col=7&amp;number=0.02&amp;sourceID=14","0.02")</f>
        <v>0.02</v>
      </c>
    </row>
    <row r="2707" spans="1:7">
      <c r="A2707" s="3"/>
      <c r="B2707" s="3"/>
      <c r="C2707" s="3"/>
      <c r="D2707" s="3"/>
      <c r="E2707" s="3">
        <v>4</v>
      </c>
      <c r="F2707" s="4" t="str">
        <f>HYPERLINK("http://141.218.60.56/~jnz1568/getInfo.php?workbook=18_15.xlsx&amp;sheet=U0&amp;row=2707&amp;col=6&amp;number=3.3&amp;sourceID=14","3.3")</f>
        <v>3.3</v>
      </c>
      <c r="G2707" s="4" t="str">
        <f>HYPERLINK("http://141.218.60.56/~jnz1568/getInfo.php?workbook=18_15.xlsx&amp;sheet=U0&amp;row=2707&amp;col=7&amp;number=0.0207&amp;sourceID=14","0.0207")</f>
        <v>0.0207</v>
      </c>
    </row>
    <row r="2708" spans="1:7">
      <c r="A2708" s="3"/>
      <c r="B2708" s="3"/>
      <c r="C2708" s="3"/>
      <c r="D2708" s="3"/>
      <c r="E2708" s="3">
        <v>5</v>
      </c>
      <c r="F2708" s="4" t="str">
        <f>HYPERLINK("http://141.218.60.56/~jnz1568/getInfo.php?workbook=18_15.xlsx&amp;sheet=U0&amp;row=2708&amp;col=6&amp;number=3.4&amp;sourceID=14","3.4")</f>
        <v>3.4</v>
      </c>
      <c r="G2708" s="4" t="str">
        <f>HYPERLINK("http://141.218.60.56/~jnz1568/getInfo.php?workbook=18_15.xlsx&amp;sheet=U0&amp;row=2708&amp;col=7&amp;number=0.0215&amp;sourceID=14","0.0215")</f>
        <v>0.0215</v>
      </c>
    </row>
    <row r="2709" spans="1:7">
      <c r="A2709" s="3"/>
      <c r="B2709" s="3"/>
      <c r="C2709" s="3"/>
      <c r="D2709" s="3"/>
      <c r="E2709" s="3">
        <v>6</v>
      </c>
      <c r="F2709" s="4" t="str">
        <f>HYPERLINK("http://141.218.60.56/~jnz1568/getInfo.php?workbook=18_15.xlsx&amp;sheet=U0&amp;row=2709&amp;col=6&amp;number=3.5&amp;sourceID=14","3.5")</f>
        <v>3.5</v>
      </c>
      <c r="G2709" s="4" t="str">
        <f>HYPERLINK("http://141.218.60.56/~jnz1568/getInfo.php?workbook=18_15.xlsx&amp;sheet=U0&amp;row=2709&amp;col=7&amp;number=0.0225&amp;sourceID=14","0.0225")</f>
        <v>0.0225</v>
      </c>
    </row>
    <row r="2710" spans="1:7">
      <c r="A2710" s="3"/>
      <c r="B2710" s="3"/>
      <c r="C2710" s="3"/>
      <c r="D2710" s="3"/>
      <c r="E2710" s="3">
        <v>7</v>
      </c>
      <c r="F2710" s="4" t="str">
        <f>HYPERLINK("http://141.218.60.56/~jnz1568/getInfo.php?workbook=18_15.xlsx&amp;sheet=U0&amp;row=2710&amp;col=6&amp;number=3.6&amp;sourceID=14","3.6")</f>
        <v>3.6</v>
      </c>
      <c r="G2710" s="4" t="str">
        <f>HYPERLINK("http://141.218.60.56/~jnz1568/getInfo.php?workbook=18_15.xlsx&amp;sheet=U0&amp;row=2710&amp;col=7&amp;number=0.0238&amp;sourceID=14","0.0238")</f>
        <v>0.0238</v>
      </c>
    </row>
    <row r="2711" spans="1:7">
      <c r="A2711" s="3"/>
      <c r="B2711" s="3"/>
      <c r="C2711" s="3"/>
      <c r="D2711" s="3"/>
      <c r="E2711" s="3">
        <v>8</v>
      </c>
      <c r="F2711" s="4" t="str">
        <f>HYPERLINK("http://141.218.60.56/~jnz1568/getInfo.php?workbook=18_15.xlsx&amp;sheet=U0&amp;row=2711&amp;col=6&amp;number=3.7&amp;sourceID=14","3.7")</f>
        <v>3.7</v>
      </c>
      <c r="G2711" s="4" t="str">
        <f>HYPERLINK("http://141.218.60.56/~jnz1568/getInfo.php?workbook=18_15.xlsx&amp;sheet=U0&amp;row=2711&amp;col=7&amp;number=0.0252&amp;sourceID=14","0.0252")</f>
        <v>0.0252</v>
      </c>
    </row>
    <row r="2712" spans="1:7">
      <c r="A2712" s="3"/>
      <c r="B2712" s="3"/>
      <c r="C2712" s="3"/>
      <c r="D2712" s="3"/>
      <c r="E2712" s="3">
        <v>9</v>
      </c>
      <c r="F2712" s="4" t="str">
        <f>HYPERLINK("http://141.218.60.56/~jnz1568/getInfo.php?workbook=18_15.xlsx&amp;sheet=U0&amp;row=2712&amp;col=6&amp;number=3.8&amp;sourceID=14","3.8")</f>
        <v>3.8</v>
      </c>
      <c r="G2712" s="4" t="str">
        <f>HYPERLINK("http://141.218.60.56/~jnz1568/getInfo.php?workbook=18_15.xlsx&amp;sheet=U0&amp;row=2712&amp;col=7&amp;number=0.0269&amp;sourceID=14","0.0269")</f>
        <v>0.0269</v>
      </c>
    </row>
    <row r="2713" spans="1:7">
      <c r="A2713" s="3"/>
      <c r="B2713" s="3"/>
      <c r="C2713" s="3"/>
      <c r="D2713" s="3"/>
      <c r="E2713" s="3">
        <v>10</v>
      </c>
      <c r="F2713" s="4" t="str">
        <f>HYPERLINK("http://141.218.60.56/~jnz1568/getInfo.php?workbook=18_15.xlsx&amp;sheet=U0&amp;row=2713&amp;col=6&amp;number=3.9&amp;sourceID=14","3.9")</f>
        <v>3.9</v>
      </c>
      <c r="G2713" s="4" t="str">
        <f>HYPERLINK("http://141.218.60.56/~jnz1568/getInfo.php?workbook=18_15.xlsx&amp;sheet=U0&amp;row=2713&amp;col=7&amp;number=0.0287&amp;sourceID=14","0.0287")</f>
        <v>0.0287</v>
      </c>
    </row>
    <row r="2714" spans="1:7">
      <c r="A2714" s="3"/>
      <c r="B2714" s="3"/>
      <c r="C2714" s="3"/>
      <c r="D2714" s="3"/>
      <c r="E2714" s="3">
        <v>11</v>
      </c>
      <c r="F2714" s="4" t="str">
        <f>HYPERLINK("http://141.218.60.56/~jnz1568/getInfo.php?workbook=18_15.xlsx&amp;sheet=U0&amp;row=2714&amp;col=6&amp;number=4&amp;sourceID=14","4")</f>
        <v>4</v>
      </c>
      <c r="G2714" s="4" t="str">
        <f>HYPERLINK("http://141.218.60.56/~jnz1568/getInfo.php?workbook=18_15.xlsx&amp;sheet=U0&amp;row=2714&amp;col=7&amp;number=0.0307&amp;sourceID=14","0.0307")</f>
        <v>0.0307</v>
      </c>
    </row>
    <row r="2715" spans="1:7">
      <c r="A2715" s="3"/>
      <c r="B2715" s="3"/>
      <c r="C2715" s="3"/>
      <c r="D2715" s="3"/>
      <c r="E2715" s="3">
        <v>12</v>
      </c>
      <c r="F2715" s="4" t="str">
        <f>HYPERLINK("http://141.218.60.56/~jnz1568/getInfo.php?workbook=18_15.xlsx&amp;sheet=U0&amp;row=2715&amp;col=6&amp;number=4.1&amp;sourceID=14","4.1")</f>
        <v>4.1</v>
      </c>
      <c r="G2715" s="4" t="str">
        <f>HYPERLINK("http://141.218.60.56/~jnz1568/getInfo.php?workbook=18_15.xlsx&amp;sheet=U0&amp;row=2715&amp;col=7&amp;number=0.0329&amp;sourceID=14","0.0329")</f>
        <v>0.0329</v>
      </c>
    </row>
    <row r="2716" spans="1:7">
      <c r="A2716" s="3"/>
      <c r="B2716" s="3"/>
      <c r="C2716" s="3"/>
      <c r="D2716" s="3"/>
      <c r="E2716" s="3">
        <v>13</v>
      </c>
      <c r="F2716" s="4" t="str">
        <f>HYPERLINK("http://141.218.60.56/~jnz1568/getInfo.php?workbook=18_15.xlsx&amp;sheet=U0&amp;row=2716&amp;col=6&amp;number=4.2&amp;sourceID=14","4.2")</f>
        <v>4.2</v>
      </c>
      <c r="G2716" s="4" t="str">
        <f>HYPERLINK("http://141.218.60.56/~jnz1568/getInfo.php?workbook=18_15.xlsx&amp;sheet=U0&amp;row=2716&amp;col=7&amp;number=0.0355&amp;sourceID=14","0.0355")</f>
        <v>0.0355</v>
      </c>
    </row>
    <row r="2717" spans="1:7">
      <c r="A2717" s="3"/>
      <c r="B2717" s="3"/>
      <c r="C2717" s="3"/>
      <c r="D2717" s="3"/>
      <c r="E2717" s="3">
        <v>14</v>
      </c>
      <c r="F2717" s="4" t="str">
        <f>HYPERLINK("http://141.218.60.56/~jnz1568/getInfo.php?workbook=18_15.xlsx&amp;sheet=U0&amp;row=2717&amp;col=6&amp;number=4.3&amp;sourceID=14","4.3")</f>
        <v>4.3</v>
      </c>
      <c r="G2717" s="4" t="str">
        <f>HYPERLINK("http://141.218.60.56/~jnz1568/getInfo.php?workbook=18_15.xlsx&amp;sheet=U0&amp;row=2717&amp;col=7&amp;number=0.0386&amp;sourceID=14","0.0386")</f>
        <v>0.0386</v>
      </c>
    </row>
    <row r="2718" spans="1:7">
      <c r="A2718" s="3"/>
      <c r="B2718" s="3"/>
      <c r="C2718" s="3"/>
      <c r="D2718" s="3"/>
      <c r="E2718" s="3">
        <v>15</v>
      </c>
      <c r="F2718" s="4" t="str">
        <f>HYPERLINK("http://141.218.60.56/~jnz1568/getInfo.php?workbook=18_15.xlsx&amp;sheet=U0&amp;row=2718&amp;col=6&amp;number=4.4&amp;sourceID=14","4.4")</f>
        <v>4.4</v>
      </c>
      <c r="G2718" s="4" t="str">
        <f>HYPERLINK("http://141.218.60.56/~jnz1568/getInfo.php?workbook=18_15.xlsx&amp;sheet=U0&amp;row=2718&amp;col=7&amp;number=0.0424&amp;sourceID=14","0.0424")</f>
        <v>0.0424</v>
      </c>
    </row>
    <row r="2719" spans="1:7">
      <c r="A2719" s="3"/>
      <c r="B2719" s="3"/>
      <c r="C2719" s="3"/>
      <c r="D2719" s="3"/>
      <c r="E2719" s="3">
        <v>16</v>
      </c>
      <c r="F2719" s="4" t="str">
        <f>HYPERLINK("http://141.218.60.56/~jnz1568/getInfo.php?workbook=18_15.xlsx&amp;sheet=U0&amp;row=2719&amp;col=6&amp;number=4.5&amp;sourceID=14","4.5")</f>
        <v>4.5</v>
      </c>
      <c r="G2719" s="4" t="str">
        <f>HYPERLINK("http://141.218.60.56/~jnz1568/getInfo.php?workbook=18_15.xlsx&amp;sheet=U0&amp;row=2719&amp;col=7&amp;number=0.0462&amp;sourceID=14","0.0462")</f>
        <v>0.0462</v>
      </c>
    </row>
    <row r="2720" spans="1:7">
      <c r="A2720" s="3"/>
      <c r="B2720" s="3"/>
      <c r="C2720" s="3"/>
      <c r="D2720" s="3"/>
      <c r="E2720" s="3">
        <v>17</v>
      </c>
      <c r="F2720" s="4" t="str">
        <f>HYPERLINK("http://141.218.60.56/~jnz1568/getInfo.php?workbook=18_15.xlsx&amp;sheet=U0&amp;row=2720&amp;col=6&amp;number=4.6&amp;sourceID=14","4.6")</f>
        <v>4.6</v>
      </c>
      <c r="G2720" s="4" t="str">
        <f>HYPERLINK("http://141.218.60.56/~jnz1568/getInfo.php?workbook=18_15.xlsx&amp;sheet=U0&amp;row=2720&amp;col=7&amp;number=0.0489&amp;sourceID=14","0.0489")</f>
        <v>0.0489</v>
      </c>
    </row>
    <row r="2721" spans="1:7">
      <c r="A2721" s="3"/>
      <c r="B2721" s="3"/>
      <c r="C2721" s="3"/>
      <c r="D2721" s="3"/>
      <c r="E2721" s="3">
        <v>18</v>
      </c>
      <c r="F2721" s="4" t="str">
        <f>HYPERLINK("http://141.218.60.56/~jnz1568/getInfo.php?workbook=18_15.xlsx&amp;sheet=U0&amp;row=2721&amp;col=6&amp;number=4.7&amp;sourceID=14","4.7")</f>
        <v>4.7</v>
      </c>
      <c r="G2721" s="4" t="str">
        <f>HYPERLINK("http://141.218.60.56/~jnz1568/getInfo.php?workbook=18_15.xlsx&amp;sheet=U0&amp;row=2721&amp;col=7&amp;number=0.0508&amp;sourceID=14","0.0508")</f>
        <v>0.0508</v>
      </c>
    </row>
    <row r="2722" spans="1:7">
      <c r="A2722" s="3"/>
      <c r="B2722" s="3"/>
      <c r="C2722" s="3"/>
      <c r="D2722" s="3"/>
      <c r="E2722" s="3">
        <v>19</v>
      </c>
      <c r="F2722" s="4" t="str">
        <f>HYPERLINK("http://141.218.60.56/~jnz1568/getInfo.php?workbook=18_15.xlsx&amp;sheet=U0&amp;row=2722&amp;col=6&amp;number=4.8&amp;sourceID=14","4.8")</f>
        <v>4.8</v>
      </c>
      <c r="G2722" s="4" t="str">
        <f>HYPERLINK("http://141.218.60.56/~jnz1568/getInfo.php?workbook=18_15.xlsx&amp;sheet=U0&amp;row=2722&amp;col=7&amp;number=0.0528&amp;sourceID=14","0.0528")</f>
        <v>0.0528</v>
      </c>
    </row>
    <row r="2723" spans="1:7">
      <c r="A2723" s="3"/>
      <c r="B2723" s="3"/>
      <c r="C2723" s="3"/>
      <c r="D2723" s="3"/>
      <c r="E2723" s="3">
        <v>20</v>
      </c>
      <c r="F2723" s="4" t="str">
        <f>HYPERLINK("http://141.218.60.56/~jnz1568/getInfo.php?workbook=18_15.xlsx&amp;sheet=U0&amp;row=2723&amp;col=6&amp;number=4.9&amp;sourceID=14","4.9")</f>
        <v>4.9</v>
      </c>
      <c r="G2723" s="4" t="str">
        <f>HYPERLINK("http://141.218.60.56/~jnz1568/getInfo.php?workbook=18_15.xlsx&amp;sheet=U0&amp;row=2723&amp;col=7&amp;number=0.0545&amp;sourceID=14","0.0545")</f>
        <v>0.0545</v>
      </c>
    </row>
    <row r="2724" spans="1:7">
      <c r="A2724" s="3">
        <v>18</v>
      </c>
      <c r="B2724" s="3">
        <v>15</v>
      </c>
      <c r="C2724" s="3">
        <v>7</v>
      </c>
      <c r="D2724" s="3">
        <v>17</v>
      </c>
      <c r="E2724" s="3">
        <v>1</v>
      </c>
      <c r="F2724" s="4" t="str">
        <f>HYPERLINK("http://141.218.60.56/~jnz1568/getInfo.php?workbook=18_15.xlsx&amp;sheet=U0&amp;row=2724&amp;col=6&amp;number=3&amp;sourceID=14","3")</f>
        <v>3</v>
      </c>
      <c r="G2724" s="4" t="str">
        <f>HYPERLINK("http://141.218.60.56/~jnz1568/getInfo.php?workbook=18_15.xlsx&amp;sheet=U0&amp;row=2724&amp;col=7&amp;number=0.776&amp;sourceID=14","0.776")</f>
        <v>0.776</v>
      </c>
    </row>
    <row r="2725" spans="1:7">
      <c r="A2725" s="3"/>
      <c r="B2725" s="3"/>
      <c r="C2725" s="3"/>
      <c r="D2725" s="3"/>
      <c r="E2725" s="3">
        <v>2</v>
      </c>
      <c r="F2725" s="4" t="str">
        <f>HYPERLINK("http://141.218.60.56/~jnz1568/getInfo.php?workbook=18_15.xlsx&amp;sheet=U0&amp;row=2725&amp;col=6&amp;number=3.1&amp;sourceID=14","3.1")</f>
        <v>3.1</v>
      </c>
      <c r="G2725" s="4" t="str">
        <f>HYPERLINK("http://141.218.60.56/~jnz1568/getInfo.php?workbook=18_15.xlsx&amp;sheet=U0&amp;row=2725&amp;col=7&amp;number=0.77&amp;sourceID=14","0.77")</f>
        <v>0.77</v>
      </c>
    </row>
    <row r="2726" spans="1:7">
      <c r="A2726" s="3"/>
      <c r="B2726" s="3"/>
      <c r="C2726" s="3"/>
      <c r="D2726" s="3"/>
      <c r="E2726" s="3">
        <v>3</v>
      </c>
      <c r="F2726" s="4" t="str">
        <f>HYPERLINK("http://141.218.60.56/~jnz1568/getInfo.php?workbook=18_15.xlsx&amp;sheet=U0&amp;row=2726&amp;col=6&amp;number=3.2&amp;sourceID=14","3.2")</f>
        <v>3.2</v>
      </c>
      <c r="G2726" s="4" t="str">
        <f>HYPERLINK("http://141.218.60.56/~jnz1568/getInfo.php?workbook=18_15.xlsx&amp;sheet=U0&amp;row=2726&amp;col=7&amp;number=0.762&amp;sourceID=14","0.762")</f>
        <v>0.762</v>
      </c>
    </row>
    <row r="2727" spans="1:7">
      <c r="A2727" s="3"/>
      <c r="B2727" s="3"/>
      <c r="C2727" s="3"/>
      <c r="D2727" s="3"/>
      <c r="E2727" s="3">
        <v>4</v>
      </c>
      <c r="F2727" s="4" t="str">
        <f>HYPERLINK("http://141.218.60.56/~jnz1568/getInfo.php?workbook=18_15.xlsx&amp;sheet=U0&amp;row=2727&amp;col=6&amp;number=3.3&amp;sourceID=14","3.3")</f>
        <v>3.3</v>
      </c>
      <c r="G2727" s="4" t="str">
        <f>HYPERLINK("http://141.218.60.56/~jnz1568/getInfo.php?workbook=18_15.xlsx&amp;sheet=U0&amp;row=2727&amp;col=7&amp;number=0.752&amp;sourceID=14","0.752")</f>
        <v>0.752</v>
      </c>
    </row>
    <row r="2728" spans="1:7">
      <c r="A2728" s="3"/>
      <c r="B2728" s="3"/>
      <c r="C2728" s="3"/>
      <c r="D2728" s="3"/>
      <c r="E2728" s="3">
        <v>5</v>
      </c>
      <c r="F2728" s="4" t="str">
        <f>HYPERLINK("http://141.218.60.56/~jnz1568/getInfo.php?workbook=18_15.xlsx&amp;sheet=U0&amp;row=2728&amp;col=6&amp;number=3.4&amp;sourceID=14","3.4")</f>
        <v>3.4</v>
      </c>
      <c r="G2728" s="4" t="str">
        <f>HYPERLINK("http://141.218.60.56/~jnz1568/getInfo.php?workbook=18_15.xlsx&amp;sheet=U0&amp;row=2728&amp;col=7&amp;number=0.741&amp;sourceID=14","0.741")</f>
        <v>0.741</v>
      </c>
    </row>
    <row r="2729" spans="1:7">
      <c r="A2729" s="3"/>
      <c r="B2729" s="3"/>
      <c r="C2729" s="3"/>
      <c r="D2729" s="3"/>
      <c r="E2729" s="3">
        <v>6</v>
      </c>
      <c r="F2729" s="4" t="str">
        <f>HYPERLINK("http://141.218.60.56/~jnz1568/getInfo.php?workbook=18_15.xlsx&amp;sheet=U0&amp;row=2729&amp;col=6&amp;number=3.5&amp;sourceID=14","3.5")</f>
        <v>3.5</v>
      </c>
      <c r="G2729" s="4" t="str">
        <f>HYPERLINK("http://141.218.60.56/~jnz1568/getInfo.php?workbook=18_15.xlsx&amp;sheet=U0&amp;row=2729&amp;col=7&amp;number=0.727&amp;sourceID=14","0.727")</f>
        <v>0.727</v>
      </c>
    </row>
    <row r="2730" spans="1:7">
      <c r="A2730" s="3"/>
      <c r="B2730" s="3"/>
      <c r="C2730" s="3"/>
      <c r="D2730" s="3"/>
      <c r="E2730" s="3">
        <v>7</v>
      </c>
      <c r="F2730" s="4" t="str">
        <f>HYPERLINK("http://141.218.60.56/~jnz1568/getInfo.php?workbook=18_15.xlsx&amp;sheet=U0&amp;row=2730&amp;col=6&amp;number=3.6&amp;sourceID=14","3.6")</f>
        <v>3.6</v>
      </c>
      <c r="G2730" s="4" t="str">
        <f>HYPERLINK("http://141.218.60.56/~jnz1568/getInfo.php?workbook=18_15.xlsx&amp;sheet=U0&amp;row=2730&amp;col=7&amp;number=0.71&amp;sourceID=14","0.71")</f>
        <v>0.71</v>
      </c>
    </row>
    <row r="2731" spans="1:7">
      <c r="A2731" s="3"/>
      <c r="B2731" s="3"/>
      <c r="C2731" s="3"/>
      <c r="D2731" s="3"/>
      <c r="E2731" s="3">
        <v>8</v>
      </c>
      <c r="F2731" s="4" t="str">
        <f>HYPERLINK("http://141.218.60.56/~jnz1568/getInfo.php?workbook=18_15.xlsx&amp;sheet=U0&amp;row=2731&amp;col=6&amp;number=3.7&amp;sourceID=14","3.7")</f>
        <v>3.7</v>
      </c>
      <c r="G2731" s="4" t="str">
        <f>HYPERLINK("http://141.218.60.56/~jnz1568/getInfo.php?workbook=18_15.xlsx&amp;sheet=U0&amp;row=2731&amp;col=7&amp;number=0.692&amp;sourceID=14","0.692")</f>
        <v>0.692</v>
      </c>
    </row>
    <row r="2732" spans="1:7">
      <c r="A2732" s="3"/>
      <c r="B2732" s="3"/>
      <c r="C2732" s="3"/>
      <c r="D2732" s="3"/>
      <c r="E2732" s="3">
        <v>9</v>
      </c>
      <c r="F2732" s="4" t="str">
        <f>HYPERLINK("http://141.218.60.56/~jnz1568/getInfo.php?workbook=18_15.xlsx&amp;sheet=U0&amp;row=2732&amp;col=6&amp;number=3.8&amp;sourceID=14","3.8")</f>
        <v>3.8</v>
      </c>
      <c r="G2732" s="4" t="str">
        <f>HYPERLINK("http://141.218.60.56/~jnz1568/getInfo.php?workbook=18_15.xlsx&amp;sheet=U0&amp;row=2732&amp;col=7&amp;number=0.672&amp;sourceID=14","0.672")</f>
        <v>0.672</v>
      </c>
    </row>
    <row r="2733" spans="1:7">
      <c r="A2733" s="3"/>
      <c r="B2733" s="3"/>
      <c r="C2733" s="3"/>
      <c r="D2733" s="3"/>
      <c r="E2733" s="3">
        <v>10</v>
      </c>
      <c r="F2733" s="4" t="str">
        <f>HYPERLINK("http://141.218.60.56/~jnz1568/getInfo.php?workbook=18_15.xlsx&amp;sheet=U0&amp;row=2733&amp;col=6&amp;number=3.9&amp;sourceID=14","3.9")</f>
        <v>3.9</v>
      </c>
      <c r="G2733" s="4" t="str">
        <f>HYPERLINK("http://141.218.60.56/~jnz1568/getInfo.php?workbook=18_15.xlsx&amp;sheet=U0&amp;row=2733&amp;col=7&amp;number=0.654&amp;sourceID=14","0.654")</f>
        <v>0.654</v>
      </c>
    </row>
    <row r="2734" spans="1:7">
      <c r="A2734" s="3"/>
      <c r="B2734" s="3"/>
      <c r="C2734" s="3"/>
      <c r="D2734" s="3"/>
      <c r="E2734" s="3">
        <v>11</v>
      </c>
      <c r="F2734" s="4" t="str">
        <f>HYPERLINK("http://141.218.60.56/~jnz1568/getInfo.php?workbook=18_15.xlsx&amp;sheet=U0&amp;row=2734&amp;col=6&amp;number=4&amp;sourceID=14","4")</f>
        <v>4</v>
      </c>
      <c r="G2734" s="4" t="str">
        <f>HYPERLINK("http://141.218.60.56/~jnz1568/getInfo.php?workbook=18_15.xlsx&amp;sheet=U0&amp;row=2734&amp;col=7&amp;number=0.639&amp;sourceID=14","0.639")</f>
        <v>0.639</v>
      </c>
    </row>
    <row r="2735" spans="1:7">
      <c r="A2735" s="3"/>
      <c r="B2735" s="3"/>
      <c r="C2735" s="3"/>
      <c r="D2735" s="3"/>
      <c r="E2735" s="3">
        <v>12</v>
      </c>
      <c r="F2735" s="4" t="str">
        <f>HYPERLINK("http://141.218.60.56/~jnz1568/getInfo.php?workbook=18_15.xlsx&amp;sheet=U0&amp;row=2735&amp;col=6&amp;number=4.1&amp;sourceID=14","4.1")</f>
        <v>4.1</v>
      </c>
      <c r="G2735" s="4" t="str">
        <f>HYPERLINK("http://141.218.60.56/~jnz1568/getInfo.php?workbook=18_15.xlsx&amp;sheet=U0&amp;row=2735&amp;col=7&amp;number=0.629&amp;sourceID=14","0.629")</f>
        <v>0.629</v>
      </c>
    </row>
    <row r="2736" spans="1:7">
      <c r="A2736" s="3"/>
      <c r="B2736" s="3"/>
      <c r="C2736" s="3"/>
      <c r="D2736" s="3"/>
      <c r="E2736" s="3">
        <v>13</v>
      </c>
      <c r="F2736" s="4" t="str">
        <f>HYPERLINK("http://141.218.60.56/~jnz1568/getInfo.php?workbook=18_15.xlsx&amp;sheet=U0&amp;row=2736&amp;col=6&amp;number=4.2&amp;sourceID=14","4.2")</f>
        <v>4.2</v>
      </c>
      <c r="G2736" s="4" t="str">
        <f>HYPERLINK("http://141.218.60.56/~jnz1568/getInfo.php?workbook=18_15.xlsx&amp;sheet=U0&amp;row=2736&amp;col=7&amp;number=0.623&amp;sourceID=14","0.623")</f>
        <v>0.623</v>
      </c>
    </row>
    <row r="2737" spans="1:7">
      <c r="A2737" s="3"/>
      <c r="B2737" s="3"/>
      <c r="C2737" s="3"/>
      <c r="D2737" s="3"/>
      <c r="E2737" s="3">
        <v>14</v>
      </c>
      <c r="F2737" s="4" t="str">
        <f>HYPERLINK("http://141.218.60.56/~jnz1568/getInfo.php?workbook=18_15.xlsx&amp;sheet=U0&amp;row=2737&amp;col=6&amp;number=4.3&amp;sourceID=14","4.3")</f>
        <v>4.3</v>
      </c>
      <c r="G2737" s="4" t="str">
        <f>HYPERLINK("http://141.218.60.56/~jnz1568/getInfo.php?workbook=18_15.xlsx&amp;sheet=U0&amp;row=2737&amp;col=7&amp;number=0.613&amp;sourceID=14","0.613")</f>
        <v>0.613</v>
      </c>
    </row>
    <row r="2738" spans="1:7">
      <c r="A2738" s="3"/>
      <c r="B2738" s="3"/>
      <c r="C2738" s="3"/>
      <c r="D2738" s="3"/>
      <c r="E2738" s="3">
        <v>15</v>
      </c>
      <c r="F2738" s="4" t="str">
        <f>HYPERLINK("http://141.218.60.56/~jnz1568/getInfo.php?workbook=18_15.xlsx&amp;sheet=U0&amp;row=2738&amp;col=6&amp;number=4.4&amp;sourceID=14","4.4")</f>
        <v>4.4</v>
      </c>
      <c r="G2738" s="4" t="str">
        <f>HYPERLINK("http://141.218.60.56/~jnz1568/getInfo.php?workbook=18_15.xlsx&amp;sheet=U0&amp;row=2738&amp;col=7&amp;number=0.596&amp;sourceID=14","0.596")</f>
        <v>0.596</v>
      </c>
    </row>
    <row r="2739" spans="1:7">
      <c r="A2739" s="3"/>
      <c r="B2739" s="3"/>
      <c r="C2739" s="3"/>
      <c r="D2739" s="3"/>
      <c r="E2739" s="3">
        <v>16</v>
      </c>
      <c r="F2739" s="4" t="str">
        <f>HYPERLINK("http://141.218.60.56/~jnz1568/getInfo.php?workbook=18_15.xlsx&amp;sheet=U0&amp;row=2739&amp;col=6&amp;number=4.5&amp;sourceID=14","4.5")</f>
        <v>4.5</v>
      </c>
      <c r="G2739" s="4" t="str">
        <f>HYPERLINK("http://141.218.60.56/~jnz1568/getInfo.php?workbook=18_15.xlsx&amp;sheet=U0&amp;row=2739&amp;col=7&amp;number=0.574&amp;sourceID=14","0.574")</f>
        <v>0.574</v>
      </c>
    </row>
    <row r="2740" spans="1:7">
      <c r="A2740" s="3"/>
      <c r="B2740" s="3"/>
      <c r="C2740" s="3"/>
      <c r="D2740" s="3"/>
      <c r="E2740" s="3">
        <v>17</v>
      </c>
      <c r="F2740" s="4" t="str">
        <f>HYPERLINK("http://141.218.60.56/~jnz1568/getInfo.php?workbook=18_15.xlsx&amp;sheet=U0&amp;row=2740&amp;col=6&amp;number=4.6&amp;sourceID=14","4.6")</f>
        <v>4.6</v>
      </c>
      <c r="G2740" s="4" t="str">
        <f>HYPERLINK("http://141.218.60.56/~jnz1568/getInfo.php?workbook=18_15.xlsx&amp;sheet=U0&amp;row=2740&amp;col=7&amp;number=0.553&amp;sourceID=14","0.553")</f>
        <v>0.553</v>
      </c>
    </row>
    <row r="2741" spans="1:7">
      <c r="A2741" s="3"/>
      <c r="B2741" s="3"/>
      <c r="C2741" s="3"/>
      <c r="D2741" s="3"/>
      <c r="E2741" s="3">
        <v>18</v>
      </c>
      <c r="F2741" s="4" t="str">
        <f>HYPERLINK("http://141.218.60.56/~jnz1568/getInfo.php?workbook=18_15.xlsx&amp;sheet=U0&amp;row=2741&amp;col=6&amp;number=4.7&amp;sourceID=14","4.7")</f>
        <v>4.7</v>
      </c>
      <c r="G2741" s="4" t="str">
        <f>HYPERLINK("http://141.218.60.56/~jnz1568/getInfo.php?workbook=18_15.xlsx&amp;sheet=U0&amp;row=2741&amp;col=7&amp;number=0.532&amp;sourceID=14","0.532")</f>
        <v>0.532</v>
      </c>
    </row>
    <row r="2742" spans="1:7">
      <c r="A2742" s="3"/>
      <c r="B2742" s="3"/>
      <c r="C2742" s="3"/>
      <c r="D2742" s="3"/>
      <c r="E2742" s="3">
        <v>19</v>
      </c>
      <c r="F2742" s="4" t="str">
        <f>HYPERLINK("http://141.218.60.56/~jnz1568/getInfo.php?workbook=18_15.xlsx&amp;sheet=U0&amp;row=2742&amp;col=6&amp;number=4.8&amp;sourceID=14","4.8")</f>
        <v>4.8</v>
      </c>
      <c r="G2742" s="4" t="str">
        <f>HYPERLINK("http://141.218.60.56/~jnz1568/getInfo.php?workbook=18_15.xlsx&amp;sheet=U0&amp;row=2742&amp;col=7&amp;number=0.512&amp;sourceID=14","0.512")</f>
        <v>0.512</v>
      </c>
    </row>
    <row r="2743" spans="1:7">
      <c r="A2743" s="3"/>
      <c r="B2743" s="3"/>
      <c r="C2743" s="3"/>
      <c r="D2743" s="3"/>
      <c r="E2743" s="3">
        <v>20</v>
      </c>
      <c r="F2743" s="4" t="str">
        <f>HYPERLINK("http://141.218.60.56/~jnz1568/getInfo.php?workbook=18_15.xlsx&amp;sheet=U0&amp;row=2743&amp;col=6&amp;number=4.9&amp;sourceID=14","4.9")</f>
        <v>4.9</v>
      </c>
      <c r="G2743" s="4" t="str">
        <f>HYPERLINK("http://141.218.60.56/~jnz1568/getInfo.php?workbook=18_15.xlsx&amp;sheet=U0&amp;row=2743&amp;col=7&amp;number=0.488&amp;sourceID=14","0.488")</f>
        <v>0.488</v>
      </c>
    </row>
    <row r="2744" spans="1:7">
      <c r="A2744" s="3">
        <v>18</v>
      </c>
      <c r="B2744" s="3">
        <v>15</v>
      </c>
      <c r="C2744" s="3">
        <v>7</v>
      </c>
      <c r="D2744" s="3">
        <v>25</v>
      </c>
      <c r="E2744" s="3">
        <v>1</v>
      </c>
      <c r="F2744" s="4" t="str">
        <f>HYPERLINK("http://141.218.60.56/~jnz1568/getInfo.php?workbook=18_15.xlsx&amp;sheet=U0&amp;row=2744&amp;col=6&amp;number=3&amp;sourceID=14","3")</f>
        <v>3</v>
      </c>
      <c r="G2744" s="4" t="str">
        <f>HYPERLINK("http://141.218.60.56/~jnz1568/getInfo.php?workbook=18_15.xlsx&amp;sheet=U0&amp;row=2744&amp;col=7&amp;number=0.048&amp;sourceID=14","0.048")</f>
        <v>0.048</v>
      </c>
    </row>
    <row r="2745" spans="1:7">
      <c r="A2745" s="3"/>
      <c r="B2745" s="3"/>
      <c r="C2745" s="3"/>
      <c r="D2745" s="3"/>
      <c r="E2745" s="3">
        <v>2</v>
      </c>
      <c r="F2745" s="4" t="str">
        <f>HYPERLINK("http://141.218.60.56/~jnz1568/getInfo.php?workbook=18_15.xlsx&amp;sheet=U0&amp;row=2745&amp;col=6&amp;number=3.1&amp;sourceID=14","3.1")</f>
        <v>3.1</v>
      </c>
      <c r="G2745" s="4" t="str">
        <f>HYPERLINK("http://141.218.60.56/~jnz1568/getInfo.php?workbook=18_15.xlsx&amp;sheet=U0&amp;row=2745&amp;col=7&amp;number=0.049&amp;sourceID=14","0.049")</f>
        <v>0.049</v>
      </c>
    </row>
    <row r="2746" spans="1:7">
      <c r="A2746" s="3"/>
      <c r="B2746" s="3"/>
      <c r="C2746" s="3"/>
      <c r="D2746" s="3"/>
      <c r="E2746" s="3">
        <v>3</v>
      </c>
      <c r="F2746" s="4" t="str">
        <f>HYPERLINK("http://141.218.60.56/~jnz1568/getInfo.php?workbook=18_15.xlsx&amp;sheet=U0&amp;row=2746&amp;col=6&amp;number=3.2&amp;sourceID=14","3.2")</f>
        <v>3.2</v>
      </c>
      <c r="G2746" s="4" t="str">
        <f>HYPERLINK("http://141.218.60.56/~jnz1568/getInfo.php?workbook=18_15.xlsx&amp;sheet=U0&amp;row=2746&amp;col=7&amp;number=0.0503&amp;sourceID=14","0.0503")</f>
        <v>0.0503</v>
      </c>
    </row>
    <row r="2747" spans="1:7">
      <c r="A2747" s="3"/>
      <c r="B2747" s="3"/>
      <c r="C2747" s="3"/>
      <c r="D2747" s="3"/>
      <c r="E2747" s="3">
        <v>4</v>
      </c>
      <c r="F2747" s="4" t="str">
        <f>HYPERLINK("http://141.218.60.56/~jnz1568/getInfo.php?workbook=18_15.xlsx&amp;sheet=U0&amp;row=2747&amp;col=6&amp;number=3.3&amp;sourceID=14","3.3")</f>
        <v>3.3</v>
      </c>
      <c r="G2747" s="4" t="str">
        <f>HYPERLINK("http://141.218.60.56/~jnz1568/getInfo.php?workbook=18_15.xlsx&amp;sheet=U0&amp;row=2747&amp;col=7&amp;number=0.0519&amp;sourceID=14","0.0519")</f>
        <v>0.0519</v>
      </c>
    </row>
    <row r="2748" spans="1:7">
      <c r="A2748" s="3"/>
      <c r="B2748" s="3"/>
      <c r="C2748" s="3"/>
      <c r="D2748" s="3"/>
      <c r="E2748" s="3">
        <v>5</v>
      </c>
      <c r="F2748" s="4" t="str">
        <f>HYPERLINK("http://141.218.60.56/~jnz1568/getInfo.php?workbook=18_15.xlsx&amp;sheet=U0&amp;row=2748&amp;col=6&amp;number=3.4&amp;sourceID=14","3.4")</f>
        <v>3.4</v>
      </c>
      <c r="G2748" s="4" t="str">
        <f>HYPERLINK("http://141.218.60.56/~jnz1568/getInfo.php?workbook=18_15.xlsx&amp;sheet=U0&amp;row=2748&amp;col=7&amp;number=0.0538&amp;sourceID=14","0.0538")</f>
        <v>0.0538</v>
      </c>
    </row>
    <row r="2749" spans="1:7">
      <c r="A2749" s="3"/>
      <c r="B2749" s="3"/>
      <c r="C2749" s="3"/>
      <c r="D2749" s="3"/>
      <c r="E2749" s="3">
        <v>6</v>
      </c>
      <c r="F2749" s="4" t="str">
        <f>HYPERLINK("http://141.218.60.56/~jnz1568/getInfo.php?workbook=18_15.xlsx&amp;sheet=U0&amp;row=2749&amp;col=6&amp;number=3.5&amp;sourceID=14","3.5")</f>
        <v>3.5</v>
      </c>
      <c r="G2749" s="4" t="str">
        <f>HYPERLINK("http://141.218.60.56/~jnz1568/getInfo.php?workbook=18_15.xlsx&amp;sheet=U0&amp;row=2749&amp;col=7&amp;number=0.0562&amp;sourceID=14","0.0562")</f>
        <v>0.0562</v>
      </c>
    </row>
    <row r="2750" spans="1:7">
      <c r="A2750" s="3"/>
      <c r="B2750" s="3"/>
      <c r="C2750" s="3"/>
      <c r="D2750" s="3"/>
      <c r="E2750" s="3">
        <v>7</v>
      </c>
      <c r="F2750" s="4" t="str">
        <f>HYPERLINK("http://141.218.60.56/~jnz1568/getInfo.php?workbook=18_15.xlsx&amp;sheet=U0&amp;row=2750&amp;col=6&amp;number=3.6&amp;sourceID=14","3.6")</f>
        <v>3.6</v>
      </c>
      <c r="G2750" s="4" t="str">
        <f>HYPERLINK("http://141.218.60.56/~jnz1568/getInfo.php?workbook=18_15.xlsx&amp;sheet=U0&amp;row=2750&amp;col=7&amp;number=0.059&amp;sourceID=14","0.059")</f>
        <v>0.059</v>
      </c>
    </row>
    <row r="2751" spans="1:7">
      <c r="A2751" s="3"/>
      <c r="B2751" s="3"/>
      <c r="C2751" s="3"/>
      <c r="D2751" s="3"/>
      <c r="E2751" s="3">
        <v>8</v>
      </c>
      <c r="F2751" s="4" t="str">
        <f>HYPERLINK("http://141.218.60.56/~jnz1568/getInfo.php?workbook=18_15.xlsx&amp;sheet=U0&amp;row=2751&amp;col=6&amp;number=3.7&amp;sourceID=14","3.7")</f>
        <v>3.7</v>
      </c>
      <c r="G2751" s="4" t="str">
        <f>HYPERLINK("http://141.218.60.56/~jnz1568/getInfo.php?workbook=18_15.xlsx&amp;sheet=U0&amp;row=2751&amp;col=7&amp;number=0.0623&amp;sourceID=14","0.0623")</f>
        <v>0.0623</v>
      </c>
    </row>
    <row r="2752" spans="1:7">
      <c r="A2752" s="3"/>
      <c r="B2752" s="3"/>
      <c r="C2752" s="3"/>
      <c r="D2752" s="3"/>
      <c r="E2752" s="3">
        <v>9</v>
      </c>
      <c r="F2752" s="4" t="str">
        <f>HYPERLINK("http://141.218.60.56/~jnz1568/getInfo.php?workbook=18_15.xlsx&amp;sheet=U0&amp;row=2752&amp;col=6&amp;number=3.8&amp;sourceID=14","3.8")</f>
        <v>3.8</v>
      </c>
      <c r="G2752" s="4" t="str">
        <f>HYPERLINK("http://141.218.60.56/~jnz1568/getInfo.php?workbook=18_15.xlsx&amp;sheet=U0&amp;row=2752&amp;col=7&amp;number=0.0662&amp;sourceID=14","0.0662")</f>
        <v>0.0662</v>
      </c>
    </row>
    <row r="2753" spans="1:7">
      <c r="A2753" s="3"/>
      <c r="B2753" s="3"/>
      <c r="C2753" s="3"/>
      <c r="D2753" s="3"/>
      <c r="E2753" s="3">
        <v>10</v>
      </c>
      <c r="F2753" s="4" t="str">
        <f>HYPERLINK("http://141.218.60.56/~jnz1568/getInfo.php?workbook=18_15.xlsx&amp;sheet=U0&amp;row=2753&amp;col=6&amp;number=3.9&amp;sourceID=14","3.9")</f>
        <v>3.9</v>
      </c>
      <c r="G2753" s="4" t="str">
        <f>HYPERLINK("http://141.218.60.56/~jnz1568/getInfo.php?workbook=18_15.xlsx&amp;sheet=U0&amp;row=2753&amp;col=7&amp;number=0.0709&amp;sourceID=14","0.0709")</f>
        <v>0.0709</v>
      </c>
    </row>
    <row r="2754" spans="1:7">
      <c r="A2754" s="3"/>
      <c r="B2754" s="3"/>
      <c r="C2754" s="3"/>
      <c r="D2754" s="3"/>
      <c r="E2754" s="3">
        <v>11</v>
      </c>
      <c r="F2754" s="4" t="str">
        <f>HYPERLINK("http://141.218.60.56/~jnz1568/getInfo.php?workbook=18_15.xlsx&amp;sheet=U0&amp;row=2754&amp;col=6&amp;number=4&amp;sourceID=14","4")</f>
        <v>4</v>
      </c>
      <c r="G2754" s="4" t="str">
        <f>HYPERLINK("http://141.218.60.56/~jnz1568/getInfo.php?workbook=18_15.xlsx&amp;sheet=U0&amp;row=2754&amp;col=7&amp;number=0.0771&amp;sourceID=14","0.0771")</f>
        <v>0.0771</v>
      </c>
    </row>
    <row r="2755" spans="1:7">
      <c r="A2755" s="3"/>
      <c r="B2755" s="3"/>
      <c r="C2755" s="3"/>
      <c r="D2755" s="3"/>
      <c r="E2755" s="3">
        <v>12</v>
      </c>
      <c r="F2755" s="4" t="str">
        <f>HYPERLINK("http://141.218.60.56/~jnz1568/getInfo.php?workbook=18_15.xlsx&amp;sheet=U0&amp;row=2755&amp;col=6&amp;number=4.1&amp;sourceID=14","4.1")</f>
        <v>4.1</v>
      </c>
      <c r="G2755" s="4" t="str">
        <f>HYPERLINK("http://141.218.60.56/~jnz1568/getInfo.php?workbook=18_15.xlsx&amp;sheet=U0&amp;row=2755&amp;col=7&amp;number=0.0854&amp;sourceID=14","0.0854")</f>
        <v>0.0854</v>
      </c>
    </row>
    <row r="2756" spans="1:7">
      <c r="A2756" s="3"/>
      <c r="B2756" s="3"/>
      <c r="C2756" s="3"/>
      <c r="D2756" s="3"/>
      <c r="E2756" s="3">
        <v>13</v>
      </c>
      <c r="F2756" s="4" t="str">
        <f>HYPERLINK("http://141.218.60.56/~jnz1568/getInfo.php?workbook=18_15.xlsx&amp;sheet=U0&amp;row=2756&amp;col=6&amp;number=4.2&amp;sourceID=14","4.2")</f>
        <v>4.2</v>
      </c>
      <c r="G2756" s="4" t="str">
        <f>HYPERLINK("http://141.218.60.56/~jnz1568/getInfo.php?workbook=18_15.xlsx&amp;sheet=U0&amp;row=2756&amp;col=7&amp;number=0.0962&amp;sourceID=14","0.0962")</f>
        <v>0.0962</v>
      </c>
    </row>
    <row r="2757" spans="1:7">
      <c r="A2757" s="3"/>
      <c r="B2757" s="3"/>
      <c r="C2757" s="3"/>
      <c r="D2757" s="3"/>
      <c r="E2757" s="3">
        <v>14</v>
      </c>
      <c r="F2757" s="4" t="str">
        <f>HYPERLINK("http://141.218.60.56/~jnz1568/getInfo.php?workbook=18_15.xlsx&amp;sheet=U0&amp;row=2757&amp;col=6&amp;number=4.3&amp;sourceID=14","4.3")</f>
        <v>4.3</v>
      </c>
      <c r="G2757" s="4" t="str">
        <f>HYPERLINK("http://141.218.60.56/~jnz1568/getInfo.php?workbook=18_15.xlsx&amp;sheet=U0&amp;row=2757&amp;col=7&amp;number=0.108&amp;sourceID=14","0.108")</f>
        <v>0.108</v>
      </c>
    </row>
    <row r="2758" spans="1:7">
      <c r="A2758" s="3"/>
      <c r="B2758" s="3"/>
      <c r="C2758" s="3"/>
      <c r="D2758" s="3"/>
      <c r="E2758" s="3">
        <v>15</v>
      </c>
      <c r="F2758" s="4" t="str">
        <f>HYPERLINK("http://141.218.60.56/~jnz1568/getInfo.php?workbook=18_15.xlsx&amp;sheet=U0&amp;row=2758&amp;col=6&amp;number=4.4&amp;sourceID=14","4.4")</f>
        <v>4.4</v>
      </c>
      <c r="G2758" s="4" t="str">
        <f>HYPERLINK("http://141.218.60.56/~jnz1568/getInfo.php?workbook=18_15.xlsx&amp;sheet=U0&amp;row=2758&amp;col=7&amp;number=0.12&amp;sourceID=14","0.12")</f>
        <v>0.12</v>
      </c>
    </row>
    <row r="2759" spans="1:7">
      <c r="A2759" s="3"/>
      <c r="B2759" s="3"/>
      <c r="C2759" s="3"/>
      <c r="D2759" s="3"/>
      <c r="E2759" s="3">
        <v>16</v>
      </c>
      <c r="F2759" s="4" t="str">
        <f>HYPERLINK("http://141.218.60.56/~jnz1568/getInfo.php?workbook=18_15.xlsx&amp;sheet=U0&amp;row=2759&amp;col=6&amp;number=4.5&amp;sourceID=14","4.5")</f>
        <v>4.5</v>
      </c>
      <c r="G2759" s="4" t="str">
        <f>HYPERLINK("http://141.218.60.56/~jnz1568/getInfo.php?workbook=18_15.xlsx&amp;sheet=U0&amp;row=2759&amp;col=7&amp;number=0.13&amp;sourceID=14","0.13")</f>
        <v>0.13</v>
      </c>
    </row>
    <row r="2760" spans="1:7">
      <c r="A2760" s="3"/>
      <c r="B2760" s="3"/>
      <c r="C2760" s="3"/>
      <c r="D2760" s="3"/>
      <c r="E2760" s="3">
        <v>17</v>
      </c>
      <c r="F2760" s="4" t="str">
        <f>HYPERLINK("http://141.218.60.56/~jnz1568/getInfo.php?workbook=18_15.xlsx&amp;sheet=U0&amp;row=2760&amp;col=6&amp;number=4.6&amp;sourceID=14","4.6")</f>
        <v>4.6</v>
      </c>
      <c r="G2760" s="4" t="str">
        <f>HYPERLINK("http://141.218.60.56/~jnz1568/getInfo.php?workbook=18_15.xlsx&amp;sheet=U0&amp;row=2760&amp;col=7&amp;number=0.14&amp;sourceID=14","0.14")</f>
        <v>0.14</v>
      </c>
    </row>
    <row r="2761" spans="1:7">
      <c r="A2761" s="3"/>
      <c r="B2761" s="3"/>
      <c r="C2761" s="3"/>
      <c r="D2761" s="3"/>
      <c r="E2761" s="3">
        <v>18</v>
      </c>
      <c r="F2761" s="4" t="str">
        <f>HYPERLINK("http://141.218.60.56/~jnz1568/getInfo.php?workbook=18_15.xlsx&amp;sheet=U0&amp;row=2761&amp;col=6&amp;number=4.7&amp;sourceID=14","4.7")</f>
        <v>4.7</v>
      </c>
      <c r="G2761" s="4" t="str">
        <f>HYPERLINK("http://141.218.60.56/~jnz1568/getInfo.php?workbook=18_15.xlsx&amp;sheet=U0&amp;row=2761&amp;col=7&amp;number=0.148&amp;sourceID=14","0.148")</f>
        <v>0.148</v>
      </c>
    </row>
    <row r="2762" spans="1:7">
      <c r="A2762" s="3"/>
      <c r="B2762" s="3"/>
      <c r="C2762" s="3"/>
      <c r="D2762" s="3"/>
      <c r="E2762" s="3">
        <v>19</v>
      </c>
      <c r="F2762" s="4" t="str">
        <f>HYPERLINK("http://141.218.60.56/~jnz1568/getInfo.php?workbook=18_15.xlsx&amp;sheet=U0&amp;row=2762&amp;col=6&amp;number=4.8&amp;sourceID=14","4.8")</f>
        <v>4.8</v>
      </c>
      <c r="G2762" s="4" t="str">
        <f>HYPERLINK("http://141.218.60.56/~jnz1568/getInfo.php?workbook=18_15.xlsx&amp;sheet=U0&amp;row=2762&amp;col=7&amp;number=0.152&amp;sourceID=14","0.152")</f>
        <v>0.152</v>
      </c>
    </row>
    <row r="2763" spans="1:7">
      <c r="A2763" s="3"/>
      <c r="B2763" s="3"/>
      <c r="C2763" s="3"/>
      <c r="D2763" s="3"/>
      <c r="E2763" s="3">
        <v>20</v>
      </c>
      <c r="F2763" s="4" t="str">
        <f>HYPERLINK("http://141.218.60.56/~jnz1568/getInfo.php?workbook=18_15.xlsx&amp;sheet=U0&amp;row=2763&amp;col=6&amp;number=4.9&amp;sourceID=14","4.9")</f>
        <v>4.9</v>
      </c>
      <c r="G2763" s="4" t="str">
        <f>HYPERLINK("http://141.218.60.56/~jnz1568/getInfo.php?workbook=18_15.xlsx&amp;sheet=U0&amp;row=2763&amp;col=7&amp;number=0.154&amp;sourceID=14","0.154")</f>
        <v>0.154</v>
      </c>
    </row>
    <row r="2764" spans="1:7">
      <c r="A2764" s="3">
        <v>18</v>
      </c>
      <c r="B2764" s="3">
        <v>15</v>
      </c>
      <c r="C2764" s="3">
        <v>8</v>
      </c>
      <c r="D2764" s="3">
        <v>17</v>
      </c>
      <c r="E2764" s="3">
        <v>1</v>
      </c>
      <c r="F2764" s="4" t="str">
        <f>HYPERLINK("http://141.218.60.56/~jnz1568/getInfo.php?workbook=18_15.xlsx&amp;sheet=U0&amp;row=2764&amp;col=6&amp;number=3&amp;sourceID=14","3")</f>
        <v>3</v>
      </c>
      <c r="G2764" s="4" t="str">
        <f>HYPERLINK("http://141.218.60.56/~jnz1568/getInfo.php?workbook=18_15.xlsx&amp;sheet=U0&amp;row=2764&amp;col=7&amp;number=1.35&amp;sourceID=14","1.35")</f>
        <v>1.35</v>
      </c>
    </row>
    <row r="2765" spans="1:7">
      <c r="A2765" s="3"/>
      <c r="B2765" s="3"/>
      <c r="C2765" s="3"/>
      <c r="D2765" s="3"/>
      <c r="E2765" s="3">
        <v>2</v>
      </c>
      <c r="F2765" s="4" t="str">
        <f>HYPERLINK("http://141.218.60.56/~jnz1568/getInfo.php?workbook=18_15.xlsx&amp;sheet=U0&amp;row=2765&amp;col=6&amp;number=3.1&amp;sourceID=14","3.1")</f>
        <v>3.1</v>
      </c>
      <c r="G2765" s="4" t="str">
        <f>HYPERLINK("http://141.218.60.56/~jnz1568/getInfo.php?workbook=18_15.xlsx&amp;sheet=U0&amp;row=2765&amp;col=7&amp;number=1.34&amp;sourceID=14","1.34")</f>
        <v>1.34</v>
      </c>
    </row>
    <row r="2766" spans="1:7">
      <c r="A2766" s="3"/>
      <c r="B2766" s="3"/>
      <c r="C2766" s="3"/>
      <c r="D2766" s="3"/>
      <c r="E2766" s="3">
        <v>3</v>
      </c>
      <c r="F2766" s="4" t="str">
        <f>HYPERLINK("http://141.218.60.56/~jnz1568/getInfo.php?workbook=18_15.xlsx&amp;sheet=U0&amp;row=2766&amp;col=6&amp;number=3.2&amp;sourceID=14","3.2")</f>
        <v>3.2</v>
      </c>
      <c r="G2766" s="4" t="str">
        <f>HYPERLINK("http://141.218.60.56/~jnz1568/getInfo.php?workbook=18_15.xlsx&amp;sheet=U0&amp;row=2766&amp;col=7&amp;number=1.34&amp;sourceID=14","1.34")</f>
        <v>1.34</v>
      </c>
    </row>
    <row r="2767" spans="1:7">
      <c r="A2767" s="3"/>
      <c r="B2767" s="3"/>
      <c r="C2767" s="3"/>
      <c r="D2767" s="3"/>
      <c r="E2767" s="3">
        <v>4</v>
      </c>
      <c r="F2767" s="4" t="str">
        <f>HYPERLINK("http://141.218.60.56/~jnz1568/getInfo.php?workbook=18_15.xlsx&amp;sheet=U0&amp;row=2767&amp;col=6&amp;number=3.3&amp;sourceID=14","3.3")</f>
        <v>3.3</v>
      </c>
      <c r="G2767" s="4" t="str">
        <f>HYPERLINK("http://141.218.60.56/~jnz1568/getInfo.php?workbook=18_15.xlsx&amp;sheet=U0&amp;row=2767&amp;col=7&amp;number=1.33&amp;sourceID=14","1.33")</f>
        <v>1.33</v>
      </c>
    </row>
    <row r="2768" spans="1:7">
      <c r="A2768" s="3"/>
      <c r="B2768" s="3"/>
      <c r="C2768" s="3"/>
      <c r="D2768" s="3"/>
      <c r="E2768" s="3">
        <v>5</v>
      </c>
      <c r="F2768" s="4" t="str">
        <f>HYPERLINK("http://141.218.60.56/~jnz1568/getInfo.php?workbook=18_15.xlsx&amp;sheet=U0&amp;row=2768&amp;col=6&amp;number=3.4&amp;sourceID=14","3.4")</f>
        <v>3.4</v>
      </c>
      <c r="G2768" s="4" t="str">
        <f>HYPERLINK("http://141.218.60.56/~jnz1568/getInfo.php?workbook=18_15.xlsx&amp;sheet=U0&amp;row=2768&amp;col=7&amp;number=1.33&amp;sourceID=14","1.33")</f>
        <v>1.33</v>
      </c>
    </row>
    <row r="2769" spans="1:7">
      <c r="A2769" s="3"/>
      <c r="B2769" s="3"/>
      <c r="C2769" s="3"/>
      <c r="D2769" s="3"/>
      <c r="E2769" s="3">
        <v>6</v>
      </c>
      <c r="F2769" s="4" t="str">
        <f>HYPERLINK("http://141.218.60.56/~jnz1568/getInfo.php?workbook=18_15.xlsx&amp;sheet=U0&amp;row=2769&amp;col=6&amp;number=3.5&amp;sourceID=14","3.5")</f>
        <v>3.5</v>
      </c>
      <c r="G2769" s="4" t="str">
        <f>HYPERLINK("http://141.218.60.56/~jnz1568/getInfo.php?workbook=18_15.xlsx&amp;sheet=U0&amp;row=2769&amp;col=7&amp;number=1.32&amp;sourceID=14","1.32")</f>
        <v>1.32</v>
      </c>
    </row>
    <row r="2770" spans="1:7">
      <c r="A2770" s="3"/>
      <c r="B2770" s="3"/>
      <c r="C2770" s="3"/>
      <c r="D2770" s="3"/>
      <c r="E2770" s="3">
        <v>7</v>
      </c>
      <c r="F2770" s="4" t="str">
        <f>HYPERLINK("http://141.218.60.56/~jnz1568/getInfo.php?workbook=18_15.xlsx&amp;sheet=U0&amp;row=2770&amp;col=6&amp;number=3.6&amp;sourceID=14","3.6")</f>
        <v>3.6</v>
      </c>
      <c r="G2770" s="4" t="str">
        <f>HYPERLINK("http://141.218.60.56/~jnz1568/getInfo.php?workbook=18_15.xlsx&amp;sheet=U0&amp;row=2770&amp;col=7&amp;number=1.31&amp;sourceID=14","1.31")</f>
        <v>1.31</v>
      </c>
    </row>
    <row r="2771" spans="1:7">
      <c r="A2771" s="3"/>
      <c r="B2771" s="3"/>
      <c r="C2771" s="3"/>
      <c r="D2771" s="3"/>
      <c r="E2771" s="3">
        <v>8</v>
      </c>
      <c r="F2771" s="4" t="str">
        <f>HYPERLINK("http://141.218.60.56/~jnz1568/getInfo.php?workbook=18_15.xlsx&amp;sheet=U0&amp;row=2771&amp;col=6&amp;number=3.7&amp;sourceID=14","3.7")</f>
        <v>3.7</v>
      </c>
      <c r="G2771" s="4" t="str">
        <f>HYPERLINK("http://141.218.60.56/~jnz1568/getInfo.php?workbook=18_15.xlsx&amp;sheet=U0&amp;row=2771&amp;col=7&amp;number=1.3&amp;sourceID=14","1.3")</f>
        <v>1.3</v>
      </c>
    </row>
    <row r="2772" spans="1:7">
      <c r="A2772" s="3"/>
      <c r="B2772" s="3"/>
      <c r="C2772" s="3"/>
      <c r="D2772" s="3"/>
      <c r="E2772" s="3">
        <v>9</v>
      </c>
      <c r="F2772" s="4" t="str">
        <f>HYPERLINK("http://141.218.60.56/~jnz1568/getInfo.php?workbook=18_15.xlsx&amp;sheet=U0&amp;row=2772&amp;col=6&amp;number=3.8&amp;sourceID=14","3.8")</f>
        <v>3.8</v>
      </c>
      <c r="G2772" s="4" t="str">
        <f>HYPERLINK("http://141.218.60.56/~jnz1568/getInfo.php?workbook=18_15.xlsx&amp;sheet=U0&amp;row=2772&amp;col=7&amp;number=1.29&amp;sourceID=14","1.29")</f>
        <v>1.29</v>
      </c>
    </row>
    <row r="2773" spans="1:7">
      <c r="A2773" s="3"/>
      <c r="B2773" s="3"/>
      <c r="C2773" s="3"/>
      <c r="D2773" s="3"/>
      <c r="E2773" s="3">
        <v>10</v>
      </c>
      <c r="F2773" s="4" t="str">
        <f>HYPERLINK("http://141.218.60.56/~jnz1568/getInfo.php?workbook=18_15.xlsx&amp;sheet=U0&amp;row=2773&amp;col=6&amp;number=3.9&amp;sourceID=14","3.9")</f>
        <v>3.9</v>
      </c>
      <c r="G2773" s="4" t="str">
        <f>HYPERLINK("http://141.218.60.56/~jnz1568/getInfo.php?workbook=18_15.xlsx&amp;sheet=U0&amp;row=2773&amp;col=7&amp;number=1.29&amp;sourceID=14","1.29")</f>
        <v>1.29</v>
      </c>
    </row>
    <row r="2774" spans="1:7">
      <c r="A2774" s="3"/>
      <c r="B2774" s="3"/>
      <c r="C2774" s="3"/>
      <c r="D2774" s="3"/>
      <c r="E2774" s="3">
        <v>11</v>
      </c>
      <c r="F2774" s="4" t="str">
        <f>HYPERLINK("http://141.218.60.56/~jnz1568/getInfo.php?workbook=18_15.xlsx&amp;sheet=U0&amp;row=2774&amp;col=6&amp;number=4&amp;sourceID=14","4")</f>
        <v>4</v>
      </c>
      <c r="G2774" s="4" t="str">
        <f>HYPERLINK("http://141.218.60.56/~jnz1568/getInfo.php?workbook=18_15.xlsx&amp;sheet=U0&amp;row=2774&amp;col=7&amp;number=1.28&amp;sourceID=14","1.28")</f>
        <v>1.28</v>
      </c>
    </row>
    <row r="2775" spans="1:7">
      <c r="A2775" s="3"/>
      <c r="B2775" s="3"/>
      <c r="C2775" s="3"/>
      <c r="D2775" s="3"/>
      <c r="E2775" s="3">
        <v>12</v>
      </c>
      <c r="F2775" s="4" t="str">
        <f>HYPERLINK("http://141.218.60.56/~jnz1568/getInfo.php?workbook=18_15.xlsx&amp;sheet=U0&amp;row=2775&amp;col=6&amp;number=4.1&amp;sourceID=14","4.1")</f>
        <v>4.1</v>
      </c>
      <c r="G2775" s="4" t="str">
        <f>HYPERLINK("http://141.218.60.56/~jnz1568/getInfo.php?workbook=18_15.xlsx&amp;sheet=U0&amp;row=2775&amp;col=7&amp;number=1.28&amp;sourceID=14","1.28")</f>
        <v>1.28</v>
      </c>
    </row>
    <row r="2776" spans="1:7">
      <c r="A2776" s="3"/>
      <c r="B2776" s="3"/>
      <c r="C2776" s="3"/>
      <c r="D2776" s="3"/>
      <c r="E2776" s="3">
        <v>13</v>
      </c>
      <c r="F2776" s="4" t="str">
        <f>HYPERLINK("http://141.218.60.56/~jnz1568/getInfo.php?workbook=18_15.xlsx&amp;sheet=U0&amp;row=2776&amp;col=6&amp;number=4.2&amp;sourceID=14","4.2")</f>
        <v>4.2</v>
      </c>
      <c r="G2776" s="4" t="str">
        <f>HYPERLINK("http://141.218.60.56/~jnz1568/getInfo.php?workbook=18_15.xlsx&amp;sheet=U0&amp;row=2776&amp;col=7&amp;number=1.27&amp;sourceID=14","1.27")</f>
        <v>1.27</v>
      </c>
    </row>
    <row r="2777" spans="1:7">
      <c r="A2777" s="3"/>
      <c r="B2777" s="3"/>
      <c r="C2777" s="3"/>
      <c r="D2777" s="3"/>
      <c r="E2777" s="3">
        <v>14</v>
      </c>
      <c r="F2777" s="4" t="str">
        <f>HYPERLINK("http://141.218.60.56/~jnz1568/getInfo.php?workbook=18_15.xlsx&amp;sheet=U0&amp;row=2777&amp;col=6&amp;number=4.3&amp;sourceID=14","4.3")</f>
        <v>4.3</v>
      </c>
      <c r="G2777" s="4" t="str">
        <f>HYPERLINK("http://141.218.60.56/~jnz1568/getInfo.php?workbook=18_15.xlsx&amp;sheet=U0&amp;row=2777&amp;col=7&amp;number=1.26&amp;sourceID=14","1.26")</f>
        <v>1.26</v>
      </c>
    </row>
    <row r="2778" spans="1:7">
      <c r="A2778" s="3"/>
      <c r="B2778" s="3"/>
      <c r="C2778" s="3"/>
      <c r="D2778" s="3"/>
      <c r="E2778" s="3">
        <v>15</v>
      </c>
      <c r="F2778" s="4" t="str">
        <f>HYPERLINK("http://141.218.60.56/~jnz1568/getInfo.php?workbook=18_15.xlsx&amp;sheet=U0&amp;row=2778&amp;col=6&amp;number=4.4&amp;sourceID=14","4.4")</f>
        <v>4.4</v>
      </c>
      <c r="G2778" s="4" t="str">
        <f>HYPERLINK("http://141.218.60.56/~jnz1568/getInfo.php?workbook=18_15.xlsx&amp;sheet=U0&amp;row=2778&amp;col=7&amp;number=1.26&amp;sourceID=14","1.26")</f>
        <v>1.26</v>
      </c>
    </row>
    <row r="2779" spans="1:7">
      <c r="A2779" s="3"/>
      <c r="B2779" s="3"/>
      <c r="C2779" s="3"/>
      <c r="D2779" s="3"/>
      <c r="E2779" s="3">
        <v>16</v>
      </c>
      <c r="F2779" s="4" t="str">
        <f>HYPERLINK("http://141.218.60.56/~jnz1568/getInfo.php?workbook=18_15.xlsx&amp;sheet=U0&amp;row=2779&amp;col=6&amp;number=4.5&amp;sourceID=14","4.5")</f>
        <v>4.5</v>
      </c>
      <c r="G2779" s="4" t="str">
        <f>HYPERLINK("http://141.218.60.56/~jnz1568/getInfo.php?workbook=18_15.xlsx&amp;sheet=U0&amp;row=2779&amp;col=7&amp;number=1.28&amp;sourceID=14","1.28")</f>
        <v>1.28</v>
      </c>
    </row>
    <row r="2780" spans="1:7">
      <c r="A2780" s="3"/>
      <c r="B2780" s="3"/>
      <c r="C2780" s="3"/>
      <c r="D2780" s="3"/>
      <c r="E2780" s="3">
        <v>17</v>
      </c>
      <c r="F2780" s="4" t="str">
        <f>HYPERLINK("http://141.218.60.56/~jnz1568/getInfo.php?workbook=18_15.xlsx&amp;sheet=U0&amp;row=2780&amp;col=6&amp;number=4.6&amp;sourceID=14","4.6")</f>
        <v>4.6</v>
      </c>
      <c r="G2780" s="4" t="str">
        <f>HYPERLINK("http://141.218.60.56/~jnz1568/getInfo.php?workbook=18_15.xlsx&amp;sheet=U0&amp;row=2780&amp;col=7&amp;number=1.31&amp;sourceID=14","1.31")</f>
        <v>1.31</v>
      </c>
    </row>
    <row r="2781" spans="1:7">
      <c r="A2781" s="3"/>
      <c r="B2781" s="3"/>
      <c r="C2781" s="3"/>
      <c r="D2781" s="3"/>
      <c r="E2781" s="3">
        <v>18</v>
      </c>
      <c r="F2781" s="4" t="str">
        <f>HYPERLINK("http://141.218.60.56/~jnz1568/getInfo.php?workbook=18_15.xlsx&amp;sheet=U0&amp;row=2781&amp;col=6&amp;number=4.7&amp;sourceID=14","4.7")</f>
        <v>4.7</v>
      </c>
      <c r="G2781" s="4" t="str">
        <f>HYPERLINK("http://141.218.60.56/~jnz1568/getInfo.php?workbook=18_15.xlsx&amp;sheet=U0&amp;row=2781&amp;col=7&amp;number=1.34&amp;sourceID=14","1.34")</f>
        <v>1.34</v>
      </c>
    </row>
    <row r="2782" spans="1:7">
      <c r="A2782" s="3"/>
      <c r="B2782" s="3"/>
      <c r="C2782" s="3"/>
      <c r="D2782" s="3"/>
      <c r="E2782" s="3">
        <v>19</v>
      </c>
      <c r="F2782" s="4" t="str">
        <f>HYPERLINK("http://141.218.60.56/~jnz1568/getInfo.php?workbook=18_15.xlsx&amp;sheet=U0&amp;row=2782&amp;col=6&amp;number=4.8&amp;sourceID=14","4.8")</f>
        <v>4.8</v>
      </c>
      <c r="G2782" s="4" t="str">
        <f>HYPERLINK("http://141.218.60.56/~jnz1568/getInfo.php?workbook=18_15.xlsx&amp;sheet=U0&amp;row=2782&amp;col=7&amp;number=1.36&amp;sourceID=14","1.36")</f>
        <v>1.36</v>
      </c>
    </row>
    <row r="2783" spans="1:7">
      <c r="A2783" s="3"/>
      <c r="B2783" s="3"/>
      <c r="C2783" s="3"/>
      <c r="D2783" s="3"/>
      <c r="E2783" s="3">
        <v>20</v>
      </c>
      <c r="F2783" s="4" t="str">
        <f>HYPERLINK("http://141.218.60.56/~jnz1568/getInfo.php?workbook=18_15.xlsx&amp;sheet=U0&amp;row=2783&amp;col=6&amp;number=4.9&amp;sourceID=14","4.9")</f>
        <v>4.9</v>
      </c>
      <c r="G2783" s="4" t="str">
        <f>HYPERLINK("http://141.218.60.56/~jnz1568/getInfo.php?workbook=18_15.xlsx&amp;sheet=U0&amp;row=2783&amp;col=7&amp;number=1.36&amp;sourceID=14","1.36")</f>
        <v>1.36</v>
      </c>
    </row>
    <row r="2784" spans="1:7">
      <c r="A2784" s="3">
        <v>18</v>
      </c>
      <c r="B2784" s="3">
        <v>15</v>
      </c>
      <c r="C2784" s="3">
        <v>8</v>
      </c>
      <c r="D2784" s="3">
        <v>25</v>
      </c>
      <c r="E2784" s="3">
        <v>1</v>
      </c>
      <c r="F2784" s="4" t="str">
        <f>HYPERLINK("http://141.218.60.56/~jnz1568/getInfo.php?workbook=18_15.xlsx&amp;sheet=U0&amp;row=2784&amp;col=6&amp;number=3&amp;sourceID=14","3")</f>
        <v>3</v>
      </c>
      <c r="G2784" s="4" t="str">
        <f>HYPERLINK("http://141.218.60.56/~jnz1568/getInfo.php?workbook=18_15.xlsx&amp;sheet=U0&amp;row=2784&amp;col=7&amp;number=0.0964&amp;sourceID=14","0.0964")</f>
        <v>0.0964</v>
      </c>
    </row>
    <row r="2785" spans="1:7">
      <c r="A2785" s="3"/>
      <c r="B2785" s="3"/>
      <c r="C2785" s="3"/>
      <c r="D2785" s="3"/>
      <c r="E2785" s="3">
        <v>2</v>
      </c>
      <c r="F2785" s="4" t="str">
        <f>HYPERLINK("http://141.218.60.56/~jnz1568/getInfo.php?workbook=18_15.xlsx&amp;sheet=U0&amp;row=2785&amp;col=6&amp;number=3.1&amp;sourceID=14","3.1")</f>
        <v>3.1</v>
      </c>
      <c r="G2785" s="4" t="str">
        <f>HYPERLINK("http://141.218.60.56/~jnz1568/getInfo.php?workbook=18_15.xlsx&amp;sheet=U0&amp;row=2785&amp;col=7&amp;number=0.0984&amp;sourceID=14","0.0984")</f>
        <v>0.0984</v>
      </c>
    </row>
    <row r="2786" spans="1:7">
      <c r="A2786" s="3"/>
      <c r="B2786" s="3"/>
      <c r="C2786" s="3"/>
      <c r="D2786" s="3"/>
      <c r="E2786" s="3">
        <v>3</v>
      </c>
      <c r="F2786" s="4" t="str">
        <f>HYPERLINK("http://141.218.60.56/~jnz1568/getInfo.php?workbook=18_15.xlsx&amp;sheet=U0&amp;row=2786&amp;col=6&amp;number=3.2&amp;sourceID=14","3.2")</f>
        <v>3.2</v>
      </c>
      <c r="G2786" s="4" t="str">
        <f>HYPERLINK("http://141.218.60.56/~jnz1568/getInfo.php?workbook=18_15.xlsx&amp;sheet=U0&amp;row=2786&amp;col=7&amp;number=0.101&amp;sourceID=14","0.101")</f>
        <v>0.101</v>
      </c>
    </row>
    <row r="2787" spans="1:7">
      <c r="A2787" s="3"/>
      <c r="B2787" s="3"/>
      <c r="C2787" s="3"/>
      <c r="D2787" s="3"/>
      <c r="E2787" s="3">
        <v>4</v>
      </c>
      <c r="F2787" s="4" t="str">
        <f>HYPERLINK("http://141.218.60.56/~jnz1568/getInfo.php?workbook=18_15.xlsx&amp;sheet=U0&amp;row=2787&amp;col=6&amp;number=3.3&amp;sourceID=14","3.3")</f>
        <v>3.3</v>
      </c>
      <c r="G2787" s="4" t="str">
        <f>HYPERLINK("http://141.218.60.56/~jnz1568/getInfo.php?workbook=18_15.xlsx&amp;sheet=U0&amp;row=2787&amp;col=7&amp;number=0.104&amp;sourceID=14","0.104")</f>
        <v>0.104</v>
      </c>
    </row>
    <row r="2788" spans="1:7">
      <c r="A2788" s="3"/>
      <c r="B2788" s="3"/>
      <c r="C2788" s="3"/>
      <c r="D2788" s="3"/>
      <c r="E2788" s="3">
        <v>5</v>
      </c>
      <c r="F2788" s="4" t="str">
        <f>HYPERLINK("http://141.218.60.56/~jnz1568/getInfo.php?workbook=18_15.xlsx&amp;sheet=U0&amp;row=2788&amp;col=6&amp;number=3.4&amp;sourceID=14","3.4")</f>
        <v>3.4</v>
      </c>
      <c r="G2788" s="4" t="str">
        <f>HYPERLINK("http://141.218.60.56/~jnz1568/getInfo.php?workbook=18_15.xlsx&amp;sheet=U0&amp;row=2788&amp;col=7&amp;number=0.108&amp;sourceID=14","0.108")</f>
        <v>0.108</v>
      </c>
    </row>
    <row r="2789" spans="1:7">
      <c r="A2789" s="3"/>
      <c r="B2789" s="3"/>
      <c r="C2789" s="3"/>
      <c r="D2789" s="3"/>
      <c r="E2789" s="3">
        <v>6</v>
      </c>
      <c r="F2789" s="4" t="str">
        <f>HYPERLINK("http://141.218.60.56/~jnz1568/getInfo.php?workbook=18_15.xlsx&amp;sheet=U0&amp;row=2789&amp;col=6&amp;number=3.5&amp;sourceID=14","3.5")</f>
        <v>3.5</v>
      </c>
      <c r="G2789" s="4" t="str">
        <f>HYPERLINK("http://141.218.60.56/~jnz1568/getInfo.php?workbook=18_15.xlsx&amp;sheet=U0&amp;row=2789&amp;col=7&amp;number=0.114&amp;sourceID=14","0.114")</f>
        <v>0.114</v>
      </c>
    </row>
    <row r="2790" spans="1:7">
      <c r="A2790" s="3"/>
      <c r="B2790" s="3"/>
      <c r="C2790" s="3"/>
      <c r="D2790" s="3"/>
      <c r="E2790" s="3">
        <v>7</v>
      </c>
      <c r="F2790" s="4" t="str">
        <f>HYPERLINK("http://141.218.60.56/~jnz1568/getInfo.php?workbook=18_15.xlsx&amp;sheet=U0&amp;row=2790&amp;col=6&amp;number=3.6&amp;sourceID=14","3.6")</f>
        <v>3.6</v>
      </c>
      <c r="G2790" s="4" t="str">
        <f>HYPERLINK("http://141.218.60.56/~jnz1568/getInfo.php?workbook=18_15.xlsx&amp;sheet=U0&amp;row=2790&amp;col=7&amp;number=0.121&amp;sourceID=14","0.121")</f>
        <v>0.121</v>
      </c>
    </row>
    <row r="2791" spans="1:7">
      <c r="A2791" s="3"/>
      <c r="B2791" s="3"/>
      <c r="C2791" s="3"/>
      <c r="D2791" s="3"/>
      <c r="E2791" s="3">
        <v>8</v>
      </c>
      <c r="F2791" s="4" t="str">
        <f>HYPERLINK("http://141.218.60.56/~jnz1568/getInfo.php?workbook=18_15.xlsx&amp;sheet=U0&amp;row=2791&amp;col=6&amp;number=3.7&amp;sourceID=14","3.7")</f>
        <v>3.7</v>
      </c>
      <c r="G2791" s="4" t="str">
        <f>HYPERLINK("http://141.218.60.56/~jnz1568/getInfo.php?workbook=18_15.xlsx&amp;sheet=U0&amp;row=2791&amp;col=7&amp;number=0.13&amp;sourceID=14","0.13")</f>
        <v>0.13</v>
      </c>
    </row>
    <row r="2792" spans="1:7">
      <c r="A2792" s="3"/>
      <c r="B2792" s="3"/>
      <c r="C2792" s="3"/>
      <c r="D2792" s="3"/>
      <c r="E2792" s="3">
        <v>9</v>
      </c>
      <c r="F2792" s="4" t="str">
        <f>HYPERLINK("http://141.218.60.56/~jnz1568/getInfo.php?workbook=18_15.xlsx&amp;sheet=U0&amp;row=2792&amp;col=6&amp;number=3.8&amp;sourceID=14","3.8")</f>
        <v>3.8</v>
      </c>
      <c r="G2792" s="4" t="str">
        <f>HYPERLINK("http://141.218.60.56/~jnz1568/getInfo.php?workbook=18_15.xlsx&amp;sheet=U0&amp;row=2792&amp;col=7&amp;number=0.142&amp;sourceID=14","0.142")</f>
        <v>0.142</v>
      </c>
    </row>
    <row r="2793" spans="1:7">
      <c r="A2793" s="3"/>
      <c r="B2793" s="3"/>
      <c r="C2793" s="3"/>
      <c r="D2793" s="3"/>
      <c r="E2793" s="3">
        <v>10</v>
      </c>
      <c r="F2793" s="4" t="str">
        <f>HYPERLINK("http://141.218.60.56/~jnz1568/getInfo.php?workbook=18_15.xlsx&amp;sheet=U0&amp;row=2793&amp;col=6&amp;number=3.9&amp;sourceID=14","3.9")</f>
        <v>3.9</v>
      </c>
      <c r="G2793" s="4" t="str">
        <f>HYPERLINK("http://141.218.60.56/~jnz1568/getInfo.php?workbook=18_15.xlsx&amp;sheet=U0&amp;row=2793&amp;col=7&amp;number=0.157&amp;sourceID=14","0.157")</f>
        <v>0.157</v>
      </c>
    </row>
    <row r="2794" spans="1:7">
      <c r="A2794" s="3"/>
      <c r="B2794" s="3"/>
      <c r="C2794" s="3"/>
      <c r="D2794" s="3"/>
      <c r="E2794" s="3">
        <v>11</v>
      </c>
      <c r="F2794" s="4" t="str">
        <f>HYPERLINK("http://141.218.60.56/~jnz1568/getInfo.php?workbook=18_15.xlsx&amp;sheet=U0&amp;row=2794&amp;col=6&amp;number=4&amp;sourceID=14","4")</f>
        <v>4</v>
      </c>
      <c r="G2794" s="4" t="str">
        <f>HYPERLINK("http://141.218.60.56/~jnz1568/getInfo.php?workbook=18_15.xlsx&amp;sheet=U0&amp;row=2794&amp;col=7&amp;number=0.176&amp;sourceID=14","0.176")</f>
        <v>0.176</v>
      </c>
    </row>
    <row r="2795" spans="1:7">
      <c r="A2795" s="3"/>
      <c r="B2795" s="3"/>
      <c r="C2795" s="3"/>
      <c r="D2795" s="3"/>
      <c r="E2795" s="3">
        <v>12</v>
      </c>
      <c r="F2795" s="4" t="str">
        <f>HYPERLINK("http://141.218.60.56/~jnz1568/getInfo.php?workbook=18_15.xlsx&amp;sheet=U0&amp;row=2795&amp;col=6&amp;number=4.1&amp;sourceID=14","4.1")</f>
        <v>4.1</v>
      </c>
      <c r="G2795" s="4" t="str">
        <f>HYPERLINK("http://141.218.60.56/~jnz1568/getInfo.php?workbook=18_15.xlsx&amp;sheet=U0&amp;row=2795&amp;col=7&amp;number=0.195&amp;sourceID=14","0.195")</f>
        <v>0.195</v>
      </c>
    </row>
    <row r="2796" spans="1:7">
      <c r="A2796" s="3"/>
      <c r="B2796" s="3"/>
      <c r="C2796" s="3"/>
      <c r="D2796" s="3"/>
      <c r="E2796" s="3">
        <v>13</v>
      </c>
      <c r="F2796" s="4" t="str">
        <f>HYPERLINK("http://141.218.60.56/~jnz1568/getInfo.php?workbook=18_15.xlsx&amp;sheet=U0&amp;row=2796&amp;col=6&amp;number=4.2&amp;sourceID=14","4.2")</f>
        <v>4.2</v>
      </c>
      <c r="G2796" s="4" t="str">
        <f>HYPERLINK("http://141.218.60.56/~jnz1568/getInfo.php?workbook=18_15.xlsx&amp;sheet=U0&amp;row=2796&amp;col=7&amp;number=0.209&amp;sourceID=14","0.209")</f>
        <v>0.209</v>
      </c>
    </row>
    <row r="2797" spans="1:7">
      <c r="A2797" s="3"/>
      <c r="B2797" s="3"/>
      <c r="C2797" s="3"/>
      <c r="D2797" s="3"/>
      <c r="E2797" s="3">
        <v>14</v>
      </c>
      <c r="F2797" s="4" t="str">
        <f>HYPERLINK("http://141.218.60.56/~jnz1568/getInfo.php?workbook=18_15.xlsx&amp;sheet=U0&amp;row=2797&amp;col=6&amp;number=4.3&amp;sourceID=14","4.3")</f>
        <v>4.3</v>
      </c>
      <c r="G2797" s="4" t="str">
        <f>HYPERLINK("http://141.218.60.56/~jnz1568/getInfo.php?workbook=18_15.xlsx&amp;sheet=U0&amp;row=2797&amp;col=7&amp;number=0.216&amp;sourceID=14","0.216")</f>
        <v>0.216</v>
      </c>
    </row>
    <row r="2798" spans="1:7">
      <c r="A2798" s="3"/>
      <c r="B2798" s="3"/>
      <c r="C2798" s="3"/>
      <c r="D2798" s="3"/>
      <c r="E2798" s="3">
        <v>15</v>
      </c>
      <c r="F2798" s="4" t="str">
        <f>HYPERLINK("http://141.218.60.56/~jnz1568/getInfo.php?workbook=18_15.xlsx&amp;sheet=U0&amp;row=2798&amp;col=6&amp;number=4.4&amp;sourceID=14","4.4")</f>
        <v>4.4</v>
      </c>
      <c r="G2798" s="4" t="str">
        <f>HYPERLINK("http://141.218.60.56/~jnz1568/getInfo.php?workbook=18_15.xlsx&amp;sheet=U0&amp;row=2798&amp;col=7&amp;number=0.219&amp;sourceID=14","0.219")</f>
        <v>0.219</v>
      </c>
    </row>
    <row r="2799" spans="1:7">
      <c r="A2799" s="3"/>
      <c r="B2799" s="3"/>
      <c r="C2799" s="3"/>
      <c r="D2799" s="3"/>
      <c r="E2799" s="3">
        <v>16</v>
      </c>
      <c r="F2799" s="4" t="str">
        <f>HYPERLINK("http://141.218.60.56/~jnz1568/getInfo.php?workbook=18_15.xlsx&amp;sheet=U0&amp;row=2799&amp;col=6&amp;number=4.5&amp;sourceID=14","4.5")</f>
        <v>4.5</v>
      </c>
      <c r="G2799" s="4" t="str">
        <f>HYPERLINK("http://141.218.60.56/~jnz1568/getInfo.php?workbook=18_15.xlsx&amp;sheet=U0&amp;row=2799&amp;col=7&amp;number=0.224&amp;sourceID=14","0.224")</f>
        <v>0.224</v>
      </c>
    </row>
    <row r="2800" spans="1:7">
      <c r="A2800" s="3"/>
      <c r="B2800" s="3"/>
      <c r="C2800" s="3"/>
      <c r="D2800" s="3"/>
      <c r="E2800" s="3">
        <v>17</v>
      </c>
      <c r="F2800" s="4" t="str">
        <f>HYPERLINK("http://141.218.60.56/~jnz1568/getInfo.php?workbook=18_15.xlsx&amp;sheet=U0&amp;row=2800&amp;col=6&amp;number=4.6&amp;sourceID=14","4.6")</f>
        <v>4.6</v>
      </c>
      <c r="G2800" s="4" t="str">
        <f>HYPERLINK("http://141.218.60.56/~jnz1568/getInfo.php?workbook=18_15.xlsx&amp;sheet=U0&amp;row=2800&amp;col=7&amp;number=0.229&amp;sourceID=14","0.229")</f>
        <v>0.229</v>
      </c>
    </row>
    <row r="2801" spans="1:7">
      <c r="A2801" s="3"/>
      <c r="B2801" s="3"/>
      <c r="C2801" s="3"/>
      <c r="D2801" s="3"/>
      <c r="E2801" s="3">
        <v>18</v>
      </c>
      <c r="F2801" s="4" t="str">
        <f>HYPERLINK("http://141.218.60.56/~jnz1568/getInfo.php?workbook=18_15.xlsx&amp;sheet=U0&amp;row=2801&amp;col=6&amp;number=4.7&amp;sourceID=14","4.7")</f>
        <v>4.7</v>
      </c>
      <c r="G2801" s="4" t="str">
        <f>HYPERLINK("http://141.218.60.56/~jnz1568/getInfo.php?workbook=18_15.xlsx&amp;sheet=U0&amp;row=2801&amp;col=7&amp;number=0.234&amp;sourceID=14","0.234")</f>
        <v>0.234</v>
      </c>
    </row>
    <row r="2802" spans="1:7">
      <c r="A2802" s="3"/>
      <c r="B2802" s="3"/>
      <c r="C2802" s="3"/>
      <c r="D2802" s="3"/>
      <c r="E2802" s="3">
        <v>19</v>
      </c>
      <c r="F2802" s="4" t="str">
        <f>HYPERLINK("http://141.218.60.56/~jnz1568/getInfo.php?workbook=18_15.xlsx&amp;sheet=U0&amp;row=2802&amp;col=6&amp;number=4.8&amp;sourceID=14","4.8")</f>
        <v>4.8</v>
      </c>
      <c r="G2802" s="4" t="str">
        <f>HYPERLINK("http://141.218.60.56/~jnz1568/getInfo.php?workbook=18_15.xlsx&amp;sheet=U0&amp;row=2802&amp;col=7&amp;number=0.237&amp;sourceID=14","0.237")</f>
        <v>0.237</v>
      </c>
    </row>
    <row r="2803" spans="1:7">
      <c r="A2803" s="3"/>
      <c r="B2803" s="3"/>
      <c r="C2803" s="3"/>
      <c r="D2803" s="3"/>
      <c r="E2803" s="3">
        <v>20</v>
      </c>
      <c r="F2803" s="4" t="str">
        <f>HYPERLINK("http://141.218.60.56/~jnz1568/getInfo.php?workbook=18_15.xlsx&amp;sheet=U0&amp;row=2803&amp;col=6&amp;number=4.9&amp;sourceID=14","4.9")</f>
        <v>4.9</v>
      </c>
      <c r="G2803" s="4" t="str">
        <f>HYPERLINK("http://141.218.60.56/~jnz1568/getInfo.php?workbook=18_15.xlsx&amp;sheet=U0&amp;row=2803&amp;col=7&amp;number=0.238&amp;sourceID=14","0.238")</f>
        <v>0.238</v>
      </c>
    </row>
    <row r="2804" spans="1:7">
      <c r="A2804" s="3">
        <v>18</v>
      </c>
      <c r="B2804" s="3">
        <v>15</v>
      </c>
      <c r="C2804" s="3">
        <v>9</v>
      </c>
      <c r="D2804" s="3">
        <v>17</v>
      </c>
      <c r="E2804" s="3">
        <v>1</v>
      </c>
      <c r="F2804" s="4" t="str">
        <f>HYPERLINK("http://141.218.60.56/~jnz1568/getInfo.php?workbook=18_15.xlsx&amp;sheet=U0&amp;row=2804&amp;col=6&amp;number=3&amp;sourceID=14","3")</f>
        <v>3</v>
      </c>
      <c r="G2804" s="4" t="str">
        <f>HYPERLINK("http://141.218.60.56/~jnz1568/getInfo.php?workbook=18_15.xlsx&amp;sheet=U0&amp;row=2804&amp;col=7&amp;number=0.272&amp;sourceID=14","0.272")</f>
        <v>0.272</v>
      </c>
    </row>
    <row r="2805" spans="1:7">
      <c r="A2805" s="3"/>
      <c r="B2805" s="3"/>
      <c r="C2805" s="3"/>
      <c r="D2805" s="3"/>
      <c r="E2805" s="3">
        <v>2</v>
      </c>
      <c r="F2805" s="4" t="str">
        <f>HYPERLINK("http://141.218.60.56/~jnz1568/getInfo.php?workbook=18_15.xlsx&amp;sheet=U0&amp;row=2805&amp;col=6&amp;number=3.1&amp;sourceID=14","3.1")</f>
        <v>3.1</v>
      </c>
      <c r="G2805" s="4" t="str">
        <f>HYPERLINK("http://141.218.60.56/~jnz1568/getInfo.php?workbook=18_15.xlsx&amp;sheet=U0&amp;row=2805&amp;col=7&amp;number=0.268&amp;sourceID=14","0.268")</f>
        <v>0.268</v>
      </c>
    </row>
    <row r="2806" spans="1:7">
      <c r="A2806" s="3"/>
      <c r="B2806" s="3"/>
      <c r="C2806" s="3"/>
      <c r="D2806" s="3"/>
      <c r="E2806" s="3">
        <v>3</v>
      </c>
      <c r="F2806" s="4" t="str">
        <f>HYPERLINK("http://141.218.60.56/~jnz1568/getInfo.php?workbook=18_15.xlsx&amp;sheet=U0&amp;row=2806&amp;col=6&amp;number=3.2&amp;sourceID=14","3.2")</f>
        <v>3.2</v>
      </c>
      <c r="G2806" s="4" t="str">
        <f>HYPERLINK("http://141.218.60.56/~jnz1568/getInfo.php?workbook=18_15.xlsx&amp;sheet=U0&amp;row=2806&amp;col=7&amp;number=0.264&amp;sourceID=14","0.264")</f>
        <v>0.264</v>
      </c>
    </row>
    <row r="2807" spans="1:7">
      <c r="A2807" s="3"/>
      <c r="B2807" s="3"/>
      <c r="C2807" s="3"/>
      <c r="D2807" s="3"/>
      <c r="E2807" s="3">
        <v>4</v>
      </c>
      <c r="F2807" s="4" t="str">
        <f>HYPERLINK("http://141.218.60.56/~jnz1568/getInfo.php?workbook=18_15.xlsx&amp;sheet=U0&amp;row=2807&amp;col=6&amp;number=3.3&amp;sourceID=14","3.3")</f>
        <v>3.3</v>
      </c>
      <c r="G2807" s="4" t="str">
        <f>HYPERLINK("http://141.218.60.56/~jnz1568/getInfo.php?workbook=18_15.xlsx&amp;sheet=U0&amp;row=2807&amp;col=7&amp;number=0.259&amp;sourceID=14","0.259")</f>
        <v>0.259</v>
      </c>
    </row>
    <row r="2808" spans="1:7">
      <c r="A2808" s="3"/>
      <c r="B2808" s="3"/>
      <c r="C2808" s="3"/>
      <c r="D2808" s="3"/>
      <c r="E2808" s="3">
        <v>5</v>
      </c>
      <c r="F2808" s="4" t="str">
        <f>HYPERLINK("http://141.218.60.56/~jnz1568/getInfo.php?workbook=18_15.xlsx&amp;sheet=U0&amp;row=2808&amp;col=6&amp;number=3.4&amp;sourceID=14","3.4")</f>
        <v>3.4</v>
      </c>
      <c r="G2808" s="4" t="str">
        <f>HYPERLINK("http://141.218.60.56/~jnz1568/getInfo.php?workbook=18_15.xlsx&amp;sheet=U0&amp;row=2808&amp;col=7&amp;number=0.253&amp;sourceID=14","0.253")</f>
        <v>0.253</v>
      </c>
    </row>
    <row r="2809" spans="1:7">
      <c r="A2809" s="3"/>
      <c r="B2809" s="3"/>
      <c r="C2809" s="3"/>
      <c r="D2809" s="3"/>
      <c r="E2809" s="3">
        <v>6</v>
      </c>
      <c r="F2809" s="4" t="str">
        <f>HYPERLINK("http://141.218.60.56/~jnz1568/getInfo.php?workbook=18_15.xlsx&amp;sheet=U0&amp;row=2809&amp;col=6&amp;number=3.5&amp;sourceID=14","3.5")</f>
        <v>3.5</v>
      </c>
      <c r="G2809" s="4" t="str">
        <f>HYPERLINK("http://141.218.60.56/~jnz1568/getInfo.php?workbook=18_15.xlsx&amp;sheet=U0&amp;row=2809&amp;col=7&amp;number=0.245&amp;sourceID=14","0.245")</f>
        <v>0.245</v>
      </c>
    </row>
    <row r="2810" spans="1:7">
      <c r="A2810" s="3"/>
      <c r="B2810" s="3"/>
      <c r="C2810" s="3"/>
      <c r="D2810" s="3"/>
      <c r="E2810" s="3">
        <v>7</v>
      </c>
      <c r="F2810" s="4" t="str">
        <f>HYPERLINK("http://141.218.60.56/~jnz1568/getInfo.php?workbook=18_15.xlsx&amp;sheet=U0&amp;row=2810&amp;col=6&amp;number=3.6&amp;sourceID=14","3.6")</f>
        <v>3.6</v>
      </c>
      <c r="G2810" s="4" t="str">
        <f>HYPERLINK("http://141.218.60.56/~jnz1568/getInfo.php?workbook=18_15.xlsx&amp;sheet=U0&amp;row=2810&amp;col=7&amp;number=0.236&amp;sourceID=14","0.236")</f>
        <v>0.236</v>
      </c>
    </row>
    <row r="2811" spans="1:7">
      <c r="A2811" s="3"/>
      <c r="B2811" s="3"/>
      <c r="C2811" s="3"/>
      <c r="D2811" s="3"/>
      <c r="E2811" s="3">
        <v>8</v>
      </c>
      <c r="F2811" s="4" t="str">
        <f>HYPERLINK("http://141.218.60.56/~jnz1568/getInfo.php?workbook=18_15.xlsx&amp;sheet=U0&amp;row=2811&amp;col=6&amp;number=3.7&amp;sourceID=14","3.7")</f>
        <v>3.7</v>
      </c>
      <c r="G2811" s="4" t="str">
        <f>HYPERLINK("http://141.218.60.56/~jnz1568/getInfo.php?workbook=18_15.xlsx&amp;sheet=U0&amp;row=2811&amp;col=7&amp;number=0.226&amp;sourceID=14","0.226")</f>
        <v>0.226</v>
      </c>
    </row>
    <row r="2812" spans="1:7">
      <c r="A2812" s="3"/>
      <c r="B2812" s="3"/>
      <c r="C2812" s="3"/>
      <c r="D2812" s="3"/>
      <c r="E2812" s="3">
        <v>9</v>
      </c>
      <c r="F2812" s="4" t="str">
        <f>HYPERLINK("http://141.218.60.56/~jnz1568/getInfo.php?workbook=18_15.xlsx&amp;sheet=U0&amp;row=2812&amp;col=6&amp;number=3.8&amp;sourceID=14","3.8")</f>
        <v>3.8</v>
      </c>
      <c r="G2812" s="4" t="str">
        <f>HYPERLINK("http://141.218.60.56/~jnz1568/getInfo.php?workbook=18_15.xlsx&amp;sheet=U0&amp;row=2812&amp;col=7&amp;number=0.215&amp;sourceID=14","0.215")</f>
        <v>0.215</v>
      </c>
    </row>
    <row r="2813" spans="1:7">
      <c r="A2813" s="3"/>
      <c r="B2813" s="3"/>
      <c r="C2813" s="3"/>
      <c r="D2813" s="3"/>
      <c r="E2813" s="3">
        <v>10</v>
      </c>
      <c r="F2813" s="4" t="str">
        <f>HYPERLINK("http://141.218.60.56/~jnz1568/getInfo.php?workbook=18_15.xlsx&amp;sheet=U0&amp;row=2813&amp;col=6&amp;number=3.9&amp;sourceID=14","3.9")</f>
        <v>3.9</v>
      </c>
      <c r="G2813" s="4" t="str">
        <f>HYPERLINK("http://141.218.60.56/~jnz1568/getInfo.php?workbook=18_15.xlsx&amp;sheet=U0&amp;row=2813&amp;col=7&amp;number=0.204&amp;sourceID=14","0.204")</f>
        <v>0.204</v>
      </c>
    </row>
    <row r="2814" spans="1:7">
      <c r="A2814" s="3"/>
      <c r="B2814" s="3"/>
      <c r="C2814" s="3"/>
      <c r="D2814" s="3"/>
      <c r="E2814" s="3">
        <v>11</v>
      </c>
      <c r="F2814" s="4" t="str">
        <f>HYPERLINK("http://141.218.60.56/~jnz1568/getInfo.php?workbook=18_15.xlsx&amp;sheet=U0&amp;row=2814&amp;col=6&amp;number=4&amp;sourceID=14","4")</f>
        <v>4</v>
      </c>
      <c r="G2814" s="4" t="str">
        <f>HYPERLINK("http://141.218.60.56/~jnz1568/getInfo.php?workbook=18_15.xlsx&amp;sheet=U0&amp;row=2814&amp;col=7&amp;number=0.194&amp;sourceID=14","0.194")</f>
        <v>0.194</v>
      </c>
    </row>
    <row r="2815" spans="1:7">
      <c r="A2815" s="3"/>
      <c r="B2815" s="3"/>
      <c r="C2815" s="3"/>
      <c r="D2815" s="3"/>
      <c r="E2815" s="3">
        <v>12</v>
      </c>
      <c r="F2815" s="4" t="str">
        <f>HYPERLINK("http://141.218.60.56/~jnz1568/getInfo.php?workbook=18_15.xlsx&amp;sheet=U0&amp;row=2815&amp;col=6&amp;number=4.1&amp;sourceID=14","4.1")</f>
        <v>4.1</v>
      </c>
      <c r="G2815" s="4" t="str">
        <f>HYPERLINK("http://141.218.60.56/~jnz1568/getInfo.php?workbook=18_15.xlsx&amp;sheet=U0&amp;row=2815&amp;col=7&amp;number=0.185&amp;sourceID=14","0.185")</f>
        <v>0.185</v>
      </c>
    </row>
    <row r="2816" spans="1:7">
      <c r="A2816" s="3"/>
      <c r="B2816" s="3"/>
      <c r="C2816" s="3"/>
      <c r="D2816" s="3"/>
      <c r="E2816" s="3">
        <v>13</v>
      </c>
      <c r="F2816" s="4" t="str">
        <f>HYPERLINK("http://141.218.60.56/~jnz1568/getInfo.php?workbook=18_15.xlsx&amp;sheet=U0&amp;row=2816&amp;col=6&amp;number=4.2&amp;sourceID=14","4.2")</f>
        <v>4.2</v>
      </c>
      <c r="G2816" s="4" t="str">
        <f>HYPERLINK("http://141.218.60.56/~jnz1568/getInfo.php?workbook=18_15.xlsx&amp;sheet=U0&amp;row=2816&amp;col=7&amp;number=0.178&amp;sourceID=14","0.178")</f>
        <v>0.178</v>
      </c>
    </row>
    <row r="2817" spans="1:7">
      <c r="A2817" s="3"/>
      <c r="B2817" s="3"/>
      <c r="C2817" s="3"/>
      <c r="D2817" s="3"/>
      <c r="E2817" s="3">
        <v>14</v>
      </c>
      <c r="F2817" s="4" t="str">
        <f>HYPERLINK("http://141.218.60.56/~jnz1568/getInfo.php?workbook=18_15.xlsx&amp;sheet=U0&amp;row=2817&amp;col=6&amp;number=4.3&amp;sourceID=14","4.3")</f>
        <v>4.3</v>
      </c>
      <c r="G2817" s="4" t="str">
        <f>HYPERLINK("http://141.218.60.56/~jnz1568/getInfo.php?workbook=18_15.xlsx&amp;sheet=U0&amp;row=2817&amp;col=7&amp;number=0.173&amp;sourceID=14","0.173")</f>
        <v>0.173</v>
      </c>
    </row>
    <row r="2818" spans="1:7">
      <c r="A2818" s="3"/>
      <c r="B2818" s="3"/>
      <c r="C2818" s="3"/>
      <c r="D2818" s="3"/>
      <c r="E2818" s="3">
        <v>15</v>
      </c>
      <c r="F2818" s="4" t="str">
        <f>HYPERLINK("http://141.218.60.56/~jnz1568/getInfo.php?workbook=18_15.xlsx&amp;sheet=U0&amp;row=2818&amp;col=6&amp;number=4.4&amp;sourceID=14","4.4")</f>
        <v>4.4</v>
      </c>
      <c r="G2818" s="4" t="str">
        <f>HYPERLINK("http://141.218.60.56/~jnz1568/getInfo.php?workbook=18_15.xlsx&amp;sheet=U0&amp;row=2818&amp;col=7&amp;number=0.171&amp;sourceID=14","0.171")</f>
        <v>0.171</v>
      </c>
    </row>
    <row r="2819" spans="1:7">
      <c r="A2819" s="3"/>
      <c r="B2819" s="3"/>
      <c r="C2819" s="3"/>
      <c r="D2819" s="3"/>
      <c r="E2819" s="3">
        <v>16</v>
      </c>
      <c r="F2819" s="4" t="str">
        <f>HYPERLINK("http://141.218.60.56/~jnz1568/getInfo.php?workbook=18_15.xlsx&amp;sheet=U0&amp;row=2819&amp;col=6&amp;number=4.5&amp;sourceID=14","4.5")</f>
        <v>4.5</v>
      </c>
      <c r="G2819" s="4" t="str">
        <f>HYPERLINK("http://141.218.60.56/~jnz1568/getInfo.php?workbook=18_15.xlsx&amp;sheet=U0&amp;row=2819&amp;col=7&amp;number=0.169&amp;sourceID=14","0.169")</f>
        <v>0.169</v>
      </c>
    </row>
    <row r="2820" spans="1:7">
      <c r="A2820" s="3"/>
      <c r="B2820" s="3"/>
      <c r="C2820" s="3"/>
      <c r="D2820" s="3"/>
      <c r="E2820" s="3">
        <v>17</v>
      </c>
      <c r="F2820" s="4" t="str">
        <f>HYPERLINK("http://141.218.60.56/~jnz1568/getInfo.php?workbook=18_15.xlsx&amp;sheet=U0&amp;row=2820&amp;col=6&amp;number=4.6&amp;sourceID=14","4.6")</f>
        <v>4.6</v>
      </c>
      <c r="G2820" s="4" t="str">
        <f>HYPERLINK("http://141.218.60.56/~jnz1568/getInfo.php?workbook=18_15.xlsx&amp;sheet=U0&amp;row=2820&amp;col=7&amp;number=0.168&amp;sourceID=14","0.168")</f>
        <v>0.168</v>
      </c>
    </row>
    <row r="2821" spans="1:7">
      <c r="A2821" s="3"/>
      <c r="B2821" s="3"/>
      <c r="C2821" s="3"/>
      <c r="D2821" s="3"/>
      <c r="E2821" s="3">
        <v>18</v>
      </c>
      <c r="F2821" s="4" t="str">
        <f>HYPERLINK("http://141.218.60.56/~jnz1568/getInfo.php?workbook=18_15.xlsx&amp;sheet=U0&amp;row=2821&amp;col=6&amp;number=4.7&amp;sourceID=14","4.7")</f>
        <v>4.7</v>
      </c>
      <c r="G2821" s="4" t="str">
        <f>HYPERLINK("http://141.218.60.56/~jnz1568/getInfo.php?workbook=18_15.xlsx&amp;sheet=U0&amp;row=2821&amp;col=7&amp;number=0.168&amp;sourceID=14","0.168")</f>
        <v>0.168</v>
      </c>
    </row>
    <row r="2822" spans="1:7">
      <c r="A2822" s="3"/>
      <c r="B2822" s="3"/>
      <c r="C2822" s="3"/>
      <c r="D2822" s="3"/>
      <c r="E2822" s="3">
        <v>19</v>
      </c>
      <c r="F2822" s="4" t="str">
        <f>HYPERLINK("http://141.218.60.56/~jnz1568/getInfo.php?workbook=18_15.xlsx&amp;sheet=U0&amp;row=2822&amp;col=6&amp;number=4.8&amp;sourceID=14","4.8")</f>
        <v>4.8</v>
      </c>
      <c r="G2822" s="4" t="str">
        <f>HYPERLINK("http://141.218.60.56/~jnz1568/getInfo.php?workbook=18_15.xlsx&amp;sheet=U0&amp;row=2822&amp;col=7&amp;number=0.169&amp;sourceID=14","0.169")</f>
        <v>0.169</v>
      </c>
    </row>
    <row r="2823" spans="1:7">
      <c r="A2823" s="3"/>
      <c r="B2823" s="3"/>
      <c r="C2823" s="3"/>
      <c r="D2823" s="3"/>
      <c r="E2823" s="3">
        <v>20</v>
      </c>
      <c r="F2823" s="4" t="str">
        <f>HYPERLINK("http://141.218.60.56/~jnz1568/getInfo.php?workbook=18_15.xlsx&amp;sheet=U0&amp;row=2823&amp;col=6&amp;number=4.9&amp;sourceID=14","4.9")</f>
        <v>4.9</v>
      </c>
      <c r="G2823" s="4" t="str">
        <f>HYPERLINK("http://141.218.60.56/~jnz1568/getInfo.php?workbook=18_15.xlsx&amp;sheet=U0&amp;row=2823&amp;col=7&amp;number=0.168&amp;sourceID=14","0.168")</f>
        <v>0.168</v>
      </c>
    </row>
    <row r="2824" spans="1:7">
      <c r="A2824" s="3">
        <v>18</v>
      </c>
      <c r="B2824" s="3">
        <v>15</v>
      </c>
      <c r="C2824" s="3">
        <v>9</v>
      </c>
      <c r="D2824" s="3">
        <v>25</v>
      </c>
      <c r="E2824" s="3">
        <v>1</v>
      </c>
      <c r="F2824" s="4" t="str">
        <f>HYPERLINK("http://141.218.60.56/~jnz1568/getInfo.php?workbook=18_15.xlsx&amp;sheet=U0&amp;row=2824&amp;col=6&amp;number=3&amp;sourceID=14","3")</f>
        <v>3</v>
      </c>
      <c r="G2824" s="4" t="str">
        <f>HYPERLINK("http://141.218.60.56/~jnz1568/getInfo.php?workbook=18_15.xlsx&amp;sheet=U0&amp;row=2824&amp;col=7&amp;number=0.444&amp;sourceID=14","0.444")</f>
        <v>0.444</v>
      </c>
    </row>
    <row r="2825" spans="1:7">
      <c r="A2825" s="3"/>
      <c r="B2825" s="3"/>
      <c r="C2825" s="3"/>
      <c r="D2825" s="3"/>
      <c r="E2825" s="3">
        <v>2</v>
      </c>
      <c r="F2825" s="4" t="str">
        <f>HYPERLINK("http://141.218.60.56/~jnz1568/getInfo.php?workbook=18_15.xlsx&amp;sheet=U0&amp;row=2825&amp;col=6&amp;number=3.1&amp;sourceID=14","3.1")</f>
        <v>3.1</v>
      </c>
      <c r="G2825" s="4" t="str">
        <f>HYPERLINK("http://141.218.60.56/~jnz1568/getInfo.php?workbook=18_15.xlsx&amp;sheet=U0&amp;row=2825&amp;col=7&amp;number=0.465&amp;sourceID=14","0.465")</f>
        <v>0.465</v>
      </c>
    </row>
    <row r="2826" spans="1:7">
      <c r="A2826" s="3"/>
      <c r="B2826" s="3"/>
      <c r="C2826" s="3"/>
      <c r="D2826" s="3"/>
      <c r="E2826" s="3">
        <v>3</v>
      </c>
      <c r="F2826" s="4" t="str">
        <f>HYPERLINK("http://141.218.60.56/~jnz1568/getInfo.php?workbook=18_15.xlsx&amp;sheet=U0&amp;row=2826&amp;col=6&amp;number=3.2&amp;sourceID=14","3.2")</f>
        <v>3.2</v>
      </c>
      <c r="G2826" s="4" t="str">
        <f>HYPERLINK("http://141.218.60.56/~jnz1568/getInfo.php?workbook=18_15.xlsx&amp;sheet=U0&amp;row=2826&amp;col=7&amp;number=0.49&amp;sourceID=14","0.49")</f>
        <v>0.49</v>
      </c>
    </row>
    <row r="2827" spans="1:7">
      <c r="A2827" s="3"/>
      <c r="B2827" s="3"/>
      <c r="C2827" s="3"/>
      <c r="D2827" s="3"/>
      <c r="E2827" s="3">
        <v>4</v>
      </c>
      <c r="F2827" s="4" t="str">
        <f>HYPERLINK("http://141.218.60.56/~jnz1568/getInfo.php?workbook=18_15.xlsx&amp;sheet=U0&amp;row=2827&amp;col=6&amp;number=3.3&amp;sourceID=14","3.3")</f>
        <v>3.3</v>
      </c>
      <c r="G2827" s="4" t="str">
        <f>HYPERLINK("http://141.218.60.56/~jnz1568/getInfo.php?workbook=18_15.xlsx&amp;sheet=U0&amp;row=2827&amp;col=7&amp;number=0.522&amp;sourceID=14","0.522")</f>
        <v>0.522</v>
      </c>
    </row>
    <row r="2828" spans="1:7">
      <c r="A2828" s="3"/>
      <c r="B2828" s="3"/>
      <c r="C2828" s="3"/>
      <c r="D2828" s="3"/>
      <c r="E2828" s="3">
        <v>5</v>
      </c>
      <c r="F2828" s="4" t="str">
        <f>HYPERLINK("http://141.218.60.56/~jnz1568/getInfo.php?workbook=18_15.xlsx&amp;sheet=U0&amp;row=2828&amp;col=6&amp;number=3.4&amp;sourceID=14","3.4")</f>
        <v>3.4</v>
      </c>
      <c r="G2828" s="4" t="str">
        <f>HYPERLINK("http://141.218.60.56/~jnz1568/getInfo.php?workbook=18_15.xlsx&amp;sheet=U0&amp;row=2828&amp;col=7&amp;number=0.56&amp;sourceID=14","0.56")</f>
        <v>0.56</v>
      </c>
    </row>
    <row r="2829" spans="1:7">
      <c r="A2829" s="3"/>
      <c r="B2829" s="3"/>
      <c r="C2829" s="3"/>
      <c r="D2829" s="3"/>
      <c r="E2829" s="3">
        <v>6</v>
      </c>
      <c r="F2829" s="4" t="str">
        <f>HYPERLINK("http://141.218.60.56/~jnz1568/getInfo.php?workbook=18_15.xlsx&amp;sheet=U0&amp;row=2829&amp;col=6&amp;number=3.5&amp;sourceID=14","3.5")</f>
        <v>3.5</v>
      </c>
      <c r="G2829" s="4" t="str">
        <f>HYPERLINK("http://141.218.60.56/~jnz1568/getInfo.php?workbook=18_15.xlsx&amp;sheet=U0&amp;row=2829&amp;col=7&amp;number=0.606&amp;sourceID=14","0.606")</f>
        <v>0.606</v>
      </c>
    </row>
    <row r="2830" spans="1:7">
      <c r="A2830" s="3"/>
      <c r="B2830" s="3"/>
      <c r="C2830" s="3"/>
      <c r="D2830" s="3"/>
      <c r="E2830" s="3">
        <v>7</v>
      </c>
      <c r="F2830" s="4" t="str">
        <f>HYPERLINK("http://141.218.60.56/~jnz1568/getInfo.php?workbook=18_15.xlsx&amp;sheet=U0&amp;row=2830&amp;col=6&amp;number=3.6&amp;sourceID=14","3.6")</f>
        <v>3.6</v>
      </c>
      <c r="G2830" s="4" t="str">
        <f>HYPERLINK("http://141.218.60.56/~jnz1568/getInfo.php?workbook=18_15.xlsx&amp;sheet=U0&amp;row=2830&amp;col=7&amp;number=0.66&amp;sourceID=14","0.66")</f>
        <v>0.66</v>
      </c>
    </row>
    <row r="2831" spans="1:7">
      <c r="A2831" s="3"/>
      <c r="B2831" s="3"/>
      <c r="C2831" s="3"/>
      <c r="D2831" s="3"/>
      <c r="E2831" s="3">
        <v>8</v>
      </c>
      <c r="F2831" s="4" t="str">
        <f>HYPERLINK("http://141.218.60.56/~jnz1568/getInfo.php?workbook=18_15.xlsx&amp;sheet=U0&amp;row=2831&amp;col=6&amp;number=3.7&amp;sourceID=14","3.7")</f>
        <v>3.7</v>
      </c>
      <c r="G2831" s="4" t="str">
        <f>HYPERLINK("http://141.218.60.56/~jnz1568/getInfo.php?workbook=18_15.xlsx&amp;sheet=U0&amp;row=2831&amp;col=7&amp;number=0.722&amp;sourceID=14","0.722")</f>
        <v>0.722</v>
      </c>
    </row>
    <row r="2832" spans="1:7">
      <c r="A2832" s="3"/>
      <c r="B2832" s="3"/>
      <c r="C2832" s="3"/>
      <c r="D2832" s="3"/>
      <c r="E2832" s="3">
        <v>9</v>
      </c>
      <c r="F2832" s="4" t="str">
        <f>HYPERLINK("http://141.218.60.56/~jnz1568/getInfo.php?workbook=18_15.xlsx&amp;sheet=U0&amp;row=2832&amp;col=6&amp;number=3.8&amp;sourceID=14","3.8")</f>
        <v>3.8</v>
      </c>
      <c r="G2832" s="4" t="str">
        <f>HYPERLINK("http://141.218.60.56/~jnz1568/getInfo.php?workbook=18_15.xlsx&amp;sheet=U0&amp;row=2832&amp;col=7&amp;number=0.79&amp;sourceID=14","0.79")</f>
        <v>0.79</v>
      </c>
    </row>
    <row r="2833" spans="1:7">
      <c r="A2833" s="3"/>
      <c r="B2833" s="3"/>
      <c r="C2833" s="3"/>
      <c r="D2833" s="3"/>
      <c r="E2833" s="3">
        <v>10</v>
      </c>
      <c r="F2833" s="4" t="str">
        <f>HYPERLINK("http://141.218.60.56/~jnz1568/getInfo.php?workbook=18_15.xlsx&amp;sheet=U0&amp;row=2833&amp;col=6&amp;number=3.9&amp;sourceID=14","3.9")</f>
        <v>3.9</v>
      </c>
      <c r="G2833" s="4" t="str">
        <f>HYPERLINK("http://141.218.60.56/~jnz1568/getInfo.php?workbook=18_15.xlsx&amp;sheet=U0&amp;row=2833&amp;col=7&amp;number=0.86&amp;sourceID=14","0.86")</f>
        <v>0.86</v>
      </c>
    </row>
    <row r="2834" spans="1:7">
      <c r="A2834" s="3"/>
      <c r="B2834" s="3"/>
      <c r="C2834" s="3"/>
      <c r="D2834" s="3"/>
      <c r="E2834" s="3">
        <v>11</v>
      </c>
      <c r="F2834" s="4" t="str">
        <f>HYPERLINK("http://141.218.60.56/~jnz1568/getInfo.php?workbook=18_15.xlsx&amp;sheet=U0&amp;row=2834&amp;col=6&amp;number=4&amp;sourceID=14","4")</f>
        <v>4</v>
      </c>
      <c r="G2834" s="4" t="str">
        <f>HYPERLINK("http://141.218.60.56/~jnz1568/getInfo.php?workbook=18_15.xlsx&amp;sheet=U0&amp;row=2834&amp;col=7&amp;number=0.926&amp;sourceID=14","0.926")</f>
        <v>0.926</v>
      </c>
    </row>
    <row r="2835" spans="1:7">
      <c r="A2835" s="3"/>
      <c r="B2835" s="3"/>
      <c r="C2835" s="3"/>
      <c r="D2835" s="3"/>
      <c r="E2835" s="3">
        <v>12</v>
      </c>
      <c r="F2835" s="4" t="str">
        <f>HYPERLINK("http://141.218.60.56/~jnz1568/getInfo.php?workbook=18_15.xlsx&amp;sheet=U0&amp;row=2835&amp;col=6&amp;number=4.1&amp;sourceID=14","4.1")</f>
        <v>4.1</v>
      </c>
      <c r="G2835" s="4" t="str">
        <f>HYPERLINK("http://141.218.60.56/~jnz1568/getInfo.php?workbook=18_15.xlsx&amp;sheet=U0&amp;row=2835&amp;col=7&amp;number=0.981&amp;sourceID=14","0.981")</f>
        <v>0.981</v>
      </c>
    </row>
    <row r="2836" spans="1:7">
      <c r="A2836" s="3"/>
      <c r="B2836" s="3"/>
      <c r="C2836" s="3"/>
      <c r="D2836" s="3"/>
      <c r="E2836" s="3">
        <v>13</v>
      </c>
      <c r="F2836" s="4" t="str">
        <f>HYPERLINK("http://141.218.60.56/~jnz1568/getInfo.php?workbook=18_15.xlsx&amp;sheet=U0&amp;row=2836&amp;col=6&amp;number=4.2&amp;sourceID=14","4.2")</f>
        <v>4.2</v>
      </c>
      <c r="G2836" s="4" t="str">
        <f>HYPERLINK("http://141.218.60.56/~jnz1568/getInfo.php?workbook=18_15.xlsx&amp;sheet=U0&amp;row=2836&amp;col=7&amp;number=1.02&amp;sourceID=14","1.02")</f>
        <v>1.02</v>
      </c>
    </row>
    <row r="2837" spans="1:7">
      <c r="A2837" s="3"/>
      <c r="B2837" s="3"/>
      <c r="C2837" s="3"/>
      <c r="D2837" s="3"/>
      <c r="E2837" s="3">
        <v>14</v>
      </c>
      <c r="F2837" s="4" t="str">
        <f>HYPERLINK("http://141.218.60.56/~jnz1568/getInfo.php?workbook=18_15.xlsx&amp;sheet=U0&amp;row=2837&amp;col=6&amp;number=4.3&amp;sourceID=14","4.3")</f>
        <v>4.3</v>
      </c>
      <c r="G2837" s="4" t="str">
        <f>HYPERLINK("http://141.218.60.56/~jnz1568/getInfo.php?workbook=18_15.xlsx&amp;sheet=U0&amp;row=2837&amp;col=7&amp;number=1.03&amp;sourceID=14","1.03")</f>
        <v>1.03</v>
      </c>
    </row>
    <row r="2838" spans="1:7">
      <c r="A2838" s="3"/>
      <c r="B2838" s="3"/>
      <c r="C2838" s="3"/>
      <c r="D2838" s="3"/>
      <c r="E2838" s="3">
        <v>15</v>
      </c>
      <c r="F2838" s="4" t="str">
        <f>HYPERLINK("http://141.218.60.56/~jnz1568/getInfo.php?workbook=18_15.xlsx&amp;sheet=U0&amp;row=2838&amp;col=6&amp;number=4.4&amp;sourceID=14","4.4")</f>
        <v>4.4</v>
      </c>
      <c r="G2838" s="4" t="str">
        <f>HYPERLINK("http://141.218.60.56/~jnz1568/getInfo.php?workbook=18_15.xlsx&amp;sheet=U0&amp;row=2838&amp;col=7&amp;number=1.01&amp;sourceID=14","1.01")</f>
        <v>1.01</v>
      </c>
    </row>
    <row r="2839" spans="1:7">
      <c r="A2839" s="3"/>
      <c r="B2839" s="3"/>
      <c r="C2839" s="3"/>
      <c r="D2839" s="3"/>
      <c r="E2839" s="3">
        <v>16</v>
      </c>
      <c r="F2839" s="4" t="str">
        <f>HYPERLINK("http://141.218.60.56/~jnz1568/getInfo.php?workbook=18_15.xlsx&amp;sheet=U0&amp;row=2839&amp;col=6&amp;number=4.5&amp;sourceID=14","4.5")</f>
        <v>4.5</v>
      </c>
      <c r="G2839" s="4" t="str">
        <f>HYPERLINK("http://141.218.60.56/~jnz1568/getInfo.php?workbook=18_15.xlsx&amp;sheet=U0&amp;row=2839&amp;col=7&amp;number=0.991&amp;sourceID=14","0.991")</f>
        <v>0.991</v>
      </c>
    </row>
    <row r="2840" spans="1:7">
      <c r="A2840" s="3"/>
      <c r="B2840" s="3"/>
      <c r="C2840" s="3"/>
      <c r="D2840" s="3"/>
      <c r="E2840" s="3">
        <v>17</v>
      </c>
      <c r="F2840" s="4" t="str">
        <f>HYPERLINK("http://141.218.60.56/~jnz1568/getInfo.php?workbook=18_15.xlsx&amp;sheet=U0&amp;row=2840&amp;col=6&amp;number=4.6&amp;sourceID=14","4.6")</f>
        <v>4.6</v>
      </c>
      <c r="G2840" s="4" t="str">
        <f>HYPERLINK("http://141.218.60.56/~jnz1568/getInfo.php?workbook=18_15.xlsx&amp;sheet=U0&amp;row=2840&amp;col=7&amp;number=0.965&amp;sourceID=14","0.965")</f>
        <v>0.965</v>
      </c>
    </row>
    <row r="2841" spans="1:7">
      <c r="A2841" s="3"/>
      <c r="B2841" s="3"/>
      <c r="C2841" s="3"/>
      <c r="D2841" s="3"/>
      <c r="E2841" s="3">
        <v>18</v>
      </c>
      <c r="F2841" s="4" t="str">
        <f>HYPERLINK("http://141.218.60.56/~jnz1568/getInfo.php?workbook=18_15.xlsx&amp;sheet=U0&amp;row=2841&amp;col=6&amp;number=4.7&amp;sourceID=14","4.7")</f>
        <v>4.7</v>
      </c>
      <c r="G2841" s="4" t="str">
        <f>HYPERLINK("http://141.218.60.56/~jnz1568/getInfo.php?workbook=18_15.xlsx&amp;sheet=U0&amp;row=2841&amp;col=7&amp;number=0.939&amp;sourceID=14","0.939")</f>
        <v>0.939</v>
      </c>
    </row>
    <row r="2842" spans="1:7">
      <c r="A2842" s="3"/>
      <c r="B2842" s="3"/>
      <c r="C2842" s="3"/>
      <c r="D2842" s="3"/>
      <c r="E2842" s="3">
        <v>19</v>
      </c>
      <c r="F2842" s="4" t="str">
        <f>HYPERLINK("http://141.218.60.56/~jnz1568/getInfo.php?workbook=18_15.xlsx&amp;sheet=U0&amp;row=2842&amp;col=6&amp;number=4.8&amp;sourceID=14","4.8")</f>
        <v>4.8</v>
      </c>
      <c r="G2842" s="4" t="str">
        <f>HYPERLINK("http://141.218.60.56/~jnz1568/getInfo.php?workbook=18_15.xlsx&amp;sheet=U0&amp;row=2842&amp;col=7&amp;number=0.909&amp;sourceID=14","0.909")</f>
        <v>0.909</v>
      </c>
    </row>
    <row r="2843" spans="1:7">
      <c r="A2843" s="3"/>
      <c r="B2843" s="3"/>
      <c r="C2843" s="3"/>
      <c r="D2843" s="3"/>
      <c r="E2843" s="3">
        <v>20</v>
      </c>
      <c r="F2843" s="4" t="str">
        <f>HYPERLINK("http://141.218.60.56/~jnz1568/getInfo.php?workbook=18_15.xlsx&amp;sheet=U0&amp;row=2843&amp;col=6&amp;number=4.9&amp;sourceID=14","4.9")</f>
        <v>4.9</v>
      </c>
      <c r="G2843" s="4" t="str">
        <f>HYPERLINK("http://141.218.60.56/~jnz1568/getInfo.php?workbook=18_15.xlsx&amp;sheet=U0&amp;row=2843&amp;col=7&amp;number=0.868&amp;sourceID=14","0.868")</f>
        <v>0.868</v>
      </c>
    </row>
    <row r="2844" spans="1:7">
      <c r="A2844" s="3">
        <v>18</v>
      </c>
      <c r="B2844" s="3">
        <v>15</v>
      </c>
      <c r="C2844" s="3">
        <v>10</v>
      </c>
      <c r="D2844" s="3">
        <v>17</v>
      </c>
      <c r="E2844" s="3">
        <v>1</v>
      </c>
      <c r="F2844" s="4" t="str">
        <f>HYPERLINK("http://141.218.60.56/~jnz1568/getInfo.php?workbook=18_15.xlsx&amp;sheet=U0&amp;row=2844&amp;col=6&amp;number=3&amp;sourceID=14","3")</f>
        <v>3</v>
      </c>
      <c r="G2844" s="4" t="str">
        <f>HYPERLINK("http://141.218.60.56/~jnz1568/getInfo.php?workbook=18_15.xlsx&amp;sheet=U0&amp;row=2844&amp;col=7&amp;number=0.955&amp;sourceID=14","0.955")</f>
        <v>0.955</v>
      </c>
    </row>
    <row r="2845" spans="1:7">
      <c r="A2845" s="3"/>
      <c r="B2845" s="3"/>
      <c r="C2845" s="3"/>
      <c r="D2845" s="3"/>
      <c r="E2845" s="3">
        <v>2</v>
      </c>
      <c r="F2845" s="4" t="str">
        <f>HYPERLINK("http://141.218.60.56/~jnz1568/getInfo.php?workbook=18_15.xlsx&amp;sheet=U0&amp;row=2845&amp;col=6&amp;number=3.1&amp;sourceID=14","3.1")</f>
        <v>3.1</v>
      </c>
      <c r="G2845" s="4" t="str">
        <f>HYPERLINK("http://141.218.60.56/~jnz1568/getInfo.php?workbook=18_15.xlsx&amp;sheet=U0&amp;row=2845&amp;col=7&amp;number=0.951&amp;sourceID=14","0.951")</f>
        <v>0.951</v>
      </c>
    </row>
    <row r="2846" spans="1:7">
      <c r="A2846" s="3"/>
      <c r="B2846" s="3"/>
      <c r="C2846" s="3"/>
      <c r="D2846" s="3"/>
      <c r="E2846" s="3">
        <v>3</v>
      </c>
      <c r="F2846" s="4" t="str">
        <f>HYPERLINK("http://141.218.60.56/~jnz1568/getInfo.php?workbook=18_15.xlsx&amp;sheet=U0&amp;row=2846&amp;col=6&amp;number=3.2&amp;sourceID=14","3.2")</f>
        <v>3.2</v>
      </c>
      <c r="G2846" s="4" t="str">
        <f>HYPERLINK("http://141.218.60.56/~jnz1568/getInfo.php?workbook=18_15.xlsx&amp;sheet=U0&amp;row=2846&amp;col=7&amp;number=0.946&amp;sourceID=14","0.946")</f>
        <v>0.946</v>
      </c>
    </row>
    <row r="2847" spans="1:7">
      <c r="A2847" s="3"/>
      <c r="B2847" s="3"/>
      <c r="C2847" s="3"/>
      <c r="D2847" s="3"/>
      <c r="E2847" s="3">
        <v>4</v>
      </c>
      <c r="F2847" s="4" t="str">
        <f>HYPERLINK("http://141.218.60.56/~jnz1568/getInfo.php?workbook=18_15.xlsx&amp;sheet=U0&amp;row=2847&amp;col=6&amp;number=3.3&amp;sourceID=14","3.3")</f>
        <v>3.3</v>
      </c>
      <c r="G2847" s="4" t="str">
        <f>HYPERLINK("http://141.218.60.56/~jnz1568/getInfo.php?workbook=18_15.xlsx&amp;sheet=U0&amp;row=2847&amp;col=7&amp;number=0.939&amp;sourceID=14","0.939")</f>
        <v>0.939</v>
      </c>
    </row>
    <row r="2848" spans="1:7">
      <c r="A2848" s="3"/>
      <c r="B2848" s="3"/>
      <c r="C2848" s="3"/>
      <c r="D2848" s="3"/>
      <c r="E2848" s="3">
        <v>5</v>
      </c>
      <c r="F2848" s="4" t="str">
        <f>HYPERLINK("http://141.218.60.56/~jnz1568/getInfo.php?workbook=18_15.xlsx&amp;sheet=U0&amp;row=2848&amp;col=6&amp;number=3.4&amp;sourceID=14","3.4")</f>
        <v>3.4</v>
      </c>
      <c r="G2848" s="4" t="str">
        <f>HYPERLINK("http://141.218.60.56/~jnz1568/getInfo.php?workbook=18_15.xlsx&amp;sheet=U0&amp;row=2848&amp;col=7&amp;number=0.932&amp;sourceID=14","0.932")</f>
        <v>0.932</v>
      </c>
    </row>
    <row r="2849" spans="1:7">
      <c r="A2849" s="3"/>
      <c r="B2849" s="3"/>
      <c r="C2849" s="3"/>
      <c r="D2849" s="3"/>
      <c r="E2849" s="3">
        <v>6</v>
      </c>
      <c r="F2849" s="4" t="str">
        <f>HYPERLINK("http://141.218.60.56/~jnz1568/getInfo.php?workbook=18_15.xlsx&amp;sheet=U0&amp;row=2849&amp;col=6&amp;number=3.5&amp;sourceID=14","3.5")</f>
        <v>3.5</v>
      </c>
      <c r="G2849" s="4" t="str">
        <f>HYPERLINK("http://141.218.60.56/~jnz1568/getInfo.php?workbook=18_15.xlsx&amp;sheet=U0&amp;row=2849&amp;col=7&amp;number=0.922&amp;sourceID=14","0.922")</f>
        <v>0.922</v>
      </c>
    </row>
    <row r="2850" spans="1:7">
      <c r="A2850" s="3"/>
      <c r="B2850" s="3"/>
      <c r="C2850" s="3"/>
      <c r="D2850" s="3"/>
      <c r="E2850" s="3">
        <v>7</v>
      </c>
      <c r="F2850" s="4" t="str">
        <f>HYPERLINK("http://141.218.60.56/~jnz1568/getInfo.php?workbook=18_15.xlsx&amp;sheet=U0&amp;row=2850&amp;col=6&amp;number=3.6&amp;sourceID=14","3.6")</f>
        <v>3.6</v>
      </c>
      <c r="G2850" s="4" t="str">
        <f>HYPERLINK("http://141.218.60.56/~jnz1568/getInfo.php?workbook=18_15.xlsx&amp;sheet=U0&amp;row=2850&amp;col=7&amp;number=0.91&amp;sourceID=14","0.91")</f>
        <v>0.91</v>
      </c>
    </row>
    <row r="2851" spans="1:7">
      <c r="A2851" s="3"/>
      <c r="B2851" s="3"/>
      <c r="C2851" s="3"/>
      <c r="D2851" s="3"/>
      <c r="E2851" s="3">
        <v>8</v>
      </c>
      <c r="F2851" s="4" t="str">
        <f>HYPERLINK("http://141.218.60.56/~jnz1568/getInfo.php?workbook=18_15.xlsx&amp;sheet=U0&amp;row=2851&amp;col=6&amp;number=3.7&amp;sourceID=14","3.7")</f>
        <v>3.7</v>
      </c>
      <c r="G2851" s="4" t="str">
        <f>HYPERLINK("http://141.218.60.56/~jnz1568/getInfo.php?workbook=18_15.xlsx&amp;sheet=U0&amp;row=2851&amp;col=7&amp;number=0.894&amp;sourceID=14","0.894")</f>
        <v>0.894</v>
      </c>
    </row>
    <row r="2852" spans="1:7">
      <c r="A2852" s="3"/>
      <c r="B2852" s="3"/>
      <c r="C2852" s="3"/>
      <c r="D2852" s="3"/>
      <c r="E2852" s="3">
        <v>9</v>
      </c>
      <c r="F2852" s="4" t="str">
        <f>HYPERLINK("http://141.218.60.56/~jnz1568/getInfo.php?workbook=18_15.xlsx&amp;sheet=U0&amp;row=2852&amp;col=6&amp;number=3.8&amp;sourceID=14","3.8")</f>
        <v>3.8</v>
      </c>
      <c r="G2852" s="4" t="str">
        <f>HYPERLINK("http://141.218.60.56/~jnz1568/getInfo.php?workbook=18_15.xlsx&amp;sheet=U0&amp;row=2852&amp;col=7&amp;number=0.874&amp;sourceID=14","0.874")</f>
        <v>0.874</v>
      </c>
    </row>
    <row r="2853" spans="1:7">
      <c r="A2853" s="3"/>
      <c r="B2853" s="3"/>
      <c r="C2853" s="3"/>
      <c r="D2853" s="3"/>
      <c r="E2853" s="3">
        <v>10</v>
      </c>
      <c r="F2853" s="4" t="str">
        <f>HYPERLINK("http://141.218.60.56/~jnz1568/getInfo.php?workbook=18_15.xlsx&amp;sheet=U0&amp;row=2853&amp;col=6&amp;number=3.9&amp;sourceID=14","3.9")</f>
        <v>3.9</v>
      </c>
      <c r="G2853" s="4" t="str">
        <f>HYPERLINK("http://141.218.60.56/~jnz1568/getInfo.php?workbook=18_15.xlsx&amp;sheet=U0&amp;row=2853&amp;col=7&amp;number=0.848&amp;sourceID=14","0.848")</f>
        <v>0.848</v>
      </c>
    </row>
    <row r="2854" spans="1:7">
      <c r="A2854" s="3"/>
      <c r="B2854" s="3"/>
      <c r="C2854" s="3"/>
      <c r="D2854" s="3"/>
      <c r="E2854" s="3">
        <v>11</v>
      </c>
      <c r="F2854" s="4" t="str">
        <f>HYPERLINK("http://141.218.60.56/~jnz1568/getInfo.php?workbook=18_15.xlsx&amp;sheet=U0&amp;row=2854&amp;col=6&amp;number=4&amp;sourceID=14","4")</f>
        <v>4</v>
      </c>
      <c r="G2854" s="4" t="str">
        <f>HYPERLINK("http://141.218.60.56/~jnz1568/getInfo.php?workbook=18_15.xlsx&amp;sheet=U0&amp;row=2854&amp;col=7&amp;number=0.817&amp;sourceID=14","0.817")</f>
        <v>0.817</v>
      </c>
    </row>
    <row r="2855" spans="1:7">
      <c r="A2855" s="3"/>
      <c r="B2855" s="3"/>
      <c r="C2855" s="3"/>
      <c r="D2855" s="3"/>
      <c r="E2855" s="3">
        <v>12</v>
      </c>
      <c r="F2855" s="4" t="str">
        <f>HYPERLINK("http://141.218.60.56/~jnz1568/getInfo.php?workbook=18_15.xlsx&amp;sheet=U0&amp;row=2855&amp;col=6&amp;number=4.1&amp;sourceID=14","4.1")</f>
        <v>4.1</v>
      </c>
      <c r="G2855" s="4" t="str">
        <f>HYPERLINK("http://141.218.60.56/~jnz1568/getInfo.php?workbook=18_15.xlsx&amp;sheet=U0&amp;row=2855&amp;col=7&amp;number=0.784&amp;sourceID=14","0.784")</f>
        <v>0.784</v>
      </c>
    </row>
    <row r="2856" spans="1:7">
      <c r="A2856" s="3"/>
      <c r="B2856" s="3"/>
      <c r="C2856" s="3"/>
      <c r="D2856" s="3"/>
      <c r="E2856" s="3">
        <v>13</v>
      </c>
      <c r="F2856" s="4" t="str">
        <f>HYPERLINK("http://141.218.60.56/~jnz1568/getInfo.php?workbook=18_15.xlsx&amp;sheet=U0&amp;row=2856&amp;col=6&amp;number=4.2&amp;sourceID=14","4.2")</f>
        <v>4.2</v>
      </c>
      <c r="G2856" s="4" t="str">
        <f>HYPERLINK("http://141.218.60.56/~jnz1568/getInfo.php?workbook=18_15.xlsx&amp;sheet=U0&amp;row=2856&amp;col=7&amp;number=0.752&amp;sourceID=14","0.752")</f>
        <v>0.752</v>
      </c>
    </row>
    <row r="2857" spans="1:7">
      <c r="A2857" s="3"/>
      <c r="B2857" s="3"/>
      <c r="C2857" s="3"/>
      <c r="D2857" s="3"/>
      <c r="E2857" s="3">
        <v>14</v>
      </c>
      <c r="F2857" s="4" t="str">
        <f>HYPERLINK("http://141.218.60.56/~jnz1568/getInfo.php?workbook=18_15.xlsx&amp;sheet=U0&amp;row=2857&amp;col=6&amp;number=4.3&amp;sourceID=14","4.3")</f>
        <v>4.3</v>
      </c>
      <c r="G2857" s="4" t="str">
        <f>HYPERLINK("http://141.218.60.56/~jnz1568/getInfo.php?workbook=18_15.xlsx&amp;sheet=U0&amp;row=2857&amp;col=7&amp;number=0.723&amp;sourceID=14","0.723")</f>
        <v>0.723</v>
      </c>
    </row>
    <row r="2858" spans="1:7">
      <c r="A2858" s="3"/>
      <c r="B2858" s="3"/>
      <c r="C2858" s="3"/>
      <c r="D2858" s="3"/>
      <c r="E2858" s="3">
        <v>15</v>
      </c>
      <c r="F2858" s="4" t="str">
        <f>HYPERLINK("http://141.218.60.56/~jnz1568/getInfo.php?workbook=18_15.xlsx&amp;sheet=U0&amp;row=2858&amp;col=6&amp;number=4.4&amp;sourceID=14","4.4")</f>
        <v>4.4</v>
      </c>
      <c r="G2858" s="4" t="str">
        <f>HYPERLINK("http://141.218.60.56/~jnz1568/getInfo.php?workbook=18_15.xlsx&amp;sheet=U0&amp;row=2858&amp;col=7&amp;number=0.694&amp;sourceID=14","0.694")</f>
        <v>0.694</v>
      </c>
    </row>
    <row r="2859" spans="1:7">
      <c r="A2859" s="3"/>
      <c r="B2859" s="3"/>
      <c r="C2859" s="3"/>
      <c r="D2859" s="3"/>
      <c r="E2859" s="3">
        <v>16</v>
      </c>
      <c r="F2859" s="4" t="str">
        <f>HYPERLINK("http://141.218.60.56/~jnz1568/getInfo.php?workbook=18_15.xlsx&amp;sheet=U0&amp;row=2859&amp;col=6&amp;number=4.5&amp;sourceID=14","4.5")</f>
        <v>4.5</v>
      </c>
      <c r="G2859" s="4" t="str">
        <f>HYPERLINK("http://141.218.60.56/~jnz1568/getInfo.php?workbook=18_15.xlsx&amp;sheet=U0&amp;row=2859&amp;col=7&amp;number=0.661&amp;sourceID=14","0.661")</f>
        <v>0.661</v>
      </c>
    </row>
    <row r="2860" spans="1:7">
      <c r="A2860" s="3"/>
      <c r="B2860" s="3"/>
      <c r="C2860" s="3"/>
      <c r="D2860" s="3"/>
      <c r="E2860" s="3">
        <v>17</v>
      </c>
      <c r="F2860" s="4" t="str">
        <f>HYPERLINK("http://141.218.60.56/~jnz1568/getInfo.php?workbook=18_15.xlsx&amp;sheet=U0&amp;row=2860&amp;col=6&amp;number=4.6&amp;sourceID=14","4.6")</f>
        <v>4.6</v>
      </c>
      <c r="G2860" s="4" t="str">
        <f>HYPERLINK("http://141.218.60.56/~jnz1568/getInfo.php?workbook=18_15.xlsx&amp;sheet=U0&amp;row=2860&amp;col=7&amp;number=0.629&amp;sourceID=14","0.629")</f>
        <v>0.629</v>
      </c>
    </row>
    <row r="2861" spans="1:7">
      <c r="A2861" s="3"/>
      <c r="B2861" s="3"/>
      <c r="C2861" s="3"/>
      <c r="D2861" s="3"/>
      <c r="E2861" s="3">
        <v>18</v>
      </c>
      <c r="F2861" s="4" t="str">
        <f>HYPERLINK("http://141.218.60.56/~jnz1568/getInfo.php?workbook=18_15.xlsx&amp;sheet=U0&amp;row=2861&amp;col=6&amp;number=4.7&amp;sourceID=14","4.7")</f>
        <v>4.7</v>
      </c>
      <c r="G2861" s="4" t="str">
        <f>HYPERLINK("http://141.218.60.56/~jnz1568/getInfo.php?workbook=18_15.xlsx&amp;sheet=U0&amp;row=2861&amp;col=7&amp;number=0.605&amp;sourceID=14","0.605")</f>
        <v>0.605</v>
      </c>
    </row>
    <row r="2862" spans="1:7">
      <c r="A2862" s="3"/>
      <c r="B2862" s="3"/>
      <c r="C2862" s="3"/>
      <c r="D2862" s="3"/>
      <c r="E2862" s="3">
        <v>19</v>
      </c>
      <c r="F2862" s="4" t="str">
        <f>HYPERLINK("http://141.218.60.56/~jnz1568/getInfo.php?workbook=18_15.xlsx&amp;sheet=U0&amp;row=2862&amp;col=6&amp;number=4.8&amp;sourceID=14","4.8")</f>
        <v>4.8</v>
      </c>
      <c r="G2862" s="4" t="str">
        <f>HYPERLINK("http://141.218.60.56/~jnz1568/getInfo.php?workbook=18_15.xlsx&amp;sheet=U0&amp;row=2862&amp;col=7&amp;number=0.582&amp;sourceID=14","0.582")</f>
        <v>0.582</v>
      </c>
    </row>
    <row r="2863" spans="1:7">
      <c r="A2863" s="3"/>
      <c r="B2863" s="3"/>
      <c r="C2863" s="3"/>
      <c r="D2863" s="3"/>
      <c r="E2863" s="3">
        <v>20</v>
      </c>
      <c r="F2863" s="4" t="str">
        <f>HYPERLINK("http://141.218.60.56/~jnz1568/getInfo.php?workbook=18_15.xlsx&amp;sheet=U0&amp;row=2863&amp;col=6&amp;number=4.9&amp;sourceID=14","4.9")</f>
        <v>4.9</v>
      </c>
      <c r="G2863" s="4" t="str">
        <f>HYPERLINK("http://141.218.60.56/~jnz1568/getInfo.php?workbook=18_15.xlsx&amp;sheet=U0&amp;row=2863&amp;col=7&amp;number=0.554&amp;sourceID=14","0.554")</f>
        <v>0.554</v>
      </c>
    </row>
    <row r="2864" spans="1:7">
      <c r="A2864" s="3">
        <v>18</v>
      </c>
      <c r="B2864" s="3">
        <v>15</v>
      </c>
      <c r="C2864" s="3">
        <v>10</v>
      </c>
      <c r="D2864" s="3">
        <v>25</v>
      </c>
      <c r="E2864" s="3">
        <v>1</v>
      </c>
      <c r="F2864" s="4" t="str">
        <f>HYPERLINK("http://141.218.60.56/~jnz1568/getInfo.php?workbook=18_15.xlsx&amp;sheet=U0&amp;row=2864&amp;col=6&amp;number=3&amp;sourceID=14","3")</f>
        <v>3</v>
      </c>
      <c r="G2864" s="4" t="str">
        <f>HYPERLINK("http://141.218.60.56/~jnz1568/getInfo.php?workbook=18_15.xlsx&amp;sheet=U0&amp;row=2864&amp;col=7&amp;number=1.26&amp;sourceID=14","1.26")</f>
        <v>1.26</v>
      </c>
    </row>
    <row r="2865" spans="1:7">
      <c r="A2865" s="3"/>
      <c r="B2865" s="3"/>
      <c r="C2865" s="3"/>
      <c r="D2865" s="3"/>
      <c r="E2865" s="3">
        <v>2</v>
      </c>
      <c r="F2865" s="4" t="str">
        <f>HYPERLINK("http://141.218.60.56/~jnz1568/getInfo.php?workbook=18_15.xlsx&amp;sheet=U0&amp;row=2865&amp;col=6&amp;number=3.1&amp;sourceID=14","3.1")</f>
        <v>3.1</v>
      </c>
      <c r="G2865" s="4" t="str">
        <f>HYPERLINK("http://141.218.60.56/~jnz1568/getInfo.php?workbook=18_15.xlsx&amp;sheet=U0&amp;row=2865&amp;col=7&amp;number=1.29&amp;sourceID=14","1.29")</f>
        <v>1.29</v>
      </c>
    </row>
    <row r="2866" spans="1:7">
      <c r="A2866" s="3"/>
      <c r="B2866" s="3"/>
      <c r="C2866" s="3"/>
      <c r="D2866" s="3"/>
      <c r="E2866" s="3">
        <v>3</v>
      </c>
      <c r="F2866" s="4" t="str">
        <f>HYPERLINK("http://141.218.60.56/~jnz1568/getInfo.php?workbook=18_15.xlsx&amp;sheet=U0&amp;row=2866&amp;col=6&amp;number=3.2&amp;sourceID=14","3.2")</f>
        <v>3.2</v>
      </c>
      <c r="G2866" s="4" t="str">
        <f>HYPERLINK("http://141.218.60.56/~jnz1568/getInfo.php?workbook=18_15.xlsx&amp;sheet=U0&amp;row=2866&amp;col=7&amp;number=1.33&amp;sourceID=14","1.33")</f>
        <v>1.33</v>
      </c>
    </row>
    <row r="2867" spans="1:7">
      <c r="A2867" s="3"/>
      <c r="B2867" s="3"/>
      <c r="C2867" s="3"/>
      <c r="D2867" s="3"/>
      <c r="E2867" s="3">
        <v>4</v>
      </c>
      <c r="F2867" s="4" t="str">
        <f>HYPERLINK("http://141.218.60.56/~jnz1568/getInfo.php?workbook=18_15.xlsx&amp;sheet=U0&amp;row=2867&amp;col=6&amp;number=3.3&amp;sourceID=14","3.3")</f>
        <v>3.3</v>
      </c>
      <c r="G2867" s="4" t="str">
        <f>HYPERLINK("http://141.218.60.56/~jnz1568/getInfo.php?workbook=18_15.xlsx&amp;sheet=U0&amp;row=2867&amp;col=7&amp;number=1.38&amp;sourceID=14","1.38")</f>
        <v>1.38</v>
      </c>
    </row>
    <row r="2868" spans="1:7">
      <c r="A2868" s="3"/>
      <c r="B2868" s="3"/>
      <c r="C2868" s="3"/>
      <c r="D2868" s="3"/>
      <c r="E2868" s="3">
        <v>5</v>
      </c>
      <c r="F2868" s="4" t="str">
        <f>HYPERLINK("http://141.218.60.56/~jnz1568/getInfo.php?workbook=18_15.xlsx&amp;sheet=U0&amp;row=2868&amp;col=6&amp;number=3.4&amp;sourceID=14","3.4")</f>
        <v>3.4</v>
      </c>
      <c r="G2868" s="4" t="str">
        <f>HYPERLINK("http://141.218.60.56/~jnz1568/getInfo.php?workbook=18_15.xlsx&amp;sheet=U0&amp;row=2868&amp;col=7&amp;number=1.44&amp;sourceID=14","1.44")</f>
        <v>1.44</v>
      </c>
    </row>
    <row r="2869" spans="1:7">
      <c r="A2869" s="3"/>
      <c r="B2869" s="3"/>
      <c r="C2869" s="3"/>
      <c r="D2869" s="3"/>
      <c r="E2869" s="3">
        <v>6</v>
      </c>
      <c r="F2869" s="4" t="str">
        <f>HYPERLINK("http://141.218.60.56/~jnz1568/getInfo.php?workbook=18_15.xlsx&amp;sheet=U0&amp;row=2869&amp;col=6&amp;number=3.5&amp;sourceID=14","3.5")</f>
        <v>3.5</v>
      </c>
      <c r="G2869" s="4" t="str">
        <f>HYPERLINK("http://141.218.60.56/~jnz1568/getInfo.php?workbook=18_15.xlsx&amp;sheet=U0&amp;row=2869&amp;col=7&amp;number=1.52&amp;sourceID=14","1.52")</f>
        <v>1.52</v>
      </c>
    </row>
    <row r="2870" spans="1:7">
      <c r="A2870" s="3"/>
      <c r="B2870" s="3"/>
      <c r="C2870" s="3"/>
      <c r="D2870" s="3"/>
      <c r="E2870" s="3">
        <v>7</v>
      </c>
      <c r="F2870" s="4" t="str">
        <f>HYPERLINK("http://141.218.60.56/~jnz1568/getInfo.php?workbook=18_15.xlsx&amp;sheet=U0&amp;row=2870&amp;col=6&amp;number=3.6&amp;sourceID=14","3.6")</f>
        <v>3.6</v>
      </c>
      <c r="G2870" s="4" t="str">
        <f>HYPERLINK("http://141.218.60.56/~jnz1568/getInfo.php?workbook=18_15.xlsx&amp;sheet=U0&amp;row=2870&amp;col=7&amp;number=1.61&amp;sourceID=14","1.61")</f>
        <v>1.61</v>
      </c>
    </row>
    <row r="2871" spans="1:7">
      <c r="A2871" s="3"/>
      <c r="B2871" s="3"/>
      <c r="C2871" s="3"/>
      <c r="D2871" s="3"/>
      <c r="E2871" s="3">
        <v>8</v>
      </c>
      <c r="F2871" s="4" t="str">
        <f>HYPERLINK("http://141.218.60.56/~jnz1568/getInfo.php?workbook=18_15.xlsx&amp;sheet=U0&amp;row=2871&amp;col=6&amp;number=3.7&amp;sourceID=14","3.7")</f>
        <v>3.7</v>
      </c>
      <c r="G2871" s="4" t="str">
        <f>HYPERLINK("http://141.218.60.56/~jnz1568/getInfo.php?workbook=18_15.xlsx&amp;sheet=U0&amp;row=2871&amp;col=7&amp;number=1.71&amp;sourceID=14","1.71")</f>
        <v>1.71</v>
      </c>
    </row>
    <row r="2872" spans="1:7">
      <c r="A2872" s="3"/>
      <c r="B2872" s="3"/>
      <c r="C2872" s="3"/>
      <c r="D2872" s="3"/>
      <c r="E2872" s="3">
        <v>9</v>
      </c>
      <c r="F2872" s="4" t="str">
        <f>HYPERLINK("http://141.218.60.56/~jnz1568/getInfo.php?workbook=18_15.xlsx&amp;sheet=U0&amp;row=2872&amp;col=6&amp;number=3.8&amp;sourceID=14","3.8")</f>
        <v>3.8</v>
      </c>
      <c r="G2872" s="4" t="str">
        <f>HYPERLINK("http://141.218.60.56/~jnz1568/getInfo.php?workbook=18_15.xlsx&amp;sheet=U0&amp;row=2872&amp;col=7&amp;number=1.83&amp;sourceID=14","1.83")</f>
        <v>1.83</v>
      </c>
    </row>
    <row r="2873" spans="1:7">
      <c r="A2873" s="3"/>
      <c r="B2873" s="3"/>
      <c r="C2873" s="3"/>
      <c r="D2873" s="3"/>
      <c r="E2873" s="3">
        <v>10</v>
      </c>
      <c r="F2873" s="4" t="str">
        <f>HYPERLINK("http://141.218.60.56/~jnz1568/getInfo.php?workbook=18_15.xlsx&amp;sheet=U0&amp;row=2873&amp;col=6&amp;number=3.9&amp;sourceID=14","3.9")</f>
        <v>3.9</v>
      </c>
      <c r="G2873" s="4" t="str">
        <f>HYPERLINK("http://141.218.60.56/~jnz1568/getInfo.php?workbook=18_15.xlsx&amp;sheet=U0&amp;row=2873&amp;col=7&amp;number=1.95&amp;sourceID=14","1.95")</f>
        <v>1.95</v>
      </c>
    </row>
    <row r="2874" spans="1:7">
      <c r="A2874" s="3"/>
      <c r="B2874" s="3"/>
      <c r="C2874" s="3"/>
      <c r="D2874" s="3"/>
      <c r="E2874" s="3">
        <v>11</v>
      </c>
      <c r="F2874" s="4" t="str">
        <f>HYPERLINK("http://141.218.60.56/~jnz1568/getInfo.php?workbook=18_15.xlsx&amp;sheet=U0&amp;row=2874&amp;col=6&amp;number=4&amp;sourceID=14","4")</f>
        <v>4</v>
      </c>
      <c r="G2874" s="4" t="str">
        <f>HYPERLINK("http://141.218.60.56/~jnz1568/getInfo.php?workbook=18_15.xlsx&amp;sheet=U0&amp;row=2874&amp;col=7&amp;number=2.08&amp;sourceID=14","2.08")</f>
        <v>2.08</v>
      </c>
    </row>
    <row r="2875" spans="1:7">
      <c r="A2875" s="3"/>
      <c r="B2875" s="3"/>
      <c r="C2875" s="3"/>
      <c r="D2875" s="3"/>
      <c r="E2875" s="3">
        <v>12</v>
      </c>
      <c r="F2875" s="4" t="str">
        <f>HYPERLINK("http://141.218.60.56/~jnz1568/getInfo.php?workbook=18_15.xlsx&amp;sheet=U0&amp;row=2875&amp;col=6&amp;number=4.1&amp;sourceID=14","4.1")</f>
        <v>4.1</v>
      </c>
      <c r="G2875" s="4" t="str">
        <f>HYPERLINK("http://141.218.60.56/~jnz1568/getInfo.php?workbook=18_15.xlsx&amp;sheet=U0&amp;row=2875&amp;col=7&amp;number=2.2&amp;sourceID=14","2.2")</f>
        <v>2.2</v>
      </c>
    </row>
    <row r="2876" spans="1:7">
      <c r="A2876" s="3"/>
      <c r="B2876" s="3"/>
      <c r="C2876" s="3"/>
      <c r="D2876" s="3"/>
      <c r="E2876" s="3">
        <v>13</v>
      </c>
      <c r="F2876" s="4" t="str">
        <f>HYPERLINK("http://141.218.60.56/~jnz1568/getInfo.php?workbook=18_15.xlsx&amp;sheet=U0&amp;row=2876&amp;col=6&amp;number=4.2&amp;sourceID=14","4.2")</f>
        <v>4.2</v>
      </c>
      <c r="G2876" s="4" t="str">
        <f>HYPERLINK("http://141.218.60.56/~jnz1568/getInfo.php?workbook=18_15.xlsx&amp;sheet=U0&amp;row=2876&amp;col=7&amp;number=2.28&amp;sourceID=14","2.28")</f>
        <v>2.28</v>
      </c>
    </row>
    <row r="2877" spans="1:7">
      <c r="A2877" s="3"/>
      <c r="B2877" s="3"/>
      <c r="C2877" s="3"/>
      <c r="D2877" s="3"/>
      <c r="E2877" s="3">
        <v>14</v>
      </c>
      <c r="F2877" s="4" t="str">
        <f>HYPERLINK("http://141.218.60.56/~jnz1568/getInfo.php?workbook=18_15.xlsx&amp;sheet=U0&amp;row=2877&amp;col=6&amp;number=4.3&amp;sourceID=14","4.3")</f>
        <v>4.3</v>
      </c>
      <c r="G2877" s="4" t="str">
        <f>HYPERLINK("http://141.218.60.56/~jnz1568/getInfo.php?workbook=18_15.xlsx&amp;sheet=U0&amp;row=2877&amp;col=7&amp;number=2.31&amp;sourceID=14","2.31")</f>
        <v>2.31</v>
      </c>
    </row>
    <row r="2878" spans="1:7">
      <c r="A2878" s="3"/>
      <c r="B2878" s="3"/>
      <c r="C2878" s="3"/>
      <c r="D2878" s="3"/>
      <c r="E2878" s="3">
        <v>15</v>
      </c>
      <c r="F2878" s="4" t="str">
        <f>HYPERLINK("http://141.218.60.56/~jnz1568/getInfo.php?workbook=18_15.xlsx&amp;sheet=U0&amp;row=2878&amp;col=6&amp;number=4.4&amp;sourceID=14","4.4")</f>
        <v>4.4</v>
      </c>
      <c r="G2878" s="4" t="str">
        <f>HYPERLINK("http://141.218.60.56/~jnz1568/getInfo.php?workbook=18_15.xlsx&amp;sheet=U0&amp;row=2878&amp;col=7&amp;number=2.3&amp;sourceID=14","2.3")</f>
        <v>2.3</v>
      </c>
    </row>
    <row r="2879" spans="1:7">
      <c r="A2879" s="3"/>
      <c r="B2879" s="3"/>
      <c r="C2879" s="3"/>
      <c r="D2879" s="3"/>
      <c r="E2879" s="3">
        <v>16</v>
      </c>
      <c r="F2879" s="4" t="str">
        <f>HYPERLINK("http://141.218.60.56/~jnz1568/getInfo.php?workbook=18_15.xlsx&amp;sheet=U0&amp;row=2879&amp;col=6&amp;number=4.5&amp;sourceID=14","4.5")</f>
        <v>4.5</v>
      </c>
      <c r="G2879" s="4" t="str">
        <f>HYPERLINK("http://141.218.60.56/~jnz1568/getInfo.php?workbook=18_15.xlsx&amp;sheet=U0&amp;row=2879&amp;col=7&amp;number=2.25&amp;sourceID=14","2.25")</f>
        <v>2.25</v>
      </c>
    </row>
    <row r="2880" spans="1:7">
      <c r="A2880" s="3"/>
      <c r="B2880" s="3"/>
      <c r="C2880" s="3"/>
      <c r="D2880" s="3"/>
      <c r="E2880" s="3">
        <v>17</v>
      </c>
      <c r="F2880" s="4" t="str">
        <f>HYPERLINK("http://141.218.60.56/~jnz1568/getInfo.php?workbook=18_15.xlsx&amp;sheet=U0&amp;row=2880&amp;col=6&amp;number=4.6&amp;sourceID=14","4.6")</f>
        <v>4.6</v>
      </c>
      <c r="G2880" s="4" t="str">
        <f>HYPERLINK("http://141.218.60.56/~jnz1568/getInfo.php?workbook=18_15.xlsx&amp;sheet=U0&amp;row=2880&amp;col=7&amp;number=2.19&amp;sourceID=14","2.19")</f>
        <v>2.19</v>
      </c>
    </row>
    <row r="2881" spans="1:7">
      <c r="A2881" s="3"/>
      <c r="B2881" s="3"/>
      <c r="C2881" s="3"/>
      <c r="D2881" s="3"/>
      <c r="E2881" s="3">
        <v>18</v>
      </c>
      <c r="F2881" s="4" t="str">
        <f>HYPERLINK("http://141.218.60.56/~jnz1568/getInfo.php?workbook=18_15.xlsx&amp;sheet=U0&amp;row=2881&amp;col=6&amp;number=4.7&amp;sourceID=14","4.7")</f>
        <v>4.7</v>
      </c>
      <c r="G2881" s="4" t="str">
        <f>HYPERLINK("http://141.218.60.56/~jnz1568/getInfo.php?workbook=18_15.xlsx&amp;sheet=U0&amp;row=2881&amp;col=7&amp;number=2.13&amp;sourceID=14","2.13")</f>
        <v>2.13</v>
      </c>
    </row>
    <row r="2882" spans="1:7">
      <c r="A2882" s="3"/>
      <c r="B2882" s="3"/>
      <c r="C2882" s="3"/>
      <c r="D2882" s="3"/>
      <c r="E2882" s="3">
        <v>19</v>
      </c>
      <c r="F2882" s="4" t="str">
        <f>HYPERLINK("http://141.218.60.56/~jnz1568/getInfo.php?workbook=18_15.xlsx&amp;sheet=U0&amp;row=2882&amp;col=6&amp;number=4.8&amp;sourceID=14","4.8")</f>
        <v>4.8</v>
      </c>
      <c r="G2882" s="4" t="str">
        <f>HYPERLINK("http://141.218.60.56/~jnz1568/getInfo.php?workbook=18_15.xlsx&amp;sheet=U0&amp;row=2882&amp;col=7&amp;number=2.07&amp;sourceID=14","2.07")</f>
        <v>2.07</v>
      </c>
    </row>
    <row r="2883" spans="1:7">
      <c r="A2883" s="3"/>
      <c r="B2883" s="3"/>
      <c r="C2883" s="3"/>
      <c r="D2883" s="3"/>
      <c r="E2883" s="3">
        <v>20</v>
      </c>
      <c r="F2883" s="4" t="str">
        <f>HYPERLINK("http://141.218.60.56/~jnz1568/getInfo.php?workbook=18_15.xlsx&amp;sheet=U0&amp;row=2883&amp;col=6&amp;number=4.9&amp;sourceID=14","4.9")</f>
        <v>4.9</v>
      </c>
      <c r="G2883" s="4" t="str">
        <f>HYPERLINK("http://141.218.60.56/~jnz1568/getInfo.php?workbook=18_15.xlsx&amp;sheet=U0&amp;row=2883&amp;col=7&amp;number=1.99&amp;sourceID=14","1.99")</f>
        <v>1.99</v>
      </c>
    </row>
    <row r="2884" spans="1:7">
      <c r="A2884" s="3">
        <v>18</v>
      </c>
      <c r="B2884" s="3">
        <v>15</v>
      </c>
      <c r="C2884" s="3">
        <v>11</v>
      </c>
      <c r="D2884" s="3">
        <v>17</v>
      </c>
      <c r="E2884" s="3">
        <v>1</v>
      </c>
      <c r="F2884" s="4" t="str">
        <f>HYPERLINK("http://141.218.60.56/~jnz1568/getInfo.php?workbook=18_15.xlsx&amp;sheet=U0&amp;row=2884&amp;col=6&amp;number=3&amp;sourceID=14","3")</f>
        <v>3</v>
      </c>
      <c r="G2884" s="4" t="str">
        <f>HYPERLINK("http://141.218.60.56/~jnz1568/getInfo.php?workbook=18_15.xlsx&amp;sheet=U0&amp;row=2884&amp;col=7&amp;number=0.44&amp;sourceID=14","0.44")</f>
        <v>0.44</v>
      </c>
    </row>
    <row r="2885" spans="1:7">
      <c r="A2885" s="3"/>
      <c r="B2885" s="3"/>
      <c r="C2885" s="3"/>
      <c r="D2885" s="3"/>
      <c r="E2885" s="3">
        <v>2</v>
      </c>
      <c r="F2885" s="4" t="str">
        <f>HYPERLINK("http://141.218.60.56/~jnz1568/getInfo.php?workbook=18_15.xlsx&amp;sheet=U0&amp;row=2885&amp;col=6&amp;number=3.1&amp;sourceID=14","3.1")</f>
        <v>3.1</v>
      </c>
      <c r="G2885" s="4" t="str">
        <f>HYPERLINK("http://141.218.60.56/~jnz1568/getInfo.php?workbook=18_15.xlsx&amp;sheet=U0&amp;row=2885&amp;col=7&amp;number=0.438&amp;sourceID=14","0.438")</f>
        <v>0.438</v>
      </c>
    </row>
    <row r="2886" spans="1:7">
      <c r="A2886" s="3"/>
      <c r="B2886" s="3"/>
      <c r="C2886" s="3"/>
      <c r="D2886" s="3"/>
      <c r="E2886" s="3">
        <v>3</v>
      </c>
      <c r="F2886" s="4" t="str">
        <f>HYPERLINK("http://141.218.60.56/~jnz1568/getInfo.php?workbook=18_15.xlsx&amp;sheet=U0&amp;row=2886&amp;col=6&amp;number=3.2&amp;sourceID=14","3.2")</f>
        <v>3.2</v>
      </c>
      <c r="G2886" s="4" t="str">
        <f>HYPERLINK("http://141.218.60.56/~jnz1568/getInfo.php?workbook=18_15.xlsx&amp;sheet=U0&amp;row=2886&amp;col=7&amp;number=0.436&amp;sourceID=14","0.436")</f>
        <v>0.436</v>
      </c>
    </row>
    <row r="2887" spans="1:7">
      <c r="A2887" s="3"/>
      <c r="B2887" s="3"/>
      <c r="C2887" s="3"/>
      <c r="D2887" s="3"/>
      <c r="E2887" s="3">
        <v>4</v>
      </c>
      <c r="F2887" s="4" t="str">
        <f>HYPERLINK("http://141.218.60.56/~jnz1568/getInfo.php?workbook=18_15.xlsx&amp;sheet=U0&amp;row=2887&amp;col=6&amp;number=3.3&amp;sourceID=14","3.3")</f>
        <v>3.3</v>
      </c>
      <c r="G2887" s="4" t="str">
        <f>HYPERLINK("http://141.218.60.56/~jnz1568/getInfo.php?workbook=18_15.xlsx&amp;sheet=U0&amp;row=2887&amp;col=7&amp;number=0.434&amp;sourceID=14","0.434")</f>
        <v>0.434</v>
      </c>
    </row>
    <row r="2888" spans="1:7">
      <c r="A2888" s="3"/>
      <c r="B2888" s="3"/>
      <c r="C2888" s="3"/>
      <c r="D2888" s="3"/>
      <c r="E2888" s="3">
        <v>5</v>
      </c>
      <c r="F2888" s="4" t="str">
        <f>HYPERLINK("http://141.218.60.56/~jnz1568/getInfo.php?workbook=18_15.xlsx&amp;sheet=U0&amp;row=2888&amp;col=6&amp;number=3.4&amp;sourceID=14","3.4")</f>
        <v>3.4</v>
      </c>
      <c r="G2888" s="4" t="str">
        <f>HYPERLINK("http://141.218.60.56/~jnz1568/getInfo.php?workbook=18_15.xlsx&amp;sheet=U0&amp;row=2888&amp;col=7&amp;number=0.431&amp;sourceID=14","0.431")</f>
        <v>0.431</v>
      </c>
    </row>
    <row r="2889" spans="1:7">
      <c r="A2889" s="3"/>
      <c r="B2889" s="3"/>
      <c r="C2889" s="3"/>
      <c r="D2889" s="3"/>
      <c r="E2889" s="3">
        <v>6</v>
      </c>
      <c r="F2889" s="4" t="str">
        <f>HYPERLINK("http://141.218.60.56/~jnz1568/getInfo.php?workbook=18_15.xlsx&amp;sheet=U0&amp;row=2889&amp;col=6&amp;number=3.5&amp;sourceID=14","3.5")</f>
        <v>3.5</v>
      </c>
      <c r="G2889" s="4" t="str">
        <f>HYPERLINK("http://141.218.60.56/~jnz1568/getInfo.php?workbook=18_15.xlsx&amp;sheet=U0&amp;row=2889&amp;col=7&amp;number=0.427&amp;sourceID=14","0.427")</f>
        <v>0.427</v>
      </c>
    </row>
    <row r="2890" spans="1:7">
      <c r="A2890" s="3"/>
      <c r="B2890" s="3"/>
      <c r="C2890" s="3"/>
      <c r="D2890" s="3"/>
      <c r="E2890" s="3">
        <v>7</v>
      </c>
      <c r="F2890" s="4" t="str">
        <f>HYPERLINK("http://141.218.60.56/~jnz1568/getInfo.php?workbook=18_15.xlsx&amp;sheet=U0&amp;row=2890&amp;col=6&amp;number=3.6&amp;sourceID=14","3.6")</f>
        <v>3.6</v>
      </c>
      <c r="G2890" s="4" t="str">
        <f>HYPERLINK("http://141.218.60.56/~jnz1568/getInfo.php?workbook=18_15.xlsx&amp;sheet=U0&amp;row=2890&amp;col=7&amp;number=0.422&amp;sourceID=14","0.422")</f>
        <v>0.422</v>
      </c>
    </row>
    <row r="2891" spans="1:7">
      <c r="A2891" s="3"/>
      <c r="B2891" s="3"/>
      <c r="C2891" s="3"/>
      <c r="D2891" s="3"/>
      <c r="E2891" s="3">
        <v>8</v>
      </c>
      <c r="F2891" s="4" t="str">
        <f>HYPERLINK("http://141.218.60.56/~jnz1568/getInfo.php?workbook=18_15.xlsx&amp;sheet=U0&amp;row=2891&amp;col=6&amp;number=3.7&amp;sourceID=14","3.7")</f>
        <v>3.7</v>
      </c>
      <c r="G2891" s="4" t="str">
        <f>HYPERLINK("http://141.218.60.56/~jnz1568/getInfo.php?workbook=18_15.xlsx&amp;sheet=U0&amp;row=2891&amp;col=7&amp;number=0.416&amp;sourceID=14","0.416")</f>
        <v>0.416</v>
      </c>
    </row>
    <row r="2892" spans="1:7">
      <c r="A2892" s="3"/>
      <c r="B2892" s="3"/>
      <c r="C2892" s="3"/>
      <c r="D2892" s="3"/>
      <c r="E2892" s="3">
        <v>9</v>
      </c>
      <c r="F2892" s="4" t="str">
        <f>HYPERLINK("http://141.218.60.56/~jnz1568/getInfo.php?workbook=18_15.xlsx&amp;sheet=U0&amp;row=2892&amp;col=6&amp;number=3.8&amp;sourceID=14","3.8")</f>
        <v>3.8</v>
      </c>
      <c r="G2892" s="4" t="str">
        <f>HYPERLINK("http://141.218.60.56/~jnz1568/getInfo.php?workbook=18_15.xlsx&amp;sheet=U0&amp;row=2892&amp;col=7&amp;number=0.408&amp;sourceID=14","0.408")</f>
        <v>0.408</v>
      </c>
    </row>
    <row r="2893" spans="1:7">
      <c r="A2893" s="3"/>
      <c r="B2893" s="3"/>
      <c r="C2893" s="3"/>
      <c r="D2893" s="3"/>
      <c r="E2893" s="3">
        <v>10</v>
      </c>
      <c r="F2893" s="4" t="str">
        <f>HYPERLINK("http://141.218.60.56/~jnz1568/getInfo.php?workbook=18_15.xlsx&amp;sheet=U0&amp;row=2893&amp;col=6&amp;number=3.9&amp;sourceID=14","3.9")</f>
        <v>3.9</v>
      </c>
      <c r="G2893" s="4" t="str">
        <f>HYPERLINK("http://141.218.60.56/~jnz1568/getInfo.php?workbook=18_15.xlsx&amp;sheet=U0&amp;row=2893&amp;col=7&amp;number=0.398&amp;sourceID=14","0.398")</f>
        <v>0.398</v>
      </c>
    </row>
    <row r="2894" spans="1:7">
      <c r="A2894" s="3"/>
      <c r="B2894" s="3"/>
      <c r="C2894" s="3"/>
      <c r="D2894" s="3"/>
      <c r="E2894" s="3">
        <v>11</v>
      </c>
      <c r="F2894" s="4" t="str">
        <f>HYPERLINK("http://141.218.60.56/~jnz1568/getInfo.php?workbook=18_15.xlsx&amp;sheet=U0&amp;row=2894&amp;col=6&amp;number=4&amp;sourceID=14","4")</f>
        <v>4</v>
      </c>
      <c r="G2894" s="4" t="str">
        <f>HYPERLINK("http://141.218.60.56/~jnz1568/getInfo.php?workbook=18_15.xlsx&amp;sheet=U0&amp;row=2894&amp;col=7&amp;number=0.385&amp;sourceID=14","0.385")</f>
        <v>0.385</v>
      </c>
    </row>
    <row r="2895" spans="1:7">
      <c r="A2895" s="3"/>
      <c r="B2895" s="3"/>
      <c r="C2895" s="3"/>
      <c r="D2895" s="3"/>
      <c r="E2895" s="3">
        <v>12</v>
      </c>
      <c r="F2895" s="4" t="str">
        <f>HYPERLINK("http://141.218.60.56/~jnz1568/getInfo.php?workbook=18_15.xlsx&amp;sheet=U0&amp;row=2895&amp;col=6&amp;number=4.1&amp;sourceID=14","4.1")</f>
        <v>4.1</v>
      </c>
      <c r="G2895" s="4" t="str">
        <f>HYPERLINK("http://141.218.60.56/~jnz1568/getInfo.php?workbook=18_15.xlsx&amp;sheet=U0&amp;row=2895&amp;col=7&amp;number=0.37&amp;sourceID=14","0.37")</f>
        <v>0.37</v>
      </c>
    </row>
    <row r="2896" spans="1:7">
      <c r="A2896" s="3"/>
      <c r="B2896" s="3"/>
      <c r="C2896" s="3"/>
      <c r="D2896" s="3"/>
      <c r="E2896" s="3">
        <v>13</v>
      </c>
      <c r="F2896" s="4" t="str">
        <f>HYPERLINK("http://141.218.60.56/~jnz1568/getInfo.php?workbook=18_15.xlsx&amp;sheet=U0&amp;row=2896&amp;col=6&amp;number=4.2&amp;sourceID=14","4.2")</f>
        <v>4.2</v>
      </c>
      <c r="G2896" s="4" t="str">
        <f>HYPERLINK("http://141.218.60.56/~jnz1568/getInfo.php?workbook=18_15.xlsx&amp;sheet=U0&amp;row=2896&amp;col=7&amp;number=0.353&amp;sourceID=14","0.353")</f>
        <v>0.353</v>
      </c>
    </row>
    <row r="2897" spans="1:7">
      <c r="A2897" s="3"/>
      <c r="B2897" s="3"/>
      <c r="C2897" s="3"/>
      <c r="D2897" s="3"/>
      <c r="E2897" s="3">
        <v>14</v>
      </c>
      <c r="F2897" s="4" t="str">
        <f>HYPERLINK("http://141.218.60.56/~jnz1568/getInfo.php?workbook=18_15.xlsx&amp;sheet=U0&amp;row=2897&amp;col=6&amp;number=4.3&amp;sourceID=14","4.3")</f>
        <v>4.3</v>
      </c>
      <c r="G2897" s="4" t="str">
        <f>HYPERLINK("http://141.218.60.56/~jnz1568/getInfo.php?workbook=18_15.xlsx&amp;sheet=U0&amp;row=2897&amp;col=7&amp;number=0.336&amp;sourceID=14","0.336")</f>
        <v>0.336</v>
      </c>
    </row>
    <row r="2898" spans="1:7">
      <c r="A2898" s="3"/>
      <c r="B2898" s="3"/>
      <c r="C2898" s="3"/>
      <c r="D2898" s="3"/>
      <c r="E2898" s="3">
        <v>15</v>
      </c>
      <c r="F2898" s="4" t="str">
        <f>HYPERLINK("http://141.218.60.56/~jnz1568/getInfo.php?workbook=18_15.xlsx&amp;sheet=U0&amp;row=2898&amp;col=6&amp;number=4.4&amp;sourceID=14","4.4")</f>
        <v>4.4</v>
      </c>
      <c r="G2898" s="4" t="str">
        <f>HYPERLINK("http://141.218.60.56/~jnz1568/getInfo.php?workbook=18_15.xlsx&amp;sheet=U0&amp;row=2898&amp;col=7&amp;number=0.322&amp;sourceID=14","0.322")</f>
        <v>0.322</v>
      </c>
    </row>
    <row r="2899" spans="1:7">
      <c r="A2899" s="3"/>
      <c r="B2899" s="3"/>
      <c r="C2899" s="3"/>
      <c r="D2899" s="3"/>
      <c r="E2899" s="3">
        <v>16</v>
      </c>
      <c r="F2899" s="4" t="str">
        <f>HYPERLINK("http://141.218.60.56/~jnz1568/getInfo.php?workbook=18_15.xlsx&amp;sheet=U0&amp;row=2899&amp;col=6&amp;number=4.5&amp;sourceID=14","4.5")</f>
        <v>4.5</v>
      </c>
      <c r="G2899" s="4" t="str">
        <f>HYPERLINK("http://141.218.60.56/~jnz1568/getInfo.php?workbook=18_15.xlsx&amp;sheet=U0&amp;row=2899&amp;col=7&amp;number=0.31&amp;sourceID=14","0.31")</f>
        <v>0.31</v>
      </c>
    </row>
    <row r="2900" spans="1:7">
      <c r="A2900" s="3"/>
      <c r="B2900" s="3"/>
      <c r="C2900" s="3"/>
      <c r="D2900" s="3"/>
      <c r="E2900" s="3">
        <v>17</v>
      </c>
      <c r="F2900" s="4" t="str">
        <f>HYPERLINK("http://141.218.60.56/~jnz1568/getInfo.php?workbook=18_15.xlsx&amp;sheet=U0&amp;row=2900&amp;col=6&amp;number=4.6&amp;sourceID=14","4.6")</f>
        <v>4.6</v>
      </c>
      <c r="G2900" s="4" t="str">
        <f>HYPERLINK("http://141.218.60.56/~jnz1568/getInfo.php?workbook=18_15.xlsx&amp;sheet=U0&amp;row=2900&amp;col=7&amp;number=0.297&amp;sourceID=14","0.297")</f>
        <v>0.297</v>
      </c>
    </row>
    <row r="2901" spans="1:7">
      <c r="A2901" s="3"/>
      <c r="B2901" s="3"/>
      <c r="C2901" s="3"/>
      <c r="D2901" s="3"/>
      <c r="E2901" s="3">
        <v>18</v>
      </c>
      <c r="F2901" s="4" t="str">
        <f>HYPERLINK("http://141.218.60.56/~jnz1568/getInfo.php?workbook=18_15.xlsx&amp;sheet=U0&amp;row=2901&amp;col=6&amp;number=4.7&amp;sourceID=14","4.7")</f>
        <v>4.7</v>
      </c>
      <c r="G2901" s="4" t="str">
        <f>HYPERLINK("http://141.218.60.56/~jnz1568/getInfo.php?workbook=18_15.xlsx&amp;sheet=U0&amp;row=2901&amp;col=7&amp;number=0.285&amp;sourceID=14","0.285")</f>
        <v>0.285</v>
      </c>
    </row>
    <row r="2902" spans="1:7">
      <c r="A2902" s="3"/>
      <c r="B2902" s="3"/>
      <c r="C2902" s="3"/>
      <c r="D2902" s="3"/>
      <c r="E2902" s="3">
        <v>19</v>
      </c>
      <c r="F2902" s="4" t="str">
        <f>HYPERLINK("http://141.218.60.56/~jnz1568/getInfo.php?workbook=18_15.xlsx&amp;sheet=U0&amp;row=2902&amp;col=6&amp;number=4.8&amp;sourceID=14","4.8")</f>
        <v>4.8</v>
      </c>
      <c r="G2902" s="4" t="str">
        <f>HYPERLINK("http://141.218.60.56/~jnz1568/getInfo.php?workbook=18_15.xlsx&amp;sheet=U0&amp;row=2902&amp;col=7&amp;number=0.274&amp;sourceID=14","0.274")</f>
        <v>0.274</v>
      </c>
    </row>
    <row r="2903" spans="1:7">
      <c r="A2903" s="3"/>
      <c r="B2903" s="3"/>
      <c r="C2903" s="3"/>
      <c r="D2903" s="3"/>
      <c r="E2903" s="3">
        <v>20</v>
      </c>
      <c r="F2903" s="4" t="str">
        <f>HYPERLINK("http://141.218.60.56/~jnz1568/getInfo.php?workbook=18_15.xlsx&amp;sheet=U0&amp;row=2903&amp;col=6&amp;number=4.9&amp;sourceID=14","4.9")</f>
        <v>4.9</v>
      </c>
      <c r="G2903" s="4" t="str">
        <f>HYPERLINK("http://141.218.60.56/~jnz1568/getInfo.php?workbook=18_15.xlsx&amp;sheet=U0&amp;row=2903&amp;col=7&amp;number=0.265&amp;sourceID=14","0.265")</f>
        <v>0.265</v>
      </c>
    </row>
    <row r="2904" spans="1:7">
      <c r="A2904" s="3">
        <v>18</v>
      </c>
      <c r="B2904" s="3">
        <v>15</v>
      </c>
      <c r="C2904" s="3">
        <v>11</v>
      </c>
      <c r="D2904" s="3">
        <v>25</v>
      </c>
      <c r="E2904" s="3">
        <v>1</v>
      </c>
      <c r="F2904" s="4" t="str">
        <f>HYPERLINK("http://141.218.60.56/~jnz1568/getInfo.php?workbook=18_15.xlsx&amp;sheet=U0&amp;row=2904&amp;col=6&amp;number=3&amp;sourceID=14","3")</f>
        <v>3</v>
      </c>
      <c r="G2904" s="4" t="str">
        <f>HYPERLINK("http://141.218.60.56/~jnz1568/getInfo.php?workbook=18_15.xlsx&amp;sheet=U0&amp;row=2904&amp;col=7&amp;number=0.1&amp;sourceID=14","0.1")</f>
        <v>0.1</v>
      </c>
    </row>
    <row r="2905" spans="1:7">
      <c r="A2905" s="3"/>
      <c r="B2905" s="3"/>
      <c r="C2905" s="3"/>
      <c r="D2905" s="3"/>
      <c r="E2905" s="3">
        <v>2</v>
      </c>
      <c r="F2905" s="4" t="str">
        <f>HYPERLINK("http://141.218.60.56/~jnz1568/getInfo.php?workbook=18_15.xlsx&amp;sheet=U0&amp;row=2905&amp;col=6&amp;number=3.1&amp;sourceID=14","3.1")</f>
        <v>3.1</v>
      </c>
      <c r="G2905" s="4" t="str">
        <f>HYPERLINK("http://141.218.60.56/~jnz1568/getInfo.php?workbook=18_15.xlsx&amp;sheet=U0&amp;row=2905&amp;col=7&amp;number=0.102&amp;sourceID=14","0.102")</f>
        <v>0.102</v>
      </c>
    </row>
    <row r="2906" spans="1:7">
      <c r="A2906" s="3"/>
      <c r="B2906" s="3"/>
      <c r="C2906" s="3"/>
      <c r="D2906" s="3"/>
      <c r="E2906" s="3">
        <v>3</v>
      </c>
      <c r="F2906" s="4" t="str">
        <f>HYPERLINK("http://141.218.60.56/~jnz1568/getInfo.php?workbook=18_15.xlsx&amp;sheet=U0&amp;row=2906&amp;col=6&amp;number=3.2&amp;sourceID=14","3.2")</f>
        <v>3.2</v>
      </c>
      <c r="G2906" s="4" t="str">
        <f>HYPERLINK("http://141.218.60.56/~jnz1568/getInfo.php?workbook=18_15.xlsx&amp;sheet=U0&amp;row=2906&amp;col=7&amp;number=0.103&amp;sourceID=14","0.103")</f>
        <v>0.103</v>
      </c>
    </row>
    <row r="2907" spans="1:7">
      <c r="A2907" s="3"/>
      <c r="B2907" s="3"/>
      <c r="C2907" s="3"/>
      <c r="D2907" s="3"/>
      <c r="E2907" s="3">
        <v>4</v>
      </c>
      <c r="F2907" s="4" t="str">
        <f>HYPERLINK("http://141.218.60.56/~jnz1568/getInfo.php?workbook=18_15.xlsx&amp;sheet=U0&amp;row=2907&amp;col=6&amp;number=3.3&amp;sourceID=14","3.3")</f>
        <v>3.3</v>
      </c>
      <c r="G2907" s="4" t="str">
        <f>HYPERLINK("http://141.218.60.56/~jnz1568/getInfo.php?workbook=18_15.xlsx&amp;sheet=U0&amp;row=2907&amp;col=7&amp;number=0.105&amp;sourceID=14","0.105")</f>
        <v>0.105</v>
      </c>
    </row>
    <row r="2908" spans="1:7">
      <c r="A2908" s="3"/>
      <c r="B2908" s="3"/>
      <c r="C2908" s="3"/>
      <c r="D2908" s="3"/>
      <c r="E2908" s="3">
        <v>5</v>
      </c>
      <c r="F2908" s="4" t="str">
        <f>HYPERLINK("http://141.218.60.56/~jnz1568/getInfo.php?workbook=18_15.xlsx&amp;sheet=U0&amp;row=2908&amp;col=6&amp;number=3.4&amp;sourceID=14","3.4")</f>
        <v>3.4</v>
      </c>
      <c r="G2908" s="4" t="str">
        <f>HYPERLINK("http://141.218.60.56/~jnz1568/getInfo.php?workbook=18_15.xlsx&amp;sheet=U0&amp;row=2908&amp;col=7&amp;number=0.108&amp;sourceID=14","0.108")</f>
        <v>0.108</v>
      </c>
    </row>
    <row r="2909" spans="1:7">
      <c r="A2909" s="3"/>
      <c r="B2909" s="3"/>
      <c r="C2909" s="3"/>
      <c r="D2909" s="3"/>
      <c r="E2909" s="3">
        <v>6</v>
      </c>
      <c r="F2909" s="4" t="str">
        <f>HYPERLINK("http://141.218.60.56/~jnz1568/getInfo.php?workbook=18_15.xlsx&amp;sheet=U0&amp;row=2909&amp;col=6&amp;number=3.5&amp;sourceID=14","3.5")</f>
        <v>3.5</v>
      </c>
      <c r="G2909" s="4" t="str">
        <f>HYPERLINK("http://141.218.60.56/~jnz1568/getInfo.php?workbook=18_15.xlsx&amp;sheet=U0&amp;row=2909&amp;col=7&amp;number=0.111&amp;sourceID=14","0.111")</f>
        <v>0.111</v>
      </c>
    </row>
    <row r="2910" spans="1:7">
      <c r="A2910" s="3"/>
      <c r="B2910" s="3"/>
      <c r="C2910" s="3"/>
      <c r="D2910" s="3"/>
      <c r="E2910" s="3">
        <v>7</v>
      </c>
      <c r="F2910" s="4" t="str">
        <f>HYPERLINK("http://141.218.60.56/~jnz1568/getInfo.php?workbook=18_15.xlsx&amp;sheet=U0&amp;row=2910&amp;col=6&amp;number=3.6&amp;sourceID=14","3.6")</f>
        <v>3.6</v>
      </c>
      <c r="G2910" s="4" t="str">
        <f>HYPERLINK("http://141.218.60.56/~jnz1568/getInfo.php?workbook=18_15.xlsx&amp;sheet=U0&amp;row=2910&amp;col=7&amp;number=0.115&amp;sourceID=14","0.115")</f>
        <v>0.115</v>
      </c>
    </row>
    <row r="2911" spans="1:7">
      <c r="A2911" s="3"/>
      <c r="B2911" s="3"/>
      <c r="C2911" s="3"/>
      <c r="D2911" s="3"/>
      <c r="E2911" s="3">
        <v>8</v>
      </c>
      <c r="F2911" s="4" t="str">
        <f>HYPERLINK("http://141.218.60.56/~jnz1568/getInfo.php?workbook=18_15.xlsx&amp;sheet=U0&amp;row=2911&amp;col=6&amp;number=3.7&amp;sourceID=14","3.7")</f>
        <v>3.7</v>
      </c>
      <c r="G2911" s="4" t="str">
        <f>HYPERLINK("http://141.218.60.56/~jnz1568/getInfo.php?workbook=18_15.xlsx&amp;sheet=U0&amp;row=2911&amp;col=7&amp;number=0.119&amp;sourceID=14","0.119")</f>
        <v>0.119</v>
      </c>
    </row>
    <row r="2912" spans="1:7">
      <c r="A2912" s="3"/>
      <c r="B2912" s="3"/>
      <c r="C2912" s="3"/>
      <c r="D2912" s="3"/>
      <c r="E2912" s="3">
        <v>9</v>
      </c>
      <c r="F2912" s="4" t="str">
        <f>HYPERLINK("http://141.218.60.56/~jnz1568/getInfo.php?workbook=18_15.xlsx&amp;sheet=U0&amp;row=2912&amp;col=6&amp;number=3.8&amp;sourceID=14","3.8")</f>
        <v>3.8</v>
      </c>
      <c r="G2912" s="4" t="str">
        <f>HYPERLINK("http://141.218.60.56/~jnz1568/getInfo.php?workbook=18_15.xlsx&amp;sheet=U0&amp;row=2912&amp;col=7&amp;number=0.124&amp;sourceID=14","0.124")</f>
        <v>0.124</v>
      </c>
    </row>
    <row r="2913" spans="1:7">
      <c r="A2913" s="3"/>
      <c r="B2913" s="3"/>
      <c r="C2913" s="3"/>
      <c r="D2913" s="3"/>
      <c r="E2913" s="3">
        <v>10</v>
      </c>
      <c r="F2913" s="4" t="str">
        <f>HYPERLINK("http://141.218.60.56/~jnz1568/getInfo.php?workbook=18_15.xlsx&amp;sheet=U0&amp;row=2913&amp;col=6&amp;number=3.9&amp;sourceID=14","3.9")</f>
        <v>3.9</v>
      </c>
      <c r="G2913" s="4" t="str">
        <f>HYPERLINK("http://141.218.60.56/~jnz1568/getInfo.php?workbook=18_15.xlsx&amp;sheet=U0&amp;row=2913&amp;col=7&amp;number=0.13&amp;sourceID=14","0.13")</f>
        <v>0.13</v>
      </c>
    </row>
    <row r="2914" spans="1:7">
      <c r="A2914" s="3"/>
      <c r="B2914" s="3"/>
      <c r="C2914" s="3"/>
      <c r="D2914" s="3"/>
      <c r="E2914" s="3">
        <v>11</v>
      </c>
      <c r="F2914" s="4" t="str">
        <f>HYPERLINK("http://141.218.60.56/~jnz1568/getInfo.php?workbook=18_15.xlsx&amp;sheet=U0&amp;row=2914&amp;col=6&amp;number=4&amp;sourceID=14","4")</f>
        <v>4</v>
      </c>
      <c r="G2914" s="4" t="str">
        <f>HYPERLINK("http://141.218.60.56/~jnz1568/getInfo.php?workbook=18_15.xlsx&amp;sheet=U0&amp;row=2914&amp;col=7&amp;number=0.135&amp;sourceID=14","0.135")</f>
        <v>0.135</v>
      </c>
    </row>
    <row r="2915" spans="1:7">
      <c r="A2915" s="3"/>
      <c r="B2915" s="3"/>
      <c r="C2915" s="3"/>
      <c r="D2915" s="3"/>
      <c r="E2915" s="3">
        <v>12</v>
      </c>
      <c r="F2915" s="4" t="str">
        <f>HYPERLINK("http://141.218.60.56/~jnz1568/getInfo.php?workbook=18_15.xlsx&amp;sheet=U0&amp;row=2915&amp;col=6&amp;number=4.1&amp;sourceID=14","4.1")</f>
        <v>4.1</v>
      </c>
      <c r="G2915" s="4" t="str">
        <f>HYPERLINK("http://141.218.60.56/~jnz1568/getInfo.php?workbook=18_15.xlsx&amp;sheet=U0&amp;row=2915&amp;col=7&amp;number=0.14&amp;sourceID=14","0.14")</f>
        <v>0.14</v>
      </c>
    </row>
    <row r="2916" spans="1:7">
      <c r="A2916" s="3"/>
      <c r="B2916" s="3"/>
      <c r="C2916" s="3"/>
      <c r="D2916" s="3"/>
      <c r="E2916" s="3">
        <v>13</v>
      </c>
      <c r="F2916" s="4" t="str">
        <f>HYPERLINK("http://141.218.60.56/~jnz1568/getInfo.php?workbook=18_15.xlsx&amp;sheet=U0&amp;row=2916&amp;col=6&amp;number=4.2&amp;sourceID=14","4.2")</f>
        <v>4.2</v>
      </c>
      <c r="G2916" s="4" t="str">
        <f>HYPERLINK("http://141.218.60.56/~jnz1568/getInfo.php?workbook=18_15.xlsx&amp;sheet=U0&amp;row=2916&amp;col=7&amp;number=0.145&amp;sourceID=14","0.145")</f>
        <v>0.145</v>
      </c>
    </row>
    <row r="2917" spans="1:7">
      <c r="A2917" s="3"/>
      <c r="B2917" s="3"/>
      <c r="C2917" s="3"/>
      <c r="D2917" s="3"/>
      <c r="E2917" s="3">
        <v>14</v>
      </c>
      <c r="F2917" s="4" t="str">
        <f>HYPERLINK("http://141.218.60.56/~jnz1568/getInfo.php?workbook=18_15.xlsx&amp;sheet=U0&amp;row=2917&amp;col=6&amp;number=4.3&amp;sourceID=14","4.3")</f>
        <v>4.3</v>
      </c>
      <c r="G2917" s="4" t="str">
        <f>HYPERLINK("http://141.218.60.56/~jnz1568/getInfo.php?workbook=18_15.xlsx&amp;sheet=U0&amp;row=2917&amp;col=7&amp;number=0.149&amp;sourceID=14","0.149")</f>
        <v>0.149</v>
      </c>
    </row>
    <row r="2918" spans="1:7">
      <c r="A2918" s="3"/>
      <c r="B2918" s="3"/>
      <c r="C2918" s="3"/>
      <c r="D2918" s="3"/>
      <c r="E2918" s="3">
        <v>15</v>
      </c>
      <c r="F2918" s="4" t="str">
        <f>HYPERLINK("http://141.218.60.56/~jnz1568/getInfo.php?workbook=18_15.xlsx&amp;sheet=U0&amp;row=2918&amp;col=6&amp;number=4.4&amp;sourceID=14","4.4")</f>
        <v>4.4</v>
      </c>
      <c r="G2918" s="4" t="str">
        <f>HYPERLINK("http://141.218.60.56/~jnz1568/getInfo.php?workbook=18_15.xlsx&amp;sheet=U0&amp;row=2918&amp;col=7&amp;number=0.154&amp;sourceID=14","0.154")</f>
        <v>0.154</v>
      </c>
    </row>
    <row r="2919" spans="1:7">
      <c r="A2919" s="3"/>
      <c r="B2919" s="3"/>
      <c r="C2919" s="3"/>
      <c r="D2919" s="3"/>
      <c r="E2919" s="3">
        <v>16</v>
      </c>
      <c r="F2919" s="4" t="str">
        <f>HYPERLINK("http://141.218.60.56/~jnz1568/getInfo.php?workbook=18_15.xlsx&amp;sheet=U0&amp;row=2919&amp;col=6&amp;number=4.5&amp;sourceID=14","4.5")</f>
        <v>4.5</v>
      </c>
      <c r="G2919" s="4" t="str">
        <f>HYPERLINK("http://141.218.60.56/~jnz1568/getInfo.php?workbook=18_15.xlsx&amp;sheet=U0&amp;row=2919&amp;col=7&amp;number=0.159&amp;sourceID=14","0.159")</f>
        <v>0.159</v>
      </c>
    </row>
    <row r="2920" spans="1:7">
      <c r="A2920" s="3"/>
      <c r="B2920" s="3"/>
      <c r="C2920" s="3"/>
      <c r="D2920" s="3"/>
      <c r="E2920" s="3">
        <v>17</v>
      </c>
      <c r="F2920" s="4" t="str">
        <f>HYPERLINK("http://141.218.60.56/~jnz1568/getInfo.php?workbook=18_15.xlsx&amp;sheet=U0&amp;row=2920&amp;col=6&amp;number=4.6&amp;sourceID=14","4.6")</f>
        <v>4.6</v>
      </c>
      <c r="G2920" s="4" t="str">
        <f>HYPERLINK("http://141.218.60.56/~jnz1568/getInfo.php?workbook=18_15.xlsx&amp;sheet=U0&amp;row=2920&amp;col=7&amp;number=0.162&amp;sourceID=14","0.162")</f>
        <v>0.162</v>
      </c>
    </row>
    <row r="2921" spans="1:7">
      <c r="A2921" s="3"/>
      <c r="B2921" s="3"/>
      <c r="C2921" s="3"/>
      <c r="D2921" s="3"/>
      <c r="E2921" s="3">
        <v>18</v>
      </c>
      <c r="F2921" s="4" t="str">
        <f>HYPERLINK("http://141.218.60.56/~jnz1568/getInfo.php?workbook=18_15.xlsx&amp;sheet=U0&amp;row=2921&amp;col=6&amp;number=4.7&amp;sourceID=14","4.7")</f>
        <v>4.7</v>
      </c>
      <c r="G2921" s="4" t="str">
        <f>HYPERLINK("http://141.218.60.56/~jnz1568/getInfo.php?workbook=18_15.xlsx&amp;sheet=U0&amp;row=2921&amp;col=7&amp;number=0.165&amp;sourceID=14","0.165")</f>
        <v>0.165</v>
      </c>
    </row>
    <row r="2922" spans="1:7">
      <c r="A2922" s="3"/>
      <c r="B2922" s="3"/>
      <c r="C2922" s="3"/>
      <c r="D2922" s="3"/>
      <c r="E2922" s="3">
        <v>19</v>
      </c>
      <c r="F2922" s="4" t="str">
        <f>HYPERLINK("http://141.218.60.56/~jnz1568/getInfo.php?workbook=18_15.xlsx&amp;sheet=U0&amp;row=2922&amp;col=6&amp;number=4.8&amp;sourceID=14","4.8")</f>
        <v>4.8</v>
      </c>
      <c r="G2922" s="4" t="str">
        <f>HYPERLINK("http://141.218.60.56/~jnz1568/getInfo.php?workbook=18_15.xlsx&amp;sheet=U0&amp;row=2922&amp;col=7&amp;number=0.168&amp;sourceID=14","0.168")</f>
        <v>0.168</v>
      </c>
    </row>
    <row r="2923" spans="1:7">
      <c r="A2923" s="3"/>
      <c r="B2923" s="3"/>
      <c r="C2923" s="3"/>
      <c r="D2923" s="3"/>
      <c r="E2923" s="3">
        <v>20</v>
      </c>
      <c r="F2923" s="4" t="str">
        <f>HYPERLINK("http://141.218.60.56/~jnz1568/getInfo.php?workbook=18_15.xlsx&amp;sheet=U0&amp;row=2923&amp;col=6&amp;number=4.9&amp;sourceID=14","4.9")</f>
        <v>4.9</v>
      </c>
      <c r="G2923" s="4" t="str">
        <f>HYPERLINK("http://141.218.60.56/~jnz1568/getInfo.php?workbook=18_15.xlsx&amp;sheet=U0&amp;row=2923&amp;col=7&amp;number=0.171&amp;sourceID=14","0.171")</f>
        <v>0.171</v>
      </c>
    </row>
    <row r="2924" spans="1:7">
      <c r="A2924" s="3">
        <v>18</v>
      </c>
      <c r="B2924" s="3">
        <v>15</v>
      </c>
      <c r="C2924" s="3">
        <v>12</v>
      </c>
      <c r="D2924" s="3">
        <v>17</v>
      </c>
      <c r="E2924" s="3">
        <v>1</v>
      </c>
      <c r="F2924" s="4" t="str">
        <f>HYPERLINK("http://141.218.60.56/~jnz1568/getInfo.php?workbook=18_15.xlsx&amp;sheet=U0&amp;row=2924&amp;col=6&amp;number=3&amp;sourceID=14","3")</f>
        <v>3</v>
      </c>
      <c r="G2924" s="4" t="str">
        <f>HYPERLINK("http://141.218.60.56/~jnz1568/getInfo.php?workbook=18_15.xlsx&amp;sheet=U0&amp;row=2924&amp;col=7&amp;number=0.566&amp;sourceID=14","0.566")</f>
        <v>0.566</v>
      </c>
    </row>
    <row r="2925" spans="1:7">
      <c r="A2925" s="3"/>
      <c r="B2925" s="3"/>
      <c r="C2925" s="3"/>
      <c r="D2925" s="3"/>
      <c r="E2925" s="3">
        <v>2</v>
      </c>
      <c r="F2925" s="4" t="str">
        <f>HYPERLINK("http://141.218.60.56/~jnz1568/getInfo.php?workbook=18_15.xlsx&amp;sheet=U0&amp;row=2925&amp;col=6&amp;number=3.1&amp;sourceID=14","3.1")</f>
        <v>3.1</v>
      </c>
      <c r="G2925" s="4" t="str">
        <f>HYPERLINK("http://141.218.60.56/~jnz1568/getInfo.php?workbook=18_15.xlsx&amp;sheet=U0&amp;row=2925&amp;col=7&amp;number=0.571&amp;sourceID=14","0.571")</f>
        <v>0.571</v>
      </c>
    </row>
    <row r="2926" spans="1:7">
      <c r="A2926" s="3"/>
      <c r="B2926" s="3"/>
      <c r="C2926" s="3"/>
      <c r="D2926" s="3"/>
      <c r="E2926" s="3">
        <v>3</v>
      </c>
      <c r="F2926" s="4" t="str">
        <f>HYPERLINK("http://141.218.60.56/~jnz1568/getInfo.php?workbook=18_15.xlsx&amp;sheet=U0&amp;row=2926&amp;col=6&amp;number=3.2&amp;sourceID=14","3.2")</f>
        <v>3.2</v>
      </c>
      <c r="G2926" s="4" t="str">
        <f>HYPERLINK("http://141.218.60.56/~jnz1568/getInfo.php?workbook=18_15.xlsx&amp;sheet=U0&amp;row=2926&amp;col=7&amp;number=0.576&amp;sourceID=14","0.576")</f>
        <v>0.576</v>
      </c>
    </row>
    <row r="2927" spans="1:7">
      <c r="A2927" s="3"/>
      <c r="B2927" s="3"/>
      <c r="C2927" s="3"/>
      <c r="D2927" s="3"/>
      <c r="E2927" s="3">
        <v>4</v>
      </c>
      <c r="F2927" s="4" t="str">
        <f>HYPERLINK("http://141.218.60.56/~jnz1568/getInfo.php?workbook=18_15.xlsx&amp;sheet=U0&amp;row=2927&amp;col=6&amp;number=3.3&amp;sourceID=14","3.3")</f>
        <v>3.3</v>
      </c>
      <c r="G2927" s="4" t="str">
        <f>HYPERLINK("http://141.218.60.56/~jnz1568/getInfo.php?workbook=18_15.xlsx&amp;sheet=U0&amp;row=2927&amp;col=7&amp;number=0.583&amp;sourceID=14","0.583")</f>
        <v>0.583</v>
      </c>
    </row>
    <row r="2928" spans="1:7">
      <c r="A2928" s="3"/>
      <c r="B2928" s="3"/>
      <c r="C2928" s="3"/>
      <c r="D2928" s="3"/>
      <c r="E2928" s="3">
        <v>5</v>
      </c>
      <c r="F2928" s="4" t="str">
        <f>HYPERLINK("http://141.218.60.56/~jnz1568/getInfo.php?workbook=18_15.xlsx&amp;sheet=U0&amp;row=2928&amp;col=6&amp;number=3.4&amp;sourceID=14","3.4")</f>
        <v>3.4</v>
      </c>
      <c r="G2928" s="4" t="str">
        <f>HYPERLINK("http://141.218.60.56/~jnz1568/getInfo.php?workbook=18_15.xlsx&amp;sheet=U0&amp;row=2928&amp;col=7&amp;number=0.59&amp;sourceID=14","0.59")</f>
        <v>0.59</v>
      </c>
    </row>
    <row r="2929" spans="1:7">
      <c r="A2929" s="3"/>
      <c r="B2929" s="3"/>
      <c r="C2929" s="3"/>
      <c r="D2929" s="3"/>
      <c r="E2929" s="3">
        <v>6</v>
      </c>
      <c r="F2929" s="4" t="str">
        <f>HYPERLINK("http://141.218.60.56/~jnz1568/getInfo.php?workbook=18_15.xlsx&amp;sheet=U0&amp;row=2929&amp;col=6&amp;number=3.5&amp;sourceID=14","3.5")</f>
        <v>3.5</v>
      </c>
      <c r="G2929" s="4" t="str">
        <f>HYPERLINK("http://141.218.60.56/~jnz1568/getInfo.php?workbook=18_15.xlsx&amp;sheet=U0&amp;row=2929&amp;col=7&amp;number=0.597&amp;sourceID=14","0.597")</f>
        <v>0.597</v>
      </c>
    </row>
    <row r="2930" spans="1:7">
      <c r="A2930" s="3"/>
      <c r="B2930" s="3"/>
      <c r="C2930" s="3"/>
      <c r="D2930" s="3"/>
      <c r="E2930" s="3">
        <v>7</v>
      </c>
      <c r="F2930" s="4" t="str">
        <f>HYPERLINK("http://141.218.60.56/~jnz1568/getInfo.php?workbook=18_15.xlsx&amp;sheet=U0&amp;row=2930&amp;col=6&amp;number=3.6&amp;sourceID=14","3.6")</f>
        <v>3.6</v>
      </c>
      <c r="G2930" s="4" t="str">
        <f>HYPERLINK("http://141.218.60.56/~jnz1568/getInfo.php?workbook=18_15.xlsx&amp;sheet=U0&amp;row=2930&amp;col=7&amp;number=0.602&amp;sourceID=14","0.602")</f>
        <v>0.602</v>
      </c>
    </row>
    <row r="2931" spans="1:7">
      <c r="A2931" s="3"/>
      <c r="B2931" s="3"/>
      <c r="C2931" s="3"/>
      <c r="D2931" s="3"/>
      <c r="E2931" s="3">
        <v>8</v>
      </c>
      <c r="F2931" s="4" t="str">
        <f>HYPERLINK("http://141.218.60.56/~jnz1568/getInfo.php?workbook=18_15.xlsx&amp;sheet=U0&amp;row=2931&amp;col=6&amp;number=3.7&amp;sourceID=14","3.7")</f>
        <v>3.7</v>
      </c>
      <c r="G2931" s="4" t="str">
        <f>HYPERLINK("http://141.218.60.56/~jnz1568/getInfo.php?workbook=18_15.xlsx&amp;sheet=U0&amp;row=2931&amp;col=7&amp;number=0.604&amp;sourceID=14","0.604")</f>
        <v>0.604</v>
      </c>
    </row>
    <row r="2932" spans="1:7">
      <c r="A2932" s="3"/>
      <c r="B2932" s="3"/>
      <c r="C2932" s="3"/>
      <c r="D2932" s="3"/>
      <c r="E2932" s="3">
        <v>9</v>
      </c>
      <c r="F2932" s="4" t="str">
        <f>HYPERLINK("http://141.218.60.56/~jnz1568/getInfo.php?workbook=18_15.xlsx&amp;sheet=U0&amp;row=2932&amp;col=6&amp;number=3.8&amp;sourceID=14","3.8")</f>
        <v>3.8</v>
      </c>
      <c r="G2932" s="4" t="str">
        <f>HYPERLINK("http://141.218.60.56/~jnz1568/getInfo.php?workbook=18_15.xlsx&amp;sheet=U0&amp;row=2932&amp;col=7&amp;number=0.599&amp;sourceID=14","0.599")</f>
        <v>0.599</v>
      </c>
    </row>
    <row r="2933" spans="1:7">
      <c r="A2933" s="3"/>
      <c r="B2933" s="3"/>
      <c r="C2933" s="3"/>
      <c r="D2933" s="3"/>
      <c r="E2933" s="3">
        <v>10</v>
      </c>
      <c r="F2933" s="4" t="str">
        <f>HYPERLINK("http://141.218.60.56/~jnz1568/getInfo.php?workbook=18_15.xlsx&amp;sheet=U0&amp;row=2933&amp;col=6&amp;number=3.9&amp;sourceID=14","3.9")</f>
        <v>3.9</v>
      </c>
      <c r="G2933" s="4" t="str">
        <f>HYPERLINK("http://141.218.60.56/~jnz1568/getInfo.php?workbook=18_15.xlsx&amp;sheet=U0&amp;row=2933&amp;col=7&amp;number=0.584&amp;sourceID=14","0.584")</f>
        <v>0.584</v>
      </c>
    </row>
    <row r="2934" spans="1:7">
      <c r="A2934" s="3"/>
      <c r="B2934" s="3"/>
      <c r="C2934" s="3"/>
      <c r="D2934" s="3"/>
      <c r="E2934" s="3">
        <v>11</v>
      </c>
      <c r="F2934" s="4" t="str">
        <f>HYPERLINK("http://141.218.60.56/~jnz1568/getInfo.php?workbook=18_15.xlsx&amp;sheet=U0&amp;row=2934&amp;col=6&amp;number=4&amp;sourceID=14","4")</f>
        <v>4</v>
      </c>
      <c r="G2934" s="4" t="str">
        <f>HYPERLINK("http://141.218.60.56/~jnz1568/getInfo.php?workbook=18_15.xlsx&amp;sheet=U0&amp;row=2934&amp;col=7&amp;number=0.561&amp;sourceID=14","0.561")</f>
        <v>0.561</v>
      </c>
    </row>
    <row r="2935" spans="1:7">
      <c r="A2935" s="3"/>
      <c r="B2935" s="3"/>
      <c r="C2935" s="3"/>
      <c r="D2935" s="3"/>
      <c r="E2935" s="3">
        <v>12</v>
      </c>
      <c r="F2935" s="4" t="str">
        <f>HYPERLINK("http://141.218.60.56/~jnz1568/getInfo.php?workbook=18_15.xlsx&amp;sheet=U0&amp;row=2935&amp;col=6&amp;number=4.1&amp;sourceID=14","4.1")</f>
        <v>4.1</v>
      </c>
      <c r="G2935" s="4" t="str">
        <f>HYPERLINK("http://141.218.60.56/~jnz1568/getInfo.php?workbook=18_15.xlsx&amp;sheet=U0&amp;row=2935&amp;col=7&amp;number=0.536&amp;sourceID=14","0.536")</f>
        <v>0.536</v>
      </c>
    </row>
    <row r="2936" spans="1:7">
      <c r="A2936" s="3"/>
      <c r="B2936" s="3"/>
      <c r="C2936" s="3"/>
      <c r="D2936" s="3"/>
      <c r="E2936" s="3">
        <v>13</v>
      </c>
      <c r="F2936" s="4" t="str">
        <f>HYPERLINK("http://141.218.60.56/~jnz1568/getInfo.php?workbook=18_15.xlsx&amp;sheet=U0&amp;row=2936&amp;col=6&amp;number=4.2&amp;sourceID=14","4.2")</f>
        <v>4.2</v>
      </c>
      <c r="G2936" s="4" t="str">
        <f>HYPERLINK("http://141.218.60.56/~jnz1568/getInfo.php?workbook=18_15.xlsx&amp;sheet=U0&amp;row=2936&amp;col=7&amp;number=0.518&amp;sourceID=14","0.518")</f>
        <v>0.518</v>
      </c>
    </row>
    <row r="2937" spans="1:7">
      <c r="A2937" s="3"/>
      <c r="B2937" s="3"/>
      <c r="C2937" s="3"/>
      <c r="D2937" s="3"/>
      <c r="E2937" s="3">
        <v>14</v>
      </c>
      <c r="F2937" s="4" t="str">
        <f>HYPERLINK("http://141.218.60.56/~jnz1568/getInfo.php?workbook=18_15.xlsx&amp;sheet=U0&amp;row=2937&amp;col=6&amp;number=4.3&amp;sourceID=14","4.3")</f>
        <v>4.3</v>
      </c>
      <c r="G2937" s="4" t="str">
        <f>HYPERLINK("http://141.218.60.56/~jnz1568/getInfo.php?workbook=18_15.xlsx&amp;sheet=U0&amp;row=2937&amp;col=7&amp;number=0.505&amp;sourceID=14","0.505")</f>
        <v>0.505</v>
      </c>
    </row>
    <row r="2938" spans="1:7">
      <c r="A2938" s="3"/>
      <c r="B2938" s="3"/>
      <c r="C2938" s="3"/>
      <c r="D2938" s="3"/>
      <c r="E2938" s="3">
        <v>15</v>
      </c>
      <c r="F2938" s="4" t="str">
        <f>HYPERLINK("http://141.218.60.56/~jnz1568/getInfo.php?workbook=18_15.xlsx&amp;sheet=U0&amp;row=2938&amp;col=6&amp;number=4.4&amp;sourceID=14","4.4")</f>
        <v>4.4</v>
      </c>
      <c r="G2938" s="4" t="str">
        <f>HYPERLINK("http://141.218.60.56/~jnz1568/getInfo.php?workbook=18_15.xlsx&amp;sheet=U0&amp;row=2938&amp;col=7&amp;number=0.493&amp;sourceID=14","0.493")</f>
        <v>0.493</v>
      </c>
    </row>
    <row r="2939" spans="1:7">
      <c r="A2939" s="3"/>
      <c r="B2939" s="3"/>
      <c r="C2939" s="3"/>
      <c r="D2939" s="3"/>
      <c r="E2939" s="3">
        <v>16</v>
      </c>
      <c r="F2939" s="4" t="str">
        <f>HYPERLINK("http://141.218.60.56/~jnz1568/getInfo.php?workbook=18_15.xlsx&amp;sheet=U0&amp;row=2939&amp;col=6&amp;number=4.5&amp;sourceID=14","4.5")</f>
        <v>4.5</v>
      </c>
      <c r="G2939" s="4" t="str">
        <f>HYPERLINK("http://141.218.60.56/~jnz1568/getInfo.php?workbook=18_15.xlsx&amp;sheet=U0&amp;row=2939&amp;col=7&amp;number=0.481&amp;sourceID=14","0.481")</f>
        <v>0.481</v>
      </c>
    </row>
    <row r="2940" spans="1:7">
      <c r="A2940" s="3"/>
      <c r="B2940" s="3"/>
      <c r="C2940" s="3"/>
      <c r="D2940" s="3"/>
      <c r="E2940" s="3">
        <v>17</v>
      </c>
      <c r="F2940" s="4" t="str">
        <f>HYPERLINK("http://141.218.60.56/~jnz1568/getInfo.php?workbook=18_15.xlsx&amp;sheet=U0&amp;row=2940&amp;col=6&amp;number=4.6&amp;sourceID=14","4.6")</f>
        <v>4.6</v>
      </c>
      <c r="G2940" s="4" t="str">
        <f>HYPERLINK("http://141.218.60.56/~jnz1568/getInfo.php?workbook=18_15.xlsx&amp;sheet=U0&amp;row=2940&amp;col=7&amp;number=0.473&amp;sourceID=14","0.473")</f>
        <v>0.473</v>
      </c>
    </row>
    <row r="2941" spans="1:7">
      <c r="A2941" s="3"/>
      <c r="B2941" s="3"/>
      <c r="C2941" s="3"/>
      <c r="D2941" s="3"/>
      <c r="E2941" s="3">
        <v>18</v>
      </c>
      <c r="F2941" s="4" t="str">
        <f>HYPERLINK("http://141.218.60.56/~jnz1568/getInfo.php?workbook=18_15.xlsx&amp;sheet=U0&amp;row=2941&amp;col=6&amp;number=4.7&amp;sourceID=14","4.7")</f>
        <v>4.7</v>
      </c>
      <c r="G2941" s="4" t="str">
        <f>HYPERLINK("http://141.218.60.56/~jnz1568/getInfo.php?workbook=18_15.xlsx&amp;sheet=U0&amp;row=2941&amp;col=7&amp;number=0.47&amp;sourceID=14","0.47")</f>
        <v>0.47</v>
      </c>
    </row>
    <row r="2942" spans="1:7">
      <c r="A2942" s="3"/>
      <c r="B2942" s="3"/>
      <c r="C2942" s="3"/>
      <c r="D2942" s="3"/>
      <c r="E2942" s="3">
        <v>19</v>
      </c>
      <c r="F2942" s="4" t="str">
        <f>HYPERLINK("http://141.218.60.56/~jnz1568/getInfo.php?workbook=18_15.xlsx&amp;sheet=U0&amp;row=2942&amp;col=6&amp;number=4.8&amp;sourceID=14","4.8")</f>
        <v>4.8</v>
      </c>
      <c r="G2942" s="4" t="str">
        <f>HYPERLINK("http://141.218.60.56/~jnz1568/getInfo.php?workbook=18_15.xlsx&amp;sheet=U0&amp;row=2942&amp;col=7&amp;number=0.466&amp;sourceID=14","0.466")</f>
        <v>0.466</v>
      </c>
    </row>
    <row r="2943" spans="1:7">
      <c r="A2943" s="3"/>
      <c r="B2943" s="3"/>
      <c r="C2943" s="3"/>
      <c r="D2943" s="3"/>
      <c r="E2943" s="3">
        <v>20</v>
      </c>
      <c r="F2943" s="4" t="str">
        <f>HYPERLINK("http://141.218.60.56/~jnz1568/getInfo.php?workbook=18_15.xlsx&amp;sheet=U0&amp;row=2943&amp;col=6&amp;number=4.9&amp;sourceID=14","4.9")</f>
        <v>4.9</v>
      </c>
      <c r="G2943" s="4" t="str">
        <f>HYPERLINK("http://141.218.60.56/~jnz1568/getInfo.php?workbook=18_15.xlsx&amp;sheet=U0&amp;row=2943&amp;col=7&amp;number=0.459&amp;sourceID=14","0.459")</f>
        <v>0.459</v>
      </c>
    </row>
    <row r="2944" spans="1:7">
      <c r="A2944" s="3">
        <v>18</v>
      </c>
      <c r="B2944" s="3">
        <v>15</v>
      </c>
      <c r="C2944" s="3">
        <v>12</v>
      </c>
      <c r="D2944" s="3">
        <v>25</v>
      </c>
      <c r="E2944" s="3">
        <v>1</v>
      </c>
      <c r="F2944" s="4" t="str">
        <f>HYPERLINK("http://141.218.60.56/~jnz1568/getInfo.php?workbook=18_15.xlsx&amp;sheet=U0&amp;row=2944&amp;col=6&amp;number=3&amp;sourceID=14","3")</f>
        <v>3</v>
      </c>
      <c r="G2944" s="4" t="str">
        <f>HYPERLINK("http://141.218.60.56/~jnz1568/getInfo.php?workbook=18_15.xlsx&amp;sheet=U0&amp;row=2944&amp;col=7&amp;number=0.205&amp;sourceID=14","0.205")</f>
        <v>0.205</v>
      </c>
    </row>
    <row r="2945" spans="1:7">
      <c r="A2945" s="3"/>
      <c r="B2945" s="3"/>
      <c r="C2945" s="3"/>
      <c r="D2945" s="3"/>
      <c r="E2945" s="3">
        <v>2</v>
      </c>
      <c r="F2945" s="4" t="str">
        <f>HYPERLINK("http://141.218.60.56/~jnz1568/getInfo.php?workbook=18_15.xlsx&amp;sheet=U0&amp;row=2945&amp;col=6&amp;number=3.1&amp;sourceID=14","3.1")</f>
        <v>3.1</v>
      </c>
      <c r="G2945" s="4" t="str">
        <f>HYPERLINK("http://141.218.60.56/~jnz1568/getInfo.php?workbook=18_15.xlsx&amp;sheet=U0&amp;row=2945&amp;col=7&amp;number=0.212&amp;sourceID=14","0.212")</f>
        <v>0.212</v>
      </c>
    </row>
    <row r="2946" spans="1:7">
      <c r="A2946" s="3"/>
      <c r="B2946" s="3"/>
      <c r="C2946" s="3"/>
      <c r="D2946" s="3"/>
      <c r="E2946" s="3">
        <v>3</v>
      </c>
      <c r="F2946" s="4" t="str">
        <f>HYPERLINK("http://141.218.60.56/~jnz1568/getInfo.php?workbook=18_15.xlsx&amp;sheet=U0&amp;row=2946&amp;col=6&amp;number=3.2&amp;sourceID=14","3.2")</f>
        <v>3.2</v>
      </c>
      <c r="G2946" s="4" t="str">
        <f>HYPERLINK("http://141.218.60.56/~jnz1568/getInfo.php?workbook=18_15.xlsx&amp;sheet=U0&amp;row=2946&amp;col=7&amp;number=0.221&amp;sourceID=14","0.221")</f>
        <v>0.221</v>
      </c>
    </row>
    <row r="2947" spans="1:7">
      <c r="A2947" s="3"/>
      <c r="B2947" s="3"/>
      <c r="C2947" s="3"/>
      <c r="D2947" s="3"/>
      <c r="E2947" s="3">
        <v>4</v>
      </c>
      <c r="F2947" s="4" t="str">
        <f>HYPERLINK("http://141.218.60.56/~jnz1568/getInfo.php?workbook=18_15.xlsx&amp;sheet=U0&amp;row=2947&amp;col=6&amp;number=3.3&amp;sourceID=14","3.3")</f>
        <v>3.3</v>
      </c>
      <c r="G2947" s="4" t="str">
        <f>HYPERLINK("http://141.218.60.56/~jnz1568/getInfo.php?workbook=18_15.xlsx&amp;sheet=U0&amp;row=2947&amp;col=7&amp;number=0.232&amp;sourceID=14","0.232")</f>
        <v>0.232</v>
      </c>
    </row>
    <row r="2948" spans="1:7">
      <c r="A2948" s="3"/>
      <c r="B2948" s="3"/>
      <c r="C2948" s="3"/>
      <c r="D2948" s="3"/>
      <c r="E2948" s="3">
        <v>5</v>
      </c>
      <c r="F2948" s="4" t="str">
        <f>HYPERLINK("http://141.218.60.56/~jnz1568/getInfo.php?workbook=18_15.xlsx&amp;sheet=U0&amp;row=2948&amp;col=6&amp;number=3.4&amp;sourceID=14","3.4")</f>
        <v>3.4</v>
      </c>
      <c r="G2948" s="4" t="str">
        <f>HYPERLINK("http://141.218.60.56/~jnz1568/getInfo.php?workbook=18_15.xlsx&amp;sheet=U0&amp;row=2948&amp;col=7&amp;number=0.246&amp;sourceID=14","0.246")</f>
        <v>0.246</v>
      </c>
    </row>
    <row r="2949" spans="1:7">
      <c r="A2949" s="3"/>
      <c r="B2949" s="3"/>
      <c r="C2949" s="3"/>
      <c r="D2949" s="3"/>
      <c r="E2949" s="3">
        <v>6</v>
      </c>
      <c r="F2949" s="4" t="str">
        <f>HYPERLINK("http://141.218.60.56/~jnz1568/getInfo.php?workbook=18_15.xlsx&amp;sheet=U0&amp;row=2949&amp;col=6&amp;number=3.5&amp;sourceID=14","3.5")</f>
        <v>3.5</v>
      </c>
      <c r="G2949" s="4" t="str">
        <f>HYPERLINK("http://141.218.60.56/~jnz1568/getInfo.php?workbook=18_15.xlsx&amp;sheet=U0&amp;row=2949&amp;col=7&amp;number=0.262&amp;sourceID=14","0.262")</f>
        <v>0.262</v>
      </c>
    </row>
    <row r="2950" spans="1:7">
      <c r="A2950" s="3"/>
      <c r="B2950" s="3"/>
      <c r="C2950" s="3"/>
      <c r="D2950" s="3"/>
      <c r="E2950" s="3">
        <v>7</v>
      </c>
      <c r="F2950" s="4" t="str">
        <f>HYPERLINK("http://141.218.60.56/~jnz1568/getInfo.php?workbook=18_15.xlsx&amp;sheet=U0&amp;row=2950&amp;col=6&amp;number=3.6&amp;sourceID=14","3.6")</f>
        <v>3.6</v>
      </c>
      <c r="G2950" s="4" t="str">
        <f>HYPERLINK("http://141.218.60.56/~jnz1568/getInfo.php?workbook=18_15.xlsx&amp;sheet=U0&amp;row=2950&amp;col=7&amp;number=0.281&amp;sourceID=14","0.281")</f>
        <v>0.281</v>
      </c>
    </row>
    <row r="2951" spans="1:7">
      <c r="A2951" s="3"/>
      <c r="B2951" s="3"/>
      <c r="C2951" s="3"/>
      <c r="D2951" s="3"/>
      <c r="E2951" s="3">
        <v>8</v>
      </c>
      <c r="F2951" s="4" t="str">
        <f>HYPERLINK("http://141.218.60.56/~jnz1568/getInfo.php?workbook=18_15.xlsx&amp;sheet=U0&amp;row=2951&amp;col=6&amp;number=3.7&amp;sourceID=14","3.7")</f>
        <v>3.7</v>
      </c>
      <c r="G2951" s="4" t="str">
        <f>HYPERLINK("http://141.218.60.56/~jnz1568/getInfo.php?workbook=18_15.xlsx&amp;sheet=U0&amp;row=2951&amp;col=7&amp;number=0.304&amp;sourceID=14","0.304")</f>
        <v>0.304</v>
      </c>
    </row>
    <row r="2952" spans="1:7">
      <c r="A2952" s="3"/>
      <c r="B2952" s="3"/>
      <c r="C2952" s="3"/>
      <c r="D2952" s="3"/>
      <c r="E2952" s="3">
        <v>9</v>
      </c>
      <c r="F2952" s="4" t="str">
        <f>HYPERLINK("http://141.218.60.56/~jnz1568/getInfo.php?workbook=18_15.xlsx&amp;sheet=U0&amp;row=2952&amp;col=6&amp;number=3.8&amp;sourceID=14","3.8")</f>
        <v>3.8</v>
      </c>
      <c r="G2952" s="4" t="str">
        <f>HYPERLINK("http://141.218.60.56/~jnz1568/getInfo.php?workbook=18_15.xlsx&amp;sheet=U0&amp;row=2952&amp;col=7&amp;number=0.328&amp;sourceID=14","0.328")</f>
        <v>0.328</v>
      </c>
    </row>
    <row r="2953" spans="1:7">
      <c r="A2953" s="3"/>
      <c r="B2953" s="3"/>
      <c r="C2953" s="3"/>
      <c r="D2953" s="3"/>
      <c r="E2953" s="3">
        <v>10</v>
      </c>
      <c r="F2953" s="4" t="str">
        <f>HYPERLINK("http://141.218.60.56/~jnz1568/getInfo.php?workbook=18_15.xlsx&amp;sheet=U0&amp;row=2953&amp;col=6&amp;number=3.9&amp;sourceID=14","3.9")</f>
        <v>3.9</v>
      </c>
      <c r="G2953" s="4" t="str">
        <f>HYPERLINK("http://141.218.60.56/~jnz1568/getInfo.php?workbook=18_15.xlsx&amp;sheet=U0&amp;row=2953&amp;col=7&amp;number=0.354&amp;sourceID=14","0.354")</f>
        <v>0.354</v>
      </c>
    </row>
    <row r="2954" spans="1:7">
      <c r="A2954" s="3"/>
      <c r="B2954" s="3"/>
      <c r="C2954" s="3"/>
      <c r="D2954" s="3"/>
      <c r="E2954" s="3">
        <v>11</v>
      </c>
      <c r="F2954" s="4" t="str">
        <f>HYPERLINK("http://141.218.60.56/~jnz1568/getInfo.php?workbook=18_15.xlsx&amp;sheet=U0&amp;row=2954&amp;col=6&amp;number=4&amp;sourceID=14","4")</f>
        <v>4</v>
      </c>
      <c r="G2954" s="4" t="str">
        <f>HYPERLINK("http://141.218.60.56/~jnz1568/getInfo.php?workbook=18_15.xlsx&amp;sheet=U0&amp;row=2954&amp;col=7&amp;number=0.376&amp;sourceID=14","0.376")</f>
        <v>0.376</v>
      </c>
    </row>
    <row r="2955" spans="1:7">
      <c r="A2955" s="3"/>
      <c r="B2955" s="3"/>
      <c r="C2955" s="3"/>
      <c r="D2955" s="3"/>
      <c r="E2955" s="3">
        <v>12</v>
      </c>
      <c r="F2955" s="4" t="str">
        <f>HYPERLINK("http://141.218.60.56/~jnz1568/getInfo.php?workbook=18_15.xlsx&amp;sheet=U0&amp;row=2955&amp;col=6&amp;number=4.1&amp;sourceID=14","4.1")</f>
        <v>4.1</v>
      </c>
      <c r="G2955" s="4" t="str">
        <f>HYPERLINK("http://141.218.60.56/~jnz1568/getInfo.php?workbook=18_15.xlsx&amp;sheet=U0&amp;row=2955&amp;col=7&amp;number=0.393&amp;sourceID=14","0.393")</f>
        <v>0.393</v>
      </c>
    </row>
    <row r="2956" spans="1:7">
      <c r="A2956" s="3"/>
      <c r="B2956" s="3"/>
      <c r="C2956" s="3"/>
      <c r="D2956" s="3"/>
      <c r="E2956" s="3">
        <v>13</v>
      </c>
      <c r="F2956" s="4" t="str">
        <f>HYPERLINK("http://141.218.60.56/~jnz1568/getInfo.php?workbook=18_15.xlsx&amp;sheet=U0&amp;row=2956&amp;col=6&amp;number=4.2&amp;sourceID=14","4.2")</f>
        <v>4.2</v>
      </c>
      <c r="G2956" s="4" t="str">
        <f>HYPERLINK("http://141.218.60.56/~jnz1568/getInfo.php?workbook=18_15.xlsx&amp;sheet=U0&amp;row=2956&amp;col=7&amp;number=0.405&amp;sourceID=14","0.405")</f>
        <v>0.405</v>
      </c>
    </row>
    <row r="2957" spans="1:7">
      <c r="A2957" s="3"/>
      <c r="B2957" s="3"/>
      <c r="C2957" s="3"/>
      <c r="D2957" s="3"/>
      <c r="E2957" s="3">
        <v>14</v>
      </c>
      <c r="F2957" s="4" t="str">
        <f>HYPERLINK("http://141.218.60.56/~jnz1568/getInfo.php?workbook=18_15.xlsx&amp;sheet=U0&amp;row=2957&amp;col=6&amp;number=4.3&amp;sourceID=14","4.3")</f>
        <v>4.3</v>
      </c>
      <c r="G2957" s="4" t="str">
        <f>HYPERLINK("http://141.218.60.56/~jnz1568/getInfo.php?workbook=18_15.xlsx&amp;sheet=U0&amp;row=2957&amp;col=7&amp;number=0.415&amp;sourceID=14","0.415")</f>
        <v>0.415</v>
      </c>
    </row>
    <row r="2958" spans="1:7">
      <c r="A2958" s="3"/>
      <c r="B2958" s="3"/>
      <c r="C2958" s="3"/>
      <c r="D2958" s="3"/>
      <c r="E2958" s="3">
        <v>15</v>
      </c>
      <c r="F2958" s="4" t="str">
        <f>HYPERLINK("http://141.218.60.56/~jnz1568/getInfo.php?workbook=18_15.xlsx&amp;sheet=U0&amp;row=2958&amp;col=6&amp;number=4.4&amp;sourceID=14","4.4")</f>
        <v>4.4</v>
      </c>
      <c r="G2958" s="4" t="str">
        <f>HYPERLINK("http://141.218.60.56/~jnz1568/getInfo.php?workbook=18_15.xlsx&amp;sheet=U0&amp;row=2958&amp;col=7&amp;number=0.43&amp;sourceID=14","0.43")</f>
        <v>0.43</v>
      </c>
    </row>
    <row r="2959" spans="1:7">
      <c r="A2959" s="3"/>
      <c r="B2959" s="3"/>
      <c r="C2959" s="3"/>
      <c r="D2959" s="3"/>
      <c r="E2959" s="3">
        <v>16</v>
      </c>
      <c r="F2959" s="4" t="str">
        <f>HYPERLINK("http://141.218.60.56/~jnz1568/getInfo.php?workbook=18_15.xlsx&amp;sheet=U0&amp;row=2959&amp;col=6&amp;number=4.5&amp;sourceID=14","4.5")</f>
        <v>4.5</v>
      </c>
      <c r="G2959" s="4" t="str">
        <f>HYPERLINK("http://141.218.60.56/~jnz1568/getInfo.php?workbook=18_15.xlsx&amp;sheet=U0&amp;row=2959&amp;col=7&amp;number=0.448&amp;sourceID=14","0.448")</f>
        <v>0.448</v>
      </c>
    </row>
    <row r="2960" spans="1:7">
      <c r="A2960" s="3"/>
      <c r="B2960" s="3"/>
      <c r="C2960" s="3"/>
      <c r="D2960" s="3"/>
      <c r="E2960" s="3">
        <v>17</v>
      </c>
      <c r="F2960" s="4" t="str">
        <f>HYPERLINK("http://141.218.60.56/~jnz1568/getInfo.php?workbook=18_15.xlsx&amp;sheet=U0&amp;row=2960&amp;col=6&amp;number=4.6&amp;sourceID=14","4.6")</f>
        <v>4.6</v>
      </c>
      <c r="G2960" s="4" t="str">
        <f>HYPERLINK("http://141.218.60.56/~jnz1568/getInfo.php?workbook=18_15.xlsx&amp;sheet=U0&amp;row=2960&amp;col=7&amp;number=0.462&amp;sourceID=14","0.462")</f>
        <v>0.462</v>
      </c>
    </row>
    <row r="2961" spans="1:7">
      <c r="A2961" s="3"/>
      <c r="B2961" s="3"/>
      <c r="C2961" s="3"/>
      <c r="D2961" s="3"/>
      <c r="E2961" s="3">
        <v>18</v>
      </c>
      <c r="F2961" s="4" t="str">
        <f>HYPERLINK("http://141.218.60.56/~jnz1568/getInfo.php?workbook=18_15.xlsx&amp;sheet=U0&amp;row=2961&amp;col=6&amp;number=4.7&amp;sourceID=14","4.7")</f>
        <v>4.7</v>
      </c>
      <c r="G2961" s="4" t="str">
        <f>HYPERLINK("http://141.218.60.56/~jnz1568/getInfo.php?workbook=18_15.xlsx&amp;sheet=U0&amp;row=2961&amp;col=7&amp;number=0.468&amp;sourceID=14","0.468")</f>
        <v>0.468</v>
      </c>
    </row>
    <row r="2962" spans="1:7">
      <c r="A2962" s="3"/>
      <c r="B2962" s="3"/>
      <c r="C2962" s="3"/>
      <c r="D2962" s="3"/>
      <c r="E2962" s="3">
        <v>19</v>
      </c>
      <c r="F2962" s="4" t="str">
        <f>HYPERLINK("http://141.218.60.56/~jnz1568/getInfo.php?workbook=18_15.xlsx&amp;sheet=U0&amp;row=2962&amp;col=6&amp;number=4.8&amp;sourceID=14","4.8")</f>
        <v>4.8</v>
      </c>
      <c r="G2962" s="4" t="str">
        <f>HYPERLINK("http://141.218.60.56/~jnz1568/getInfo.php?workbook=18_15.xlsx&amp;sheet=U0&amp;row=2962&amp;col=7&amp;number=0.474&amp;sourceID=14","0.474")</f>
        <v>0.474</v>
      </c>
    </row>
    <row r="2963" spans="1:7">
      <c r="A2963" s="3"/>
      <c r="B2963" s="3"/>
      <c r="C2963" s="3"/>
      <c r="D2963" s="3"/>
      <c r="E2963" s="3">
        <v>20</v>
      </c>
      <c r="F2963" s="4" t="str">
        <f>HYPERLINK("http://141.218.60.56/~jnz1568/getInfo.php?workbook=18_15.xlsx&amp;sheet=U0&amp;row=2963&amp;col=6&amp;number=4.9&amp;sourceID=14","4.9")</f>
        <v>4.9</v>
      </c>
      <c r="G2963" s="4" t="str">
        <f>HYPERLINK("http://141.218.60.56/~jnz1568/getInfo.php?workbook=18_15.xlsx&amp;sheet=U0&amp;row=2963&amp;col=7&amp;number=0.484&amp;sourceID=14","0.484")</f>
        <v>0.484</v>
      </c>
    </row>
    <row r="2964" spans="1:7">
      <c r="A2964" s="3">
        <v>18</v>
      </c>
      <c r="B2964" s="3">
        <v>15</v>
      </c>
      <c r="C2964" s="3">
        <v>13</v>
      </c>
      <c r="D2964" s="3">
        <v>17</v>
      </c>
      <c r="E2964" s="3">
        <v>1</v>
      </c>
      <c r="F2964" s="4" t="str">
        <f>HYPERLINK("http://141.218.60.56/~jnz1568/getInfo.php?workbook=18_15.xlsx&amp;sheet=U0&amp;row=2964&amp;col=6&amp;number=3&amp;sourceID=14","3")</f>
        <v>3</v>
      </c>
      <c r="G2964" s="4" t="str">
        <f>HYPERLINK("http://141.218.60.56/~jnz1568/getInfo.php?workbook=18_15.xlsx&amp;sheet=U0&amp;row=2964&amp;col=7&amp;number=0.0535&amp;sourceID=14","0.0535")</f>
        <v>0.0535</v>
      </c>
    </row>
    <row r="2965" spans="1:7">
      <c r="A2965" s="3"/>
      <c r="B2965" s="3"/>
      <c r="C2965" s="3"/>
      <c r="D2965" s="3"/>
      <c r="E2965" s="3">
        <v>2</v>
      </c>
      <c r="F2965" s="4" t="str">
        <f>HYPERLINK("http://141.218.60.56/~jnz1568/getInfo.php?workbook=18_15.xlsx&amp;sheet=U0&amp;row=2965&amp;col=6&amp;number=3.1&amp;sourceID=14","3.1")</f>
        <v>3.1</v>
      </c>
      <c r="G2965" s="4" t="str">
        <f>HYPERLINK("http://141.218.60.56/~jnz1568/getInfo.php?workbook=18_15.xlsx&amp;sheet=U0&amp;row=2965&amp;col=7&amp;number=0.0589&amp;sourceID=14","0.0589")</f>
        <v>0.0589</v>
      </c>
    </row>
    <row r="2966" spans="1:7">
      <c r="A2966" s="3"/>
      <c r="B2966" s="3"/>
      <c r="C2966" s="3"/>
      <c r="D2966" s="3"/>
      <c r="E2966" s="3">
        <v>3</v>
      </c>
      <c r="F2966" s="4" t="str">
        <f>HYPERLINK("http://141.218.60.56/~jnz1568/getInfo.php?workbook=18_15.xlsx&amp;sheet=U0&amp;row=2966&amp;col=6&amp;number=3.2&amp;sourceID=14","3.2")</f>
        <v>3.2</v>
      </c>
      <c r="G2966" s="4" t="str">
        <f>HYPERLINK("http://141.218.60.56/~jnz1568/getInfo.php?workbook=18_15.xlsx&amp;sheet=U0&amp;row=2966&amp;col=7&amp;number=0.0656&amp;sourceID=14","0.0656")</f>
        <v>0.0656</v>
      </c>
    </row>
    <row r="2967" spans="1:7">
      <c r="A2967" s="3"/>
      <c r="B2967" s="3"/>
      <c r="C2967" s="3"/>
      <c r="D2967" s="3"/>
      <c r="E2967" s="3">
        <v>4</v>
      </c>
      <c r="F2967" s="4" t="str">
        <f>HYPERLINK("http://141.218.60.56/~jnz1568/getInfo.php?workbook=18_15.xlsx&amp;sheet=U0&amp;row=2967&amp;col=6&amp;number=3.3&amp;sourceID=14","3.3")</f>
        <v>3.3</v>
      </c>
      <c r="G2967" s="4" t="str">
        <f>HYPERLINK("http://141.218.60.56/~jnz1568/getInfo.php?workbook=18_15.xlsx&amp;sheet=U0&amp;row=2967&amp;col=7&amp;number=0.0736&amp;sourceID=14","0.0736")</f>
        <v>0.0736</v>
      </c>
    </row>
    <row r="2968" spans="1:7">
      <c r="A2968" s="3"/>
      <c r="B2968" s="3"/>
      <c r="C2968" s="3"/>
      <c r="D2968" s="3"/>
      <c r="E2968" s="3">
        <v>5</v>
      </c>
      <c r="F2968" s="4" t="str">
        <f>HYPERLINK("http://141.218.60.56/~jnz1568/getInfo.php?workbook=18_15.xlsx&amp;sheet=U0&amp;row=2968&amp;col=6&amp;number=3.4&amp;sourceID=14","3.4")</f>
        <v>3.4</v>
      </c>
      <c r="G2968" s="4" t="str">
        <f>HYPERLINK("http://141.218.60.56/~jnz1568/getInfo.php?workbook=18_15.xlsx&amp;sheet=U0&amp;row=2968&amp;col=7&amp;number=0.0831&amp;sourceID=14","0.0831")</f>
        <v>0.0831</v>
      </c>
    </row>
    <row r="2969" spans="1:7">
      <c r="A2969" s="3"/>
      <c r="B2969" s="3"/>
      <c r="C2969" s="3"/>
      <c r="D2969" s="3"/>
      <c r="E2969" s="3">
        <v>6</v>
      </c>
      <c r="F2969" s="4" t="str">
        <f>HYPERLINK("http://141.218.60.56/~jnz1568/getInfo.php?workbook=18_15.xlsx&amp;sheet=U0&amp;row=2969&amp;col=6&amp;number=3.5&amp;sourceID=14","3.5")</f>
        <v>3.5</v>
      </c>
      <c r="G2969" s="4" t="str">
        <f>HYPERLINK("http://141.218.60.56/~jnz1568/getInfo.php?workbook=18_15.xlsx&amp;sheet=U0&amp;row=2969&amp;col=7&amp;number=0.094&amp;sourceID=14","0.094")</f>
        <v>0.094</v>
      </c>
    </row>
    <row r="2970" spans="1:7">
      <c r="A2970" s="3"/>
      <c r="B2970" s="3"/>
      <c r="C2970" s="3"/>
      <c r="D2970" s="3"/>
      <c r="E2970" s="3">
        <v>7</v>
      </c>
      <c r="F2970" s="4" t="str">
        <f>HYPERLINK("http://141.218.60.56/~jnz1568/getInfo.php?workbook=18_15.xlsx&amp;sheet=U0&amp;row=2970&amp;col=6&amp;number=3.6&amp;sourceID=14","3.6")</f>
        <v>3.6</v>
      </c>
      <c r="G2970" s="4" t="str">
        <f>HYPERLINK("http://141.218.60.56/~jnz1568/getInfo.php?workbook=18_15.xlsx&amp;sheet=U0&amp;row=2970&amp;col=7&amp;number=0.106&amp;sourceID=14","0.106")</f>
        <v>0.106</v>
      </c>
    </row>
    <row r="2971" spans="1:7">
      <c r="A2971" s="3"/>
      <c r="B2971" s="3"/>
      <c r="C2971" s="3"/>
      <c r="D2971" s="3"/>
      <c r="E2971" s="3">
        <v>8</v>
      </c>
      <c r="F2971" s="4" t="str">
        <f>HYPERLINK("http://141.218.60.56/~jnz1568/getInfo.php?workbook=18_15.xlsx&amp;sheet=U0&amp;row=2971&amp;col=6&amp;number=3.7&amp;sourceID=14","3.7")</f>
        <v>3.7</v>
      </c>
      <c r="G2971" s="4" t="str">
        <f>HYPERLINK("http://141.218.60.56/~jnz1568/getInfo.php?workbook=18_15.xlsx&amp;sheet=U0&amp;row=2971&amp;col=7&amp;number=0.119&amp;sourceID=14","0.119")</f>
        <v>0.119</v>
      </c>
    </row>
    <row r="2972" spans="1:7">
      <c r="A2972" s="3"/>
      <c r="B2972" s="3"/>
      <c r="C2972" s="3"/>
      <c r="D2972" s="3"/>
      <c r="E2972" s="3">
        <v>9</v>
      </c>
      <c r="F2972" s="4" t="str">
        <f>HYPERLINK("http://141.218.60.56/~jnz1568/getInfo.php?workbook=18_15.xlsx&amp;sheet=U0&amp;row=2972&amp;col=6&amp;number=3.8&amp;sourceID=14","3.8")</f>
        <v>3.8</v>
      </c>
      <c r="G2972" s="4" t="str">
        <f>HYPERLINK("http://141.218.60.56/~jnz1568/getInfo.php?workbook=18_15.xlsx&amp;sheet=U0&amp;row=2972&amp;col=7&amp;number=0.13&amp;sourceID=14","0.13")</f>
        <v>0.13</v>
      </c>
    </row>
    <row r="2973" spans="1:7">
      <c r="A2973" s="3"/>
      <c r="B2973" s="3"/>
      <c r="C2973" s="3"/>
      <c r="D2973" s="3"/>
      <c r="E2973" s="3">
        <v>10</v>
      </c>
      <c r="F2973" s="4" t="str">
        <f>HYPERLINK("http://141.218.60.56/~jnz1568/getInfo.php?workbook=18_15.xlsx&amp;sheet=U0&amp;row=2973&amp;col=6&amp;number=3.9&amp;sourceID=14","3.9")</f>
        <v>3.9</v>
      </c>
      <c r="G2973" s="4" t="str">
        <f>HYPERLINK("http://141.218.60.56/~jnz1568/getInfo.php?workbook=18_15.xlsx&amp;sheet=U0&amp;row=2973&amp;col=7&amp;number=0.141&amp;sourceID=14","0.141")</f>
        <v>0.141</v>
      </c>
    </row>
    <row r="2974" spans="1:7">
      <c r="A2974" s="3"/>
      <c r="B2974" s="3"/>
      <c r="C2974" s="3"/>
      <c r="D2974" s="3"/>
      <c r="E2974" s="3">
        <v>11</v>
      </c>
      <c r="F2974" s="4" t="str">
        <f>HYPERLINK("http://141.218.60.56/~jnz1568/getInfo.php?workbook=18_15.xlsx&amp;sheet=U0&amp;row=2974&amp;col=6&amp;number=4&amp;sourceID=14","4")</f>
        <v>4</v>
      </c>
      <c r="G2974" s="4" t="str">
        <f>HYPERLINK("http://141.218.60.56/~jnz1568/getInfo.php?workbook=18_15.xlsx&amp;sheet=U0&amp;row=2974&amp;col=7&amp;number=0.15&amp;sourceID=14","0.15")</f>
        <v>0.15</v>
      </c>
    </row>
    <row r="2975" spans="1:7">
      <c r="A2975" s="3"/>
      <c r="B2975" s="3"/>
      <c r="C2975" s="3"/>
      <c r="D2975" s="3"/>
      <c r="E2975" s="3">
        <v>12</v>
      </c>
      <c r="F2975" s="4" t="str">
        <f>HYPERLINK("http://141.218.60.56/~jnz1568/getInfo.php?workbook=18_15.xlsx&amp;sheet=U0&amp;row=2975&amp;col=6&amp;number=4.1&amp;sourceID=14","4.1")</f>
        <v>4.1</v>
      </c>
      <c r="G2975" s="4" t="str">
        <f>HYPERLINK("http://141.218.60.56/~jnz1568/getInfo.php?workbook=18_15.xlsx&amp;sheet=U0&amp;row=2975&amp;col=7&amp;number=0.158&amp;sourceID=14","0.158")</f>
        <v>0.158</v>
      </c>
    </row>
    <row r="2976" spans="1:7">
      <c r="A2976" s="3"/>
      <c r="B2976" s="3"/>
      <c r="C2976" s="3"/>
      <c r="D2976" s="3"/>
      <c r="E2976" s="3">
        <v>13</v>
      </c>
      <c r="F2976" s="4" t="str">
        <f>HYPERLINK("http://141.218.60.56/~jnz1568/getInfo.php?workbook=18_15.xlsx&amp;sheet=U0&amp;row=2976&amp;col=6&amp;number=4.2&amp;sourceID=14","4.2")</f>
        <v>4.2</v>
      </c>
      <c r="G2976" s="4" t="str">
        <f>HYPERLINK("http://141.218.60.56/~jnz1568/getInfo.php?workbook=18_15.xlsx&amp;sheet=U0&amp;row=2976&amp;col=7&amp;number=0.163&amp;sourceID=14","0.163")</f>
        <v>0.163</v>
      </c>
    </row>
    <row r="2977" spans="1:7">
      <c r="A2977" s="3"/>
      <c r="B2977" s="3"/>
      <c r="C2977" s="3"/>
      <c r="D2977" s="3"/>
      <c r="E2977" s="3">
        <v>14</v>
      </c>
      <c r="F2977" s="4" t="str">
        <f>HYPERLINK("http://141.218.60.56/~jnz1568/getInfo.php?workbook=18_15.xlsx&amp;sheet=U0&amp;row=2977&amp;col=6&amp;number=4.3&amp;sourceID=14","4.3")</f>
        <v>4.3</v>
      </c>
      <c r="G2977" s="4" t="str">
        <f>HYPERLINK("http://141.218.60.56/~jnz1568/getInfo.php?workbook=18_15.xlsx&amp;sheet=U0&amp;row=2977&amp;col=7&amp;number=0.165&amp;sourceID=14","0.165")</f>
        <v>0.165</v>
      </c>
    </row>
    <row r="2978" spans="1:7">
      <c r="A2978" s="3"/>
      <c r="B2978" s="3"/>
      <c r="C2978" s="3"/>
      <c r="D2978" s="3"/>
      <c r="E2978" s="3">
        <v>15</v>
      </c>
      <c r="F2978" s="4" t="str">
        <f>HYPERLINK("http://141.218.60.56/~jnz1568/getInfo.php?workbook=18_15.xlsx&amp;sheet=U0&amp;row=2978&amp;col=6&amp;number=4.4&amp;sourceID=14","4.4")</f>
        <v>4.4</v>
      </c>
      <c r="G2978" s="4" t="str">
        <f>HYPERLINK("http://141.218.60.56/~jnz1568/getInfo.php?workbook=18_15.xlsx&amp;sheet=U0&amp;row=2978&amp;col=7&amp;number=0.164&amp;sourceID=14","0.164")</f>
        <v>0.164</v>
      </c>
    </row>
    <row r="2979" spans="1:7">
      <c r="A2979" s="3"/>
      <c r="B2979" s="3"/>
      <c r="C2979" s="3"/>
      <c r="D2979" s="3"/>
      <c r="E2979" s="3">
        <v>16</v>
      </c>
      <c r="F2979" s="4" t="str">
        <f>HYPERLINK("http://141.218.60.56/~jnz1568/getInfo.php?workbook=18_15.xlsx&amp;sheet=U0&amp;row=2979&amp;col=6&amp;number=4.5&amp;sourceID=14","4.5")</f>
        <v>4.5</v>
      </c>
      <c r="G2979" s="4" t="str">
        <f>HYPERLINK("http://141.218.60.56/~jnz1568/getInfo.php?workbook=18_15.xlsx&amp;sheet=U0&amp;row=2979&amp;col=7&amp;number=0.16&amp;sourceID=14","0.16")</f>
        <v>0.16</v>
      </c>
    </row>
    <row r="2980" spans="1:7">
      <c r="A2980" s="3"/>
      <c r="B2980" s="3"/>
      <c r="C2980" s="3"/>
      <c r="D2980" s="3"/>
      <c r="E2980" s="3">
        <v>17</v>
      </c>
      <c r="F2980" s="4" t="str">
        <f>HYPERLINK("http://141.218.60.56/~jnz1568/getInfo.php?workbook=18_15.xlsx&amp;sheet=U0&amp;row=2980&amp;col=6&amp;number=4.6&amp;sourceID=14","4.6")</f>
        <v>4.6</v>
      </c>
      <c r="G2980" s="4" t="str">
        <f>HYPERLINK("http://141.218.60.56/~jnz1568/getInfo.php?workbook=18_15.xlsx&amp;sheet=U0&amp;row=2980&amp;col=7&amp;number=0.153&amp;sourceID=14","0.153")</f>
        <v>0.153</v>
      </c>
    </row>
    <row r="2981" spans="1:7">
      <c r="A2981" s="3"/>
      <c r="B2981" s="3"/>
      <c r="C2981" s="3"/>
      <c r="D2981" s="3"/>
      <c r="E2981" s="3">
        <v>18</v>
      </c>
      <c r="F2981" s="4" t="str">
        <f>HYPERLINK("http://141.218.60.56/~jnz1568/getInfo.php?workbook=18_15.xlsx&amp;sheet=U0&amp;row=2981&amp;col=6&amp;number=4.7&amp;sourceID=14","4.7")</f>
        <v>4.7</v>
      </c>
      <c r="G2981" s="4" t="str">
        <f>HYPERLINK("http://141.218.60.56/~jnz1568/getInfo.php?workbook=18_15.xlsx&amp;sheet=U0&amp;row=2981&amp;col=7&amp;number=0.143&amp;sourceID=14","0.143")</f>
        <v>0.143</v>
      </c>
    </row>
    <row r="2982" spans="1:7">
      <c r="A2982" s="3"/>
      <c r="B2982" s="3"/>
      <c r="C2982" s="3"/>
      <c r="D2982" s="3"/>
      <c r="E2982" s="3">
        <v>19</v>
      </c>
      <c r="F2982" s="4" t="str">
        <f>HYPERLINK("http://141.218.60.56/~jnz1568/getInfo.php?workbook=18_15.xlsx&amp;sheet=U0&amp;row=2982&amp;col=6&amp;number=4.8&amp;sourceID=14","4.8")</f>
        <v>4.8</v>
      </c>
      <c r="G2982" s="4" t="str">
        <f>HYPERLINK("http://141.218.60.56/~jnz1568/getInfo.php?workbook=18_15.xlsx&amp;sheet=U0&amp;row=2982&amp;col=7&amp;number=0.131&amp;sourceID=14","0.131")</f>
        <v>0.131</v>
      </c>
    </row>
    <row r="2983" spans="1:7">
      <c r="A2983" s="3"/>
      <c r="B2983" s="3"/>
      <c r="C2983" s="3"/>
      <c r="D2983" s="3"/>
      <c r="E2983" s="3">
        <v>20</v>
      </c>
      <c r="F2983" s="4" t="str">
        <f>HYPERLINK("http://141.218.60.56/~jnz1568/getInfo.php?workbook=18_15.xlsx&amp;sheet=U0&amp;row=2983&amp;col=6&amp;number=4.9&amp;sourceID=14","4.9")</f>
        <v>4.9</v>
      </c>
      <c r="G2983" s="4" t="str">
        <f>HYPERLINK("http://141.218.60.56/~jnz1568/getInfo.php?workbook=18_15.xlsx&amp;sheet=U0&amp;row=2983&amp;col=7&amp;number=0.119&amp;sourceID=14","0.119")</f>
        <v>0.119</v>
      </c>
    </row>
    <row r="2984" spans="1:7">
      <c r="A2984" s="3">
        <v>18</v>
      </c>
      <c r="B2984" s="3">
        <v>15</v>
      </c>
      <c r="C2984" s="3">
        <v>13</v>
      </c>
      <c r="D2984" s="3">
        <v>25</v>
      </c>
      <c r="E2984" s="3">
        <v>1</v>
      </c>
      <c r="F2984" s="4" t="str">
        <f>HYPERLINK("http://141.218.60.56/~jnz1568/getInfo.php?workbook=18_15.xlsx&amp;sheet=U0&amp;row=2984&amp;col=6&amp;number=3&amp;sourceID=14","3")</f>
        <v>3</v>
      </c>
      <c r="G2984" s="4" t="str">
        <f>HYPERLINK("http://141.218.60.56/~jnz1568/getInfo.php?workbook=18_15.xlsx&amp;sheet=U0&amp;row=2984&amp;col=7&amp;number=0.405&amp;sourceID=14","0.405")</f>
        <v>0.405</v>
      </c>
    </row>
    <row r="2985" spans="1:7">
      <c r="A2985" s="3"/>
      <c r="B2985" s="3"/>
      <c r="C2985" s="3"/>
      <c r="D2985" s="3"/>
      <c r="E2985" s="3">
        <v>2</v>
      </c>
      <c r="F2985" s="4" t="str">
        <f>HYPERLINK("http://141.218.60.56/~jnz1568/getInfo.php?workbook=18_15.xlsx&amp;sheet=U0&amp;row=2985&amp;col=6&amp;number=3.1&amp;sourceID=14","3.1")</f>
        <v>3.1</v>
      </c>
      <c r="G2985" s="4" t="str">
        <f>HYPERLINK("http://141.218.60.56/~jnz1568/getInfo.php?workbook=18_15.xlsx&amp;sheet=U0&amp;row=2985&amp;col=7&amp;number=0.409&amp;sourceID=14","0.409")</f>
        <v>0.409</v>
      </c>
    </row>
    <row r="2986" spans="1:7">
      <c r="A2986" s="3"/>
      <c r="B2986" s="3"/>
      <c r="C2986" s="3"/>
      <c r="D2986" s="3"/>
      <c r="E2986" s="3">
        <v>3</v>
      </c>
      <c r="F2986" s="4" t="str">
        <f>HYPERLINK("http://141.218.60.56/~jnz1568/getInfo.php?workbook=18_15.xlsx&amp;sheet=U0&amp;row=2986&amp;col=6&amp;number=3.2&amp;sourceID=14","3.2")</f>
        <v>3.2</v>
      </c>
      <c r="G2986" s="4" t="str">
        <f>HYPERLINK("http://141.218.60.56/~jnz1568/getInfo.php?workbook=18_15.xlsx&amp;sheet=U0&amp;row=2986&amp;col=7&amp;number=0.414&amp;sourceID=14","0.414")</f>
        <v>0.414</v>
      </c>
    </row>
    <row r="2987" spans="1:7">
      <c r="A2987" s="3"/>
      <c r="B2987" s="3"/>
      <c r="C2987" s="3"/>
      <c r="D2987" s="3"/>
      <c r="E2987" s="3">
        <v>4</v>
      </c>
      <c r="F2987" s="4" t="str">
        <f>HYPERLINK("http://141.218.60.56/~jnz1568/getInfo.php?workbook=18_15.xlsx&amp;sheet=U0&amp;row=2987&amp;col=6&amp;number=3.3&amp;sourceID=14","3.3")</f>
        <v>3.3</v>
      </c>
      <c r="G2987" s="4" t="str">
        <f>HYPERLINK("http://141.218.60.56/~jnz1568/getInfo.php?workbook=18_15.xlsx&amp;sheet=U0&amp;row=2987&amp;col=7&amp;number=0.42&amp;sourceID=14","0.42")</f>
        <v>0.42</v>
      </c>
    </row>
    <row r="2988" spans="1:7">
      <c r="A2988" s="3"/>
      <c r="B2988" s="3"/>
      <c r="C2988" s="3"/>
      <c r="D2988" s="3"/>
      <c r="E2988" s="3">
        <v>5</v>
      </c>
      <c r="F2988" s="4" t="str">
        <f>HYPERLINK("http://141.218.60.56/~jnz1568/getInfo.php?workbook=18_15.xlsx&amp;sheet=U0&amp;row=2988&amp;col=6&amp;number=3.4&amp;sourceID=14","3.4")</f>
        <v>3.4</v>
      </c>
      <c r="G2988" s="4" t="str">
        <f>HYPERLINK("http://141.218.60.56/~jnz1568/getInfo.php?workbook=18_15.xlsx&amp;sheet=U0&amp;row=2988&amp;col=7&amp;number=0.428&amp;sourceID=14","0.428")</f>
        <v>0.428</v>
      </c>
    </row>
    <row r="2989" spans="1:7">
      <c r="A2989" s="3"/>
      <c r="B2989" s="3"/>
      <c r="C2989" s="3"/>
      <c r="D2989" s="3"/>
      <c r="E2989" s="3">
        <v>6</v>
      </c>
      <c r="F2989" s="4" t="str">
        <f>HYPERLINK("http://141.218.60.56/~jnz1568/getInfo.php?workbook=18_15.xlsx&amp;sheet=U0&amp;row=2989&amp;col=6&amp;number=3.5&amp;sourceID=14","3.5")</f>
        <v>3.5</v>
      </c>
      <c r="G2989" s="4" t="str">
        <f>HYPERLINK("http://141.218.60.56/~jnz1568/getInfo.php?workbook=18_15.xlsx&amp;sheet=U0&amp;row=2989&amp;col=7&amp;number=0.438&amp;sourceID=14","0.438")</f>
        <v>0.438</v>
      </c>
    </row>
    <row r="2990" spans="1:7">
      <c r="A2990" s="3"/>
      <c r="B2990" s="3"/>
      <c r="C2990" s="3"/>
      <c r="D2990" s="3"/>
      <c r="E2990" s="3">
        <v>7</v>
      </c>
      <c r="F2990" s="4" t="str">
        <f>HYPERLINK("http://141.218.60.56/~jnz1568/getInfo.php?workbook=18_15.xlsx&amp;sheet=U0&amp;row=2990&amp;col=6&amp;number=3.6&amp;sourceID=14","3.6")</f>
        <v>3.6</v>
      </c>
      <c r="G2990" s="4" t="str">
        <f>HYPERLINK("http://141.218.60.56/~jnz1568/getInfo.php?workbook=18_15.xlsx&amp;sheet=U0&amp;row=2990&amp;col=7&amp;number=0.451&amp;sourceID=14","0.451")</f>
        <v>0.451</v>
      </c>
    </row>
    <row r="2991" spans="1:7">
      <c r="A2991" s="3"/>
      <c r="B2991" s="3"/>
      <c r="C2991" s="3"/>
      <c r="D2991" s="3"/>
      <c r="E2991" s="3">
        <v>8</v>
      </c>
      <c r="F2991" s="4" t="str">
        <f>HYPERLINK("http://141.218.60.56/~jnz1568/getInfo.php?workbook=18_15.xlsx&amp;sheet=U0&amp;row=2991&amp;col=6&amp;number=3.7&amp;sourceID=14","3.7")</f>
        <v>3.7</v>
      </c>
      <c r="G2991" s="4" t="str">
        <f>HYPERLINK("http://141.218.60.56/~jnz1568/getInfo.php?workbook=18_15.xlsx&amp;sheet=U0&amp;row=2991&amp;col=7&amp;number=0.468&amp;sourceID=14","0.468")</f>
        <v>0.468</v>
      </c>
    </row>
    <row r="2992" spans="1:7">
      <c r="A2992" s="3"/>
      <c r="B2992" s="3"/>
      <c r="C2992" s="3"/>
      <c r="D2992" s="3"/>
      <c r="E2992" s="3">
        <v>9</v>
      </c>
      <c r="F2992" s="4" t="str">
        <f>HYPERLINK("http://141.218.60.56/~jnz1568/getInfo.php?workbook=18_15.xlsx&amp;sheet=U0&amp;row=2992&amp;col=6&amp;number=3.8&amp;sourceID=14","3.8")</f>
        <v>3.8</v>
      </c>
      <c r="G2992" s="4" t="str">
        <f>HYPERLINK("http://141.218.60.56/~jnz1568/getInfo.php?workbook=18_15.xlsx&amp;sheet=U0&amp;row=2992&amp;col=7&amp;number=0.491&amp;sourceID=14","0.491")</f>
        <v>0.491</v>
      </c>
    </row>
    <row r="2993" spans="1:7">
      <c r="A2993" s="3"/>
      <c r="B2993" s="3"/>
      <c r="C2993" s="3"/>
      <c r="D2993" s="3"/>
      <c r="E2993" s="3">
        <v>10</v>
      </c>
      <c r="F2993" s="4" t="str">
        <f>HYPERLINK("http://141.218.60.56/~jnz1568/getInfo.php?workbook=18_15.xlsx&amp;sheet=U0&amp;row=2993&amp;col=6&amp;number=3.9&amp;sourceID=14","3.9")</f>
        <v>3.9</v>
      </c>
      <c r="G2993" s="4" t="str">
        <f>HYPERLINK("http://141.218.60.56/~jnz1568/getInfo.php?workbook=18_15.xlsx&amp;sheet=U0&amp;row=2993&amp;col=7&amp;number=0.521&amp;sourceID=14","0.521")</f>
        <v>0.521</v>
      </c>
    </row>
    <row r="2994" spans="1:7">
      <c r="A2994" s="3"/>
      <c r="B2994" s="3"/>
      <c r="C2994" s="3"/>
      <c r="D2994" s="3"/>
      <c r="E2994" s="3">
        <v>11</v>
      </c>
      <c r="F2994" s="4" t="str">
        <f>HYPERLINK("http://141.218.60.56/~jnz1568/getInfo.php?workbook=18_15.xlsx&amp;sheet=U0&amp;row=2994&amp;col=6&amp;number=4&amp;sourceID=14","4")</f>
        <v>4</v>
      </c>
      <c r="G2994" s="4" t="str">
        <f>HYPERLINK("http://141.218.60.56/~jnz1568/getInfo.php?workbook=18_15.xlsx&amp;sheet=U0&amp;row=2994&amp;col=7&amp;number=0.557&amp;sourceID=14","0.557")</f>
        <v>0.557</v>
      </c>
    </row>
    <row r="2995" spans="1:7">
      <c r="A2995" s="3"/>
      <c r="B2995" s="3"/>
      <c r="C2995" s="3"/>
      <c r="D2995" s="3"/>
      <c r="E2995" s="3">
        <v>12</v>
      </c>
      <c r="F2995" s="4" t="str">
        <f>HYPERLINK("http://141.218.60.56/~jnz1568/getInfo.php?workbook=18_15.xlsx&amp;sheet=U0&amp;row=2995&amp;col=6&amp;number=4.1&amp;sourceID=14","4.1")</f>
        <v>4.1</v>
      </c>
      <c r="G2995" s="4" t="str">
        <f>HYPERLINK("http://141.218.60.56/~jnz1568/getInfo.php?workbook=18_15.xlsx&amp;sheet=U0&amp;row=2995&amp;col=7&amp;number=0.594&amp;sourceID=14","0.594")</f>
        <v>0.594</v>
      </c>
    </row>
    <row r="2996" spans="1:7">
      <c r="A2996" s="3"/>
      <c r="B2996" s="3"/>
      <c r="C2996" s="3"/>
      <c r="D2996" s="3"/>
      <c r="E2996" s="3">
        <v>13</v>
      </c>
      <c r="F2996" s="4" t="str">
        <f>HYPERLINK("http://141.218.60.56/~jnz1568/getInfo.php?workbook=18_15.xlsx&amp;sheet=U0&amp;row=2996&amp;col=6&amp;number=4.2&amp;sourceID=14","4.2")</f>
        <v>4.2</v>
      </c>
      <c r="G2996" s="4" t="str">
        <f>HYPERLINK("http://141.218.60.56/~jnz1568/getInfo.php?workbook=18_15.xlsx&amp;sheet=U0&amp;row=2996&amp;col=7&amp;number=0.624&amp;sourceID=14","0.624")</f>
        <v>0.624</v>
      </c>
    </row>
    <row r="2997" spans="1:7">
      <c r="A2997" s="3"/>
      <c r="B2997" s="3"/>
      <c r="C2997" s="3"/>
      <c r="D2997" s="3"/>
      <c r="E2997" s="3">
        <v>14</v>
      </c>
      <c r="F2997" s="4" t="str">
        <f>HYPERLINK("http://141.218.60.56/~jnz1568/getInfo.php?workbook=18_15.xlsx&amp;sheet=U0&amp;row=2997&amp;col=6&amp;number=4.3&amp;sourceID=14","4.3")</f>
        <v>4.3</v>
      </c>
      <c r="G2997" s="4" t="str">
        <f>HYPERLINK("http://141.218.60.56/~jnz1568/getInfo.php?workbook=18_15.xlsx&amp;sheet=U0&amp;row=2997&amp;col=7&amp;number=0.641&amp;sourceID=14","0.641")</f>
        <v>0.641</v>
      </c>
    </row>
    <row r="2998" spans="1:7">
      <c r="A2998" s="3"/>
      <c r="B2998" s="3"/>
      <c r="C2998" s="3"/>
      <c r="D2998" s="3"/>
      <c r="E2998" s="3">
        <v>15</v>
      </c>
      <c r="F2998" s="4" t="str">
        <f>HYPERLINK("http://141.218.60.56/~jnz1568/getInfo.php?workbook=18_15.xlsx&amp;sheet=U0&amp;row=2998&amp;col=6&amp;number=4.4&amp;sourceID=14","4.4")</f>
        <v>4.4</v>
      </c>
      <c r="G2998" s="4" t="str">
        <f>HYPERLINK("http://141.218.60.56/~jnz1568/getInfo.php?workbook=18_15.xlsx&amp;sheet=U0&amp;row=2998&amp;col=7&amp;number=0.647&amp;sourceID=14","0.647")</f>
        <v>0.647</v>
      </c>
    </row>
    <row r="2999" spans="1:7">
      <c r="A2999" s="3"/>
      <c r="B2999" s="3"/>
      <c r="C2999" s="3"/>
      <c r="D2999" s="3"/>
      <c r="E2999" s="3">
        <v>16</v>
      </c>
      <c r="F2999" s="4" t="str">
        <f>HYPERLINK("http://141.218.60.56/~jnz1568/getInfo.php?workbook=18_15.xlsx&amp;sheet=U0&amp;row=2999&amp;col=6&amp;number=4.5&amp;sourceID=14","4.5")</f>
        <v>4.5</v>
      </c>
      <c r="G2999" s="4" t="str">
        <f>HYPERLINK("http://141.218.60.56/~jnz1568/getInfo.php?workbook=18_15.xlsx&amp;sheet=U0&amp;row=2999&amp;col=7&amp;number=0.644&amp;sourceID=14","0.644")</f>
        <v>0.644</v>
      </c>
    </row>
    <row r="3000" spans="1:7">
      <c r="A3000" s="3"/>
      <c r="B3000" s="3"/>
      <c r="C3000" s="3"/>
      <c r="D3000" s="3"/>
      <c r="E3000" s="3">
        <v>17</v>
      </c>
      <c r="F3000" s="4" t="str">
        <f>HYPERLINK("http://141.218.60.56/~jnz1568/getInfo.php?workbook=18_15.xlsx&amp;sheet=U0&amp;row=3000&amp;col=6&amp;number=4.6&amp;sourceID=14","4.6")</f>
        <v>4.6</v>
      </c>
      <c r="G3000" s="4" t="str">
        <f>HYPERLINK("http://141.218.60.56/~jnz1568/getInfo.php?workbook=18_15.xlsx&amp;sheet=U0&amp;row=3000&amp;col=7&amp;number=0.635&amp;sourceID=14","0.635")</f>
        <v>0.635</v>
      </c>
    </row>
    <row r="3001" spans="1:7">
      <c r="A3001" s="3"/>
      <c r="B3001" s="3"/>
      <c r="C3001" s="3"/>
      <c r="D3001" s="3"/>
      <c r="E3001" s="3">
        <v>18</v>
      </c>
      <c r="F3001" s="4" t="str">
        <f>HYPERLINK("http://141.218.60.56/~jnz1568/getInfo.php?workbook=18_15.xlsx&amp;sheet=U0&amp;row=3001&amp;col=6&amp;number=4.7&amp;sourceID=14","4.7")</f>
        <v>4.7</v>
      </c>
      <c r="G3001" s="4" t="str">
        <f>HYPERLINK("http://141.218.60.56/~jnz1568/getInfo.php?workbook=18_15.xlsx&amp;sheet=U0&amp;row=3001&amp;col=7&amp;number=0.621&amp;sourceID=14","0.621")</f>
        <v>0.621</v>
      </c>
    </row>
    <row r="3002" spans="1:7">
      <c r="A3002" s="3"/>
      <c r="B3002" s="3"/>
      <c r="C3002" s="3"/>
      <c r="D3002" s="3"/>
      <c r="E3002" s="3">
        <v>19</v>
      </c>
      <c r="F3002" s="4" t="str">
        <f>HYPERLINK("http://141.218.60.56/~jnz1568/getInfo.php?workbook=18_15.xlsx&amp;sheet=U0&amp;row=3002&amp;col=6&amp;number=4.8&amp;sourceID=14","4.8")</f>
        <v>4.8</v>
      </c>
      <c r="G3002" s="4" t="str">
        <f>HYPERLINK("http://141.218.60.56/~jnz1568/getInfo.php?workbook=18_15.xlsx&amp;sheet=U0&amp;row=3002&amp;col=7&amp;number=0.602&amp;sourceID=14","0.602")</f>
        <v>0.602</v>
      </c>
    </row>
    <row r="3003" spans="1:7">
      <c r="A3003" s="3"/>
      <c r="B3003" s="3"/>
      <c r="C3003" s="3"/>
      <c r="D3003" s="3"/>
      <c r="E3003" s="3">
        <v>20</v>
      </c>
      <c r="F3003" s="4" t="str">
        <f>HYPERLINK("http://141.218.60.56/~jnz1568/getInfo.php?workbook=18_15.xlsx&amp;sheet=U0&amp;row=3003&amp;col=6&amp;number=4.9&amp;sourceID=14","4.9")</f>
        <v>4.9</v>
      </c>
      <c r="G3003" s="4" t="str">
        <f>HYPERLINK("http://141.218.60.56/~jnz1568/getInfo.php?workbook=18_15.xlsx&amp;sheet=U0&amp;row=3003&amp;col=7&amp;number=0.575&amp;sourceID=14","0.575")</f>
        <v>0.575</v>
      </c>
    </row>
    <row r="3004" spans="1:7">
      <c r="A3004" s="3">
        <v>18</v>
      </c>
      <c r="B3004" s="3">
        <v>15</v>
      </c>
      <c r="C3004" s="3">
        <v>14</v>
      </c>
      <c r="D3004" s="3">
        <v>17</v>
      </c>
      <c r="E3004" s="3">
        <v>1</v>
      </c>
      <c r="F3004" s="4" t="str">
        <f>HYPERLINK("http://141.218.60.56/~jnz1568/getInfo.php?workbook=18_15.xlsx&amp;sheet=U0&amp;row=3004&amp;col=6&amp;number=3&amp;sourceID=14","3")</f>
        <v>3</v>
      </c>
      <c r="G3004" s="4" t="str">
        <f>HYPERLINK("http://141.218.60.56/~jnz1568/getInfo.php?workbook=18_15.xlsx&amp;sheet=U0&amp;row=3004&amp;col=7&amp;number=1.08&amp;sourceID=14","1.08")</f>
        <v>1.08</v>
      </c>
    </row>
    <row r="3005" spans="1:7">
      <c r="A3005" s="3"/>
      <c r="B3005" s="3"/>
      <c r="C3005" s="3"/>
      <c r="D3005" s="3"/>
      <c r="E3005" s="3">
        <v>2</v>
      </c>
      <c r="F3005" s="4" t="str">
        <f>HYPERLINK("http://141.218.60.56/~jnz1568/getInfo.php?workbook=18_15.xlsx&amp;sheet=U0&amp;row=3005&amp;col=6&amp;number=3.1&amp;sourceID=14","3.1")</f>
        <v>3.1</v>
      </c>
      <c r="G3005" s="4" t="str">
        <f>HYPERLINK("http://141.218.60.56/~jnz1568/getInfo.php?workbook=18_15.xlsx&amp;sheet=U0&amp;row=3005&amp;col=7&amp;number=1.1&amp;sourceID=14","1.1")</f>
        <v>1.1</v>
      </c>
    </row>
    <row r="3006" spans="1:7">
      <c r="A3006" s="3"/>
      <c r="B3006" s="3"/>
      <c r="C3006" s="3"/>
      <c r="D3006" s="3"/>
      <c r="E3006" s="3">
        <v>3</v>
      </c>
      <c r="F3006" s="4" t="str">
        <f>HYPERLINK("http://141.218.60.56/~jnz1568/getInfo.php?workbook=18_15.xlsx&amp;sheet=U0&amp;row=3006&amp;col=6&amp;number=3.2&amp;sourceID=14","3.2")</f>
        <v>3.2</v>
      </c>
      <c r="G3006" s="4" t="str">
        <f>HYPERLINK("http://141.218.60.56/~jnz1568/getInfo.php?workbook=18_15.xlsx&amp;sheet=U0&amp;row=3006&amp;col=7&amp;number=1.12&amp;sourceID=14","1.12")</f>
        <v>1.12</v>
      </c>
    </row>
    <row r="3007" spans="1:7">
      <c r="A3007" s="3"/>
      <c r="B3007" s="3"/>
      <c r="C3007" s="3"/>
      <c r="D3007" s="3"/>
      <c r="E3007" s="3">
        <v>4</v>
      </c>
      <c r="F3007" s="4" t="str">
        <f>HYPERLINK("http://141.218.60.56/~jnz1568/getInfo.php?workbook=18_15.xlsx&amp;sheet=U0&amp;row=3007&amp;col=6&amp;number=3.3&amp;sourceID=14","3.3")</f>
        <v>3.3</v>
      </c>
      <c r="G3007" s="4" t="str">
        <f>HYPERLINK("http://141.218.60.56/~jnz1568/getInfo.php?workbook=18_15.xlsx&amp;sheet=U0&amp;row=3007&amp;col=7&amp;number=1.14&amp;sourceID=14","1.14")</f>
        <v>1.14</v>
      </c>
    </row>
    <row r="3008" spans="1:7">
      <c r="A3008" s="3"/>
      <c r="B3008" s="3"/>
      <c r="C3008" s="3"/>
      <c r="D3008" s="3"/>
      <c r="E3008" s="3">
        <v>5</v>
      </c>
      <c r="F3008" s="4" t="str">
        <f>HYPERLINK("http://141.218.60.56/~jnz1568/getInfo.php?workbook=18_15.xlsx&amp;sheet=U0&amp;row=3008&amp;col=6&amp;number=3.4&amp;sourceID=14","3.4")</f>
        <v>3.4</v>
      </c>
      <c r="G3008" s="4" t="str">
        <f>HYPERLINK("http://141.218.60.56/~jnz1568/getInfo.php?workbook=18_15.xlsx&amp;sheet=U0&amp;row=3008&amp;col=7&amp;number=1.17&amp;sourceID=14","1.17")</f>
        <v>1.17</v>
      </c>
    </row>
    <row r="3009" spans="1:7">
      <c r="A3009" s="3"/>
      <c r="B3009" s="3"/>
      <c r="C3009" s="3"/>
      <c r="D3009" s="3"/>
      <c r="E3009" s="3">
        <v>6</v>
      </c>
      <c r="F3009" s="4" t="str">
        <f>HYPERLINK("http://141.218.60.56/~jnz1568/getInfo.php?workbook=18_15.xlsx&amp;sheet=U0&amp;row=3009&amp;col=6&amp;number=3.5&amp;sourceID=14","3.5")</f>
        <v>3.5</v>
      </c>
      <c r="G3009" s="4" t="str">
        <f>HYPERLINK("http://141.218.60.56/~jnz1568/getInfo.php?workbook=18_15.xlsx&amp;sheet=U0&amp;row=3009&amp;col=7&amp;number=1.2&amp;sourceID=14","1.2")</f>
        <v>1.2</v>
      </c>
    </row>
    <row r="3010" spans="1:7">
      <c r="A3010" s="3"/>
      <c r="B3010" s="3"/>
      <c r="C3010" s="3"/>
      <c r="D3010" s="3"/>
      <c r="E3010" s="3">
        <v>7</v>
      </c>
      <c r="F3010" s="4" t="str">
        <f>HYPERLINK("http://141.218.60.56/~jnz1568/getInfo.php?workbook=18_15.xlsx&amp;sheet=U0&amp;row=3010&amp;col=6&amp;number=3.6&amp;sourceID=14","3.6")</f>
        <v>3.6</v>
      </c>
      <c r="G3010" s="4" t="str">
        <f>HYPERLINK("http://141.218.60.56/~jnz1568/getInfo.php?workbook=18_15.xlsx&amp;sheet=U0&amp;row=3010&amp;col=7&amp;number=1.24&amp;sourceID=14","1.24")</f>
        <v>1.24</v>
      </c>
    </row>
    <row r="3011" spans="1:7">
      <c r="A3011" s="3"/>
      <c r="B3011" s="3"/>
      <c r="C3011" s="3"/>
      <c r="D3011" s="3"/>
      <c r="E3011" s="3">
        <v>8</v>
      </c>
      <c r="F3011" s="4" t="str">
        <f>HYPERLINK("http://141.218.60.56/~jnz1568/getInfo.php?workbook=18_15.xlsx&amp;sheet=U0&amp;row=3011&amp;col=6&amp;number=3.7&amp;sourceID=14","3.7")</f>
        <v>3.7</v>
      </c>
      <c r="G3011" s="4" t="str">
        <f>HYPERLINK("http://141.218.60.56/~jnz1568/getInfo.php?workbook=18_15.xlsx&amp;sheet=U0&amp;row=3011&amp;col=7&amp;number=1.27&amp;sourceID=14","1.27")</f>
        <v>1.27</v>
      </c>
    </row>
    <row r="3012" spans="1:7">
      <c r="A3012" s="3"/>
      <c r="B3012" s="3"/>
      <c r="C3012" s="3"/>
      <c r="D3012" s="3"/>
      <c r="E3012" s="3">
        <v>9</v>
      </c>
      <c r="F3012" s="4" t="str">
        <f>HYPERLINK("http://141.218.60.56/~jnz1568/getInfo.php?workbook=18_15.xlsx&amp;sheet=U0&amp;row=3012&amp;col=6&amp;number=3.8&amp;sourceID=14","3.8")</f>
        <v>3.8</v>
      </c>
      <c r="G3012" s="4" t="str">
        <f>HYPERLINK("http://141.218.60.56/~jnz1568/getInfo.php?workbook=18_15.xlsx&amp;sheet=U0&amp;row=3012&amp;col=7&amp;number=1.29&amp;sourceID=14","1.29")</f>
        <v>1.29</v>
      </c>
    </row>
    <row r="3013" spans="1:7">
      <c r="A3013" s="3"/>
      <c r="B3013" s="3"/>
      <c r="C3013" s="3"/>
      <c r="D3013" s="3"/>
      <c r="E3013" s="3">
        <v>10</v>
      </c>
      <c r="F3013" s="4" t="str">
        <f>HYPERLINK("http://141.218.60.56/~jnz1568/getInfo.php?workbook=18_15.xlsx&amp;sheet=U0&amp;row=3013&amp;col=6&amp;number=3.9&amp;sourceID=14","3.9")</f>
        <v>3.9</v>
      </c>
      <c r="G3013" s="4" t="str">
        <f>HYPERLINK("http://141.218.60.56/~jnz1568/getInfo.php?workbook=18_15.xlsx&amp;sheet=U0&amp;row=3013&amp;col=7&amp;number=1.31&amp;sourceID=14","1.31")</f>
        <v>1.31</v>
      </c>
    </row>
    <row r="3014" spans="1:7">
      <c r="A3014" s="3"/>
      <c r="B3014" s="3"/>
      <c r="C3014" s="3"/>
      <c r="D3014" s="3"/>
      <c r="E3014" s="3">
        <v>11</v>
      </c>
      <c r="F3014" s="4" t="str">
        <f>HYPERLINK("http://141.218.60.56/~jnz1568/getInfo.php?workbook=18_15.xlsx&amp;sheet=U0&amp;row=3014&amp;col=6&amp;number=4&amp;sourceID=14","4")</f>
        <v>4</v>
      </c>
      <c r="G3014" s="4" t="str">
        <f>HYPERLINK("http://141.218.60.56/~jnz1568/getInfo.php?workbook=18_15.xlsx&amp;sheet=U0&amp;row=3014&amp;col=7&amp;number=1.3&amp;sourceID=14","1.3")</f>
        <v>1.3</v>
      </c>
    </row>
    <row r="3015" spans="1:7">
      <c r="A3015" s="3"/>
      <c r="B3015" s="3"/>
      <c r="C3015" s="3"/>
      <c r="D3015" s="3"/>
      <c r="E3015" s="3">
        <v>12</v>
      </c>
      <c r="F3015" s="4" t="str">
        <f>HYPERLINK("http://141.218.60.56/~jnz1568/getInfo.php?workbook=18_15.xlsx&amp;sheet=U0&amp;row=3015&amp;col=6&amp;number=4.1&amp;sourceID=14","4.1")</f>
        <v>4.1</v>
      </c>
      <c r="G3015" s="4" t="str">
        <f>HYPERLINK("http://141.218.60.56/~jnz1568/getInfo.php?workbook=18_15.xlsx&amp;sheet=U0&amp;row=3015&amp;col=7&amp;number=1.29&amp;sourceID=14","1.29")</f>
        <v>1.29</v>
      </c>
    </row>
    <row r="3016" spans="1:7">
      <c r="A3016" s="3"/>
      <c r="B3016" s="3"/>
      <c r="C3016" s="3"/>
      <c r="D3016" s="3"/>
      <c r="E3016" s="3">
        <v>13</v>
      </c>
      <c r="F3016" s="4" t="str">
        <f>HYPERLINK("http://141.218.60.56/~jnz1568/getInfo.php?workbook=18_15.xlsx&amp;sheet=U0&amp;row=3016&amp;col=6&amp;number=4.2&amp;sourceID=14","4.2")</f>
        <v>4.2</v>
      </c>
      <c r="G3016" s="4" t="str">
        <f>HYPERLINK("http://141.218.60.56/~jnz1568/getInfo.php?workbook=18_15.xlsx&amp;sheet=U0&amp;row=3016&amp;col=7&amp;number=1.27&amp;sourceID=14","1.27")</f>
        <v>1.27</v>
      </c>
    </row>
    <row r="3017" spans="1:7">
      <c r="A3017" s="3"/>
      <c r="B3017" s="3"/>
      <c r="C3017" s="3"/>
      <c r="D3017" s="3"/>
      <c r="E3017" s="3">
        <v>14</v>
      </c>
      <c r="F3017" s="4" t="str">
        <f>HYPERLINK("http://141.218.60.56/~jnz1568/getInfo.php?workbook=18_15.xlsx&amp;sheet=U0&amp;row=3017&amp;col=6&amp;number=4.3&amp;sourceID=14","4.3")</f>
        <v>4.3</v>
      </c>
      <c r="G3017" s="4" t="str">
        <f>HYPERLINK("http://141.218.60.56/~jnz1568/getInfo.php?workbook=18_15.xlsx&amp;sheet=U0&amp;row=3017&amp;col=7&amp;number=1.24&amp;sourceID=14","1.24")</f>
        <v>1.24</v>
      </c>
    </row>
    <row r="3018" spans="1:7">
      <c r="A3018" s="3"/>
      <c r="B3018" s="3"/>
      <c r="C3018" s="3"/>
      <c r="D3018" s="3"/>
      <c r="E3018" s="3">
        <v>15</v>
      </c>
      <c r="F3018" s="4" t="str">
        <f>HYPERLINK("http://141.218.60.56/~jnz1568/getInfo.php?workbook=18_15.xlsx&amp;sheet=U0&amp;row=3018&amp;col=6&amp;number=4.4&amp;sourceID=14","4.4")</f>
        <v>4.4</v>
      </c>
      <c r="G3018" s="4" t="str">
        <f>HYPERLINK("http://141.218.60.56/~jnz1568/getInfo.php?workbook=18_15.xlsx&amp;sheet=U0&amp;row=3018&amp;col=7&amp;number=1.19&amp;sourceID=14","1.19")</f>
        <v>1.19</v>
      </c>
    </row>
    <row r="3019" spans="1:7">
      <c r="A3019" s="3"/>
      <c r="B3019" s="3"/>
      <c r="C3019" s="3"/>
      <c r="D3019" s="3"/>
      <c r="E3019" s="3">
        <v>16</v>
      </c>
      <c r="F3019" s="4" t="str">
        <f>HYPERLINK("http://141.218.60.56/~jnz1568/getInfo.php?workbook=18_15.xlsx&amp;sheet=U0&amp;row=3019&amp;col=6&amp;number=4.5&amp;sourceID=14","4.5")</f>
        <v>4.5</v>
      </c>
      <c r="G3019" s="4" t="str">
        <f>HYPERLINK("http://141.218.60.56/~jnz1568/getInfo.php?workbook=18_15.xlsx&amp;sheet=U0&amp;row=3019&amp;col=7&amp;number=1.12&amp;sourceID=14","1.12")</f>
        <v>1.12</v>
      </c>
    </row>
    <row r="3020" spans="1:7">
      <c r="A3020" s="3"/>
      <c r="B3020" s="3"/>
      <c r="C3020" s="3"/>
      <c r="D3020" s="3"/>
      <c r="E3020" s="3">
        <v>17</v>
      </c>
      <c r="F3020" s="4" t="str">
        <f>HYPERLINK("http://141.218.60.56/~jnz1568/getInfo.php?workbook=18_15.xlsx&amp;sheet=U0&amp;row=3020&amp;col=6&amp;number=4.6&amp;sourceID=14","4.6")</f>
        <v>4.6</v>
      </c>
      <c r="G3020" s="4" t="str">
        <f>HYPERLINK("http://141.218.60.56/~jnz1568/getInfo.php?workbook=18_15.xlsx&amp;sheet=U0&amp;row=3020&amp;col=7&amp;number=1.04&amp;sourceID=14","1.04")</f>
        <v>1.04</v>
      </c>
    </row>
    <row r="3021" spans="1:7">
      <c r="A3021" s="3"/>
      <c r="B3021" s="3"/>
      <c r="C3021" s="3"/>
      <c r="D3021" s="3"/>
      <c r="E3021" s="3">
        <v>18</v>
      </c>
      <c r="F3021" s="4" t="str">
        <f>HYPERLINK("http://141.218.60.56/~jnz1568/getInfo.php?workbook=18_15.xlsx&amp;sheet=U0&amp;row=3021&amp;col=6&amp;number=4.7&amp;sourceID=14","4.7")</f>
        <v>4.7</v>
      </c>
      <c r="G3021" s="4" t="str">
        <f>HYPERLINK("http://141.218.60.56/~jnz1568/getInfo.php?workbook=18_15.xlsx&amp;sheet=U0&amp;row=3021&amp;col=7&amp;number=0.954&amp;sourceID=14","0.954")</f>
        <v>0.954</v>
      </c>
    </row>
    <row r="3022" spans="1:7">
      <c r="A3022" s="3"/>
      <c r="B3022" s="3"/>
      <c r="C3022" s="3"/>
      <c r="D3022" s="3"/>
      <c r="E3022" s="3">
        <v>19</v>
      </c>
      <c r="F3022" s="4" t="str">
        <f>HYPERLINK("http://141.218.60.56/~jnz1568/getInfo.php?workbook=18_15.xlsx&amp;sheet=U0&amp;row=3022&amp;col=6&amp;number=4.8&amp;sourceID=14","4.8")</f>
        <v>4.8</v>
      </c>
      <c r="G3022" s="4" t="str">
        <f>HYPERLINK("http://141.218.60.56/~jnz1568/getInfo.php?workbook=18_15.xlsx&amp;sheet=U0&amp;row=3022&amp;col=7&amp;number=0.864&amp;sourceID=14","0.864")</f>
        <v>0.864</v>
      </c>
    </row>
    <row r="3023" spans="1:7">
      <c r="A3023" s="3"/>
      <c r="B3023" s="3"/>
      <c r="C3023" s="3"/>
      <c r="D3023" s="3"/>
      <c r="E3023" s="3">
        <v>20</v>
      </c>
      <c r="F3023" s="4" t="str">
        <f>HYPERLINK("http://141.218.60.56/~jnz1568/getInfo.php?workbook=18_15.xlsx&amp;sheet=U0&amp;row=3023&amp;col=6&amp;number=4.9&amp;sourceID=14","4.9")</f>
        <v>4.9</v>
      </c>
      <c r="G3023" s="4" t="str">
        <f>HYPERLINK("http://141.218.60.56/~jnz1568/getInfo.php?workbook=18_15.xlsx&amp;sheet=U0&amp;row=3023&amp;col=7&amp;number=0.769&amp;sourceID=14","0.769")</f>
        <v>0.769</v>
      </c>
    </row>
    <row r="3024" spans="1:7">
      <c r="A3024" s="3">
        <v>18</v>
      </c>
      <c r="B3024" s="3">
        <v>15</v>
      </c>
      <c r="C3024" s="3">
        <v>14</v>
      </c>
      <c r="D3024" s="3">
        <v>25</v>
      </c>
      <c r="E3024" s="3">
        <v>1</v>
      </c>
      <c r="F3024" s="4" t="str">
        <f>HYPERLINK("http://141.218.60.56/~jnz1568/getInfo.php?workbook=18_15.xlsx&amp;sheet=U0&amp;row=3024&amp;col=6&amp;number=3&amp;sourceID=14","3")</f>
        <v>3</v>
      </c>
      <c r="G3024" s="4" t="str">
        <f>HYPERLINK("http://141.218.60.56/~jnz1568/getInfo.php?workbook=18_15.xlsx&amp;sheet=U0&amp;row=3024&amp;col=7&amp;number=0.0497&amp;sourceID=14","0.0497")</f>
        <v>0.0497</v>
      </c>
    </row>
    <row r="3025" spans="1:7">
      <c r="A3025" s="3"/>
      <c r="B3025" s="3"/>
      <c r="C3025" s="3"/>
      <c r="D3025" s="3"/>
      <c r="E3025" s="3">
        <v>2</v>
      </c>
      <c r="F3025" s="4" t="str">
        <f>HYPERLINK("http://141.218.60.56/~jnz1568/getInfo.php?workbook=18_15.xlsx&amp;sheet=U0&amp;row=3025&amp;col=6&amp;number=3.1&amp;sourceID=14","3.1")</f>
        <v>3.1</v>
      </c>
      <c r="G3025" s="4" t="str">
        <f>HYPERLINK("http://141.218.60.56/~jnz1568/getInfo.php?workbook=18_15.xlsx&amp;sheet=U0&amp;row=3025&amp;col=7&amp;number=0.0506&amp;sourceID=14","0.0506")</f>
        <v>0.0506</v>
      </c>
    </row>
    <row r="3026" spans="1:7">
      <c r="A3026" s="3"/>
      <c r="B3026" s="3"/>
      <c r="C3026" s="3"/>
      <c r="D3026" s="3"/>
      <c r="E3026" s="3">
        <v>3</v>
      </c>
      <c r="F3026" s="4" t="str">
        <f>HYPERLINK("http://141.218.60.56/~jnz1568/getInfo.php?workbook=18_15.xlsx&amp;sheet=U0&amp;row=3026&amp;col=6&amp;number=3.2&amp;sourceID=14","3.2")</f>
        <v>3.2</v>
      </c>
      <c r="G3026" s="4" t="str">
        <f>HYPERLINK("http://141.218.60.56/~jnz1568/getInfo.php?workbook=18_15.xlsx&amp;sheet=U0&amp;row=3026&amp;col=7&amp;number=0.0519&amp;sourceID=14","0.0519")</f>
        <v>0.0519</v>
      </c>
    </row>
    <row r="3027" spans="1:7">
      <c r="A3027" s="3"/>
      <c r="B3027" s="3"/>
      <c r="C3027" s="3"/>
      <c r="D3027" s="3"/>
      <c r="E3027" s="3">
        <v>4</v>
      </c>
      <c r="F3027" s="4" t="str">
        <f>HYPERLINK("http://141.218.60.56/~jnz1568/getInfo.php?workbook=18_15.xlsx&amp;sheet=U0&amp;row=3027&amp;col=6&amp;number=3.3&amp;sourceID=14","3.3")</f>
        <v>3.3</v>
      </c>
      <c r="G3027" s="4" t="str">
        <f>HYPERLINK("http://141.218.60.56/~jnz1568/getInfo.php?workbook=18_15.xlsx&amp;sheet=U0&amp;row=3027&amp;col=7&amp;number=0.0534&amp;sourceID=14","0.0534")</f>
        <v>0.0534</v>
      </c>
    </row>
    <row r="3028" spans="1:7">
      <c r="A3028" s="3"/>
      <c r="B3028" s="3"/>
      <c r="C3028" s="3"/>
      <c r="D3028" s="3"/>
      <c r="E3028" s="3">
        <v>5</v>
      </c>
      <c r="F3028" s="4" t="str">
        <f>HYPERLINK("http://141.218.60.56/~jnz1568/getInfo.php?workbook=18_15.xlsx&amp;sheet=U0&amp;row=3028&amp;col=6&amp;number=3.4&amp;sourceID=14","3.4")</f>
        <v>3.4</v>
      </c>
      <c r="G3028" s="4" t="str">
        <f>HYPERLINK("http://141.218.60.56/~jnz1568/getInfo.php?workbook=18_15.xlsx&amp;sheet=U0&amp;row=3028&amp;col=7&amp;number=0.0553&amp;sourceID=14","0.0553")</f>
        <v>0.0553</v>
      </c>
    </row>
    <row r="3029" spans="1:7">
      <c r="A3029" s="3"/>
      <c r="B3029" s="3"/>
      <c r="C3029" s="3"/>
      <c r="D3029" s="3"/>
      <c r="E3029" s="3">
        <v>6</v>
      </c>
      <c r="F3029" s="4" t="str">
        <f>HYPERLINK("http://141.218.60.56/~jnz1568/getInfo.php?workbook=18_15.xlsx&amp;sheet=U0&amp;row=3029&amp;col=6&amp;number=3.5&amp;sourceID=14","3.5")</f>
        <v>3.5</v>
      </c>
      <c r="G3029" s="4" t="str">
        <f>HYPERLINK("http://141.218.60.56/~jnz1568/getInfo.php?workbook=18_15.xlsx&amp;sheet=U0&amp;row=3029&amp;col=7&amp;number=0.0577&amp;sourceID=14","0.0577")</f>
        <v>0.0577</v>
      </c>
    </row>
    <row r="3030" spans="1:7">
      <c r="A3030" s="3"/>
      <c r="B3030" s="3"/>
      <c r="C3030" s="3"/>
      <c r="D3030" s="3"/>
      <c r="E3030" s="3">
        <v>7</v>
      </c>
      <c r="F3030" s="4" t="str">
        <f>HYPERLINK("http://141.218.60.56/~jnz1568/getInfo.php?workbook=18_15.xlsx&amp;sheet=U0&amp;row=3030&amp;col=6&amp;number=3.6&amp;sourceID=14","3.6")</f>
        <v>3.6</v>
      </c>
      <c r="G3030" s="4" t="str">
        <f>HYPERLINK("http://141.218.60.56/~jnz1568/getInfo.php?workbook=18_15.xlsx&amp;sheet=U0&amp;row=3030&amp;col=7&amp;number=0.0606&amp;sourceID=14","0.0606")</f>
        <v>0.0606</v>
      </c>
    </row>
    <row r="3031" spans="1:7">
      <c r="A3031" s="3"/>
      <c r="B3031" s="3"/>
      <c r="C3031" s="3"/>
      <c r="D3031" s="3"/>
      <c r="E3031" s="3">
        <v>8</v>
      </c>
      <c r="F3031" s="4" t="str">
        <f>HYPERLINK("http://141.218.60.56/~jnz1568/getInfo.php?workbook=18_15.xlsx&amp;sheet=U0&amp;row=3031&amp;col=6&amp;number=3.7&amp;sourceID=14","3.7")</f>
        <v>3.7</v>
      </c>
      <c r="G3031" s="4" t="str">
        <f>HYPERLINK("http://141.218.60.56/~jnz1568/getInfo.php?workbook=18_15.xlsx&amp;sheet=U0&amp;row=3031&amp;col=7&amp;number=0.0644&amp;sourceID=14","0.0644")</f>
        <v>0.0644</v>
      </c>
    </row>
    <row r="3032" spans="1:7">
      <c r="A3032" s="3"/>
      <c r="B3032" s="3"/>
      <c r="C3032" s="3"/>
      <c r="D3032" s="3"/>
      <c r="E3032" s="3">
        <v>9</v>
      </c>
      <c r="F3032" s="4" t="str">
        <f>HYPERLINK("http://141.218.60.56/~jnz1568/getInfo.php?workbook=18_15.xlsx&amp;sheet=U0&amp;row=3032&amp;col=6&amp;number=3.8&amp;sourceID=14","3.8")</f>
        <v>3.8</v>
      </c>
      <c r="G3032" s="4" t="str">
        <f>HYPERLINK("http://141.218.60.56/~jnz1568/getInfo.php?workbook=18_15.xlsx&amp;sheet=U0&amp;row=3032&amp;col=7&amp;number=0.0693&amp;sourceID=14","0.0693")</f>
        <v>0.0693</v>
      </c>
    </row>
    <row r="3033" spans="1:7">
      <c r="A3033" s="3"/>
      <c r="B3033" s="3"/>
      <c r="C3033" s="3"/>
      <c r="D3033" s="3"/>
      <c r="E3033" s="3">
        <v>10</v>
      </c>
      <c r="F3033" s="4" t="str">
        <f>HYPERLINK("http://141.218.60.56/~jnz1568/getInfo.php?workbook=18_15.xlsx&amp;sheet=U0&amp;row=3033&amp;col=6&amp;number=3.9&amp;sourceID=14","3.9")</f>
        <v>3.9</v>
      </c>
      <c r="G3033" s="4" t="str">
        <f>HYPERLINK("http://141.218.60.56/~jnz1568/getInfo.php?workbook=18_15.xlsx&amp;sheet=U0&amp;row=3033&amp;col=7&amp;number=0.0755&amp;sourceID=14","0.0755")</f>
        <v>0.0755</v>
      </c>
    </row>
    <row r="3034" spans="1:7">
      <c r="A3034" s="3"/>
      <c r="B3034" s="3"/>
      <c r="C3034" s="3"/>
      <c r="D3034" s="3"/>
      <c r="E3034" s="3">
        <v>11</v>
      </c>
      <c r="F3034" s="4" t="str">
        <f>HYPERLINK("http://141.218.60.56/~jnz1568/getInfo.php?workbook=18_15.xlsx&amp;sheet=U0&amp;row=3034&amp;col=6&amp;number=4&amp;sourceID=14","4")</f>
        <v>4</v>
      </c>
      <c r="G3034" s="4" t="str">
        <f>HYPERLINK("http://141.218.60.56/~jnz1568/getInfo.php?workbook=18_15.xlsx&amp;sheet=U0&amp;row=3034&amp;col=7&amp;number=0.0835&amp;sourceID=14","0.0835")</f>
        <v>0.0835</v>
      </c>
    </row>
    <row r="3035" spans="1:7">
      <c r="A3035" s="3"/>
      <c r="B3035" s="3"/>
      <c r="C3035" s="3"/>
      <c r="D3035" s="3"/>
      <c r="E3035" s="3">
        <v>12</v>
      </c>
      <c r="F3035" s="4" t="str">
        <f>HYPERLINK("http://141.218.60.56/~jnz1568/getInfo.php?workbook=18_15.xlsx&amp;sheet=U0&amp;row=3035&amp;col=6&amp;number=4.1&amp;sourceID=14","4.1")</f>
        <v>4.1</v>
      </c>
      <c r="G3035" s="4" t="str">
        <f>HYPERLINK("http://141.218.60.56/~jnz1568/getInfo.php?workbook=18_15.xlsx&amp;sheet=U0&amp;row=3035&amp;col=7&amp;number=0.0929&amp;sourceID=14","0.0929")</f>
        <v>0.0929</v>
      </c>
    </row>
    <row r="3036" spans="1:7">
      <c r="A3036" s="3"/>
      <c r="B3036" s="3"/>
      <c r="C3036" s="3"/>
      <c r="D3036" s="3"/>
      <c r="E3036" s="3">
        <v>13</v>
      </c>
      <c r="F3036" s="4" t="str">
        <f>HYPERLINK("http://141.218.60.56/~jnz1568/getInfo.php?workbook=18_15.xlsx&amp;sheet=U0&amp;row=3036&amp;col=6&amp;number=4.2&amp;sourceID=14","4.2")</f>
        <v>4.2</v>
      </c>
      <c r="G3036" s="4" t="str">
        <f>HYPERLINK("http://141.218.60.56/~jnz1568/getInfo.php?workbook=18_15.xlsx&amp;sheet=U0&amp;row=3036&amp;col=7&amp;number=0.103&amp;sourceID=14","0.103")</f>
        <v>0.103</v>
      </c>
    </row>
    <row r="3037" spans="1:7">
      <c r="A3037" s="3"/>
      <c r="B3037" s="3"/>
      <c r="C3037" s="3"/>
      <c r="D3037" s="3"/>
      <c r="E3037" s="3">
        <v>14</v>
      </c>
      <c r="F3037" s="4" t="str">
        <f>HYPERLINK("http://141.218.60.56/~jnz1568/getInfo.php?workbook=18_15.xlsx&amp;sheet=U0&amp;row=3037&amp;col=6&amp;number=4.3&amp;sourceID=14","4.3")</f>
        <v>4.3</v>
      </c>
      <c r="G3037" s="4" t="str">
        <f>HYPERLINK("http://141.218.60.56/~jnz1568/getInfo.php?workbook=18_15.xlsx&amp;sheet=U0&amp;row=3037&amp;col=7&amp;number=0.111&amp;sourceID=14","0.111")</f>
        <v>0.111</v>
      </c>
    </row>
    <row r="3038" spans="1:7">
      <c r="A3038" s="3"/>
      <c r="B3038" s="3"/>
      <c r="C3038" s="3"/>
      <c r="D3038" s="3"/>
      <c r="E3038" s="3">
        <v>15</v>
      </c>
      <c r="F3038" s="4" t="str">
        <f>HYPERLINK("http://141.218.60.56/~jnz1568/getInfo.php?workbook=18_15.xlsx&amp;sheet=U0&amp;row=3038&amp;col=6&amp;number=4.4&amp;sourceID=14","4.4")</f>
        <v>4.4</v>
      </c>
      <c r="G3038" s="4" t="str">
        <f>HYPERLINK("http://141.218.60.56/~jnz1568/getInfo.php?workbook=18_15.xlsx&amp;sheet=U0&amp;row=3038&amp;col=7&amp;number=0.116&amp;sourceID=14","0.116")</f>
        <v>0.116</v>
      </c>
    </row>
    <row r="3039" spans="1:7">
      <c r="A3039" s="3"/>
      <c r="B3039" s="3"/>
      <c r="C3039" s="3"/>
      <c r="D3039" s="3"/>
      <c r="E3039" s="3">
        <v>16</v>
      </c>
      <c r="F3039" s="4" t="str">
        <f>HYPERLINK("http://141.218.60.56/~jnz1568/getInfo.php?workbook=18_15.xlsx&amp;sheet=U0&amp;row=3039&amp;col=6&amp;number=4.5&amp;sourceID=14","4.5")</f>
        <v>4.5</v>
      </c>
      <c r="G3039" s="4" t="str">
        <f>HYPERLINK("http://141.218.60.56/~jnz1568/getInfo.php?workbook=18_15.xlsx&amp;sheet=U0&amp;row=3039&amp;col=7&amp;number=0.118&amp;sourceID=14","0.118")</f>
        <v>0.118</v>
      </c>
    </row>
    <row r="3040" spans="1:7">
      <c r="A3040" s="3"/>
      <c r="B3040" s="3"/>
      <c r="C3040" s="3"/>
      <c r="D3040" s="3"/>
      <c r="E3040" s="3">
        <v>17</v>
      </c>
      <c r="F3040" s="4" t="str">
        <f>HYPERLINK("http://141.218.60.56/~jnz1568/getInfo.php?workbook=18_15.xlsx&amp;sheet=U0&amp;row=3040&amp;col=6&amp;number=4.6&amp;sourceID=14","4.6")</f>
        <v>4.6</v>
      </c>
      <c r="G3040" s="4" t="str">
        <f>HYPERLINK("http://141.218.60.56/~jnz1568/getInfo.php?workbook=18_15.xlsx&amp;sheet=U0&amp;row=3040&amp;col=7&amp;number=0.12&amp;sourceID=14","0.12")</f>
        <v>0.12</v>
      </c>
    </row>
    <row r="3041" spans="1:7">
      <c r="A3041" s="3"/>
      <c r="B3041" s="3"/>
      <c r="C3041" s="3"/>
      <c r="D3041" s="3"/>
      <c r="E3041" s="3">
        <v>18</v>
      </c>
      <c r="F3041" s="4" t="str">
        <f>HYPERLINK("http://141.218.60.56/~jnz1568/getInfo.php?workbook=18_15.xlsx&amp;sheet=U0&amp;row=3041&amp;col=6&amp;number=4.7&amp;sourceID=14","4.7")</f>
        <v>4.7</v>
      </c>
      <c r="G3041" s="4" t="str">
        <f>HYPERLINK("http://141.218.60.56/~jnz1568/getInfo.php?workbook=18_15.xlsx&amp;sheet=U0&amp;row=3041&amp;col=7&amp;number=0.121&amp;sourceID=14","0.121")</f>
        <v>0.121</v>
      </c>
    </row>
    <row r="3042" spans="1:7">
      <c r="A3042" s="3"/>
      <c r="B3042" s="3"/>
      <c r="C3042" s="3"/>
      <c r="D3042" s="3"/>
      <c r="E3042" s="3">
        <v>19</v>
      </c>
      <c r="F3042" s="4" t="str">
        <f>HYPERLINK("http://141.218.60.56/~jnz1568/getInfo.php?workbook=18_15.xlsx&amp;sheet=U0&amp;row=3042&amp;col=6&amp;number=4.8&amp;sourceID=14","4.8")</f>
        <v>4.8</v>
      </c>
      <c r="G3042" s="4" t="str">
        <f>HYPERLINK("http://141.218.60.56/~jnz1568/getInfo.php?workbook=18_15.xlsx&amp;sheet=U0&amp;row=3042&amp;col=7&amp;number=0.123&amp;sourceID=14","0.123")</f>
        <v>0.123</v>
      </c>
    </row>
    <row r="3043" spans="1:7">
      <c r="A3043" s="3"/>
      <c r="B3043" s="3"/>
      <c r="C3043" s="3"/>
      <c r="D3043" s="3"/>
      <c r="E3043" s="3">
        <v>20</v>
      </c>
      <c r="F3043" s="4" t="str">
        <f>HYPERLINK("http://141.218.60.56/~jnz1568/getInfo.php?workbook=18_15.xlsx&amp;sheet=U0&amp;row=3043&amp;col=6&amp;number=4.9&amp;sourceID=14","4.9")</f>
        <v>4.9</v>
      </c>
      <c r="G3043" s="4" t="str">
        <f>HYPERLINK("http://141.218.60.56/~jnz1568/getInfo.php?workbook=18_15.xlsx&amp;sheet=U0&amp;row=3043&amp;col=7&amp;number=0.124&amp;sourceID=14","0.124")</f>
        <v>0.124</v>
      </c>
    </row>
    <row r="3044" spans="1:7">
      <c r="A3044" s="3">
        <v>18</v>
      </c>
      <c r="B3044" s="3">
        <v>15</v>
      </c>
      <c r="C3044" s="3">
        <v>15</v>
      </c>
      <c r="D3044" s="3">
        <v>17</v>
      </c>
      <c r="E3044" s="3">
        <v>1</v>
      </c>
      <c r="F3044" s="4" t="str">
        <f>HYPERLINK("http://141.218.60.56/~jnz1568/getInfo.php?workbook=18_15.xlsx&amp;sheet=U0&amp;row=3044&amp;col=6&amp;number=3&amp;sourceID=14","3")</f>
        <v>3</v>
      </c>
      <c r="G3044" s="4" t="str">
        <f>HYPERLINK("http://141.218.60.56/~jnz1568/getInfo.php?workbook=18_15.xlsx&amp;sheet=U0&amp;row=3044&amp;col=7&amp;number=2.4&amp;sourceID=14","2.4")</f>
        <v>2.4</v>
      </c>
    </row>
    <row r="3045" spans="1:7">
      <c r="A3045" s="3"/>
      <c r="B3045" s="3"/>
      <c r="C3045" s="3"/>
      <c r="D3045" s="3"/>
      <c r="E3045" s="3">
        <v>2</v>
      </c>
      <c r="F3045" s="4" t="str">
        <f>HYPERLINK("http://141.218.60.56/~jnz1568/getInfo.php?workbook=18_15.xlsx&amp;sheet=U0&amp;row=3045&amp;col=6&amp;number=3.1&amp;sourceID=14","3.1")</f>
        <v>3.1</v>
      </c>
      <c r="G3045" s="4" t="str">
        <f>HYPERLINK("http://141.218.60.56/~jnz1568/getInfo.php?workbook=18_15.xlsx&amp;sheet=U0&amp;row=3045&amp;col=7&amp;number=2.4&amp;sourceID=14","2.4")</f>
        <v>2.4</v>
      </c>
    </row>
    <row r="3046" spans="1:7">
      <c r="A3046" s="3"/>
      <c r="B3046" s="3"/>
      <c r="C3046" s="3"/>
      <c r="D3046" s="3"/>
      <c r="E3046" s="3">
        <v>3</v>
      </c>
      <c r="F3046" s="4" t="str">
        <f>HYPERLINK("http://141.218.60.56/~jnz1568/getInfo.php?workbook=18_15.xlsx&amp;sheet=U0&amp;row=3046&amp;col=6&amp;number=3.2&amp;sourceID=14","3.2")</f>
        <v>3.2</v>
      </c>
      <c r="G3046" s="4" t="str">
        <f>HYPERLINK("http://141.218.60.56/~jnz1568/getInfo.php?workbook=18_15.xlsx&amp;sheet=U0&amp;row=3046&amp;col=7&amp;number=2.41&amp;sourceID=14","2.41")</f>
        <v>2.41</v>
      </c>
    </row>
    <row r="3047" spans="1:7">
      <c r="A3047" s="3"/>
      <c r="B3047" s="3"/>
      <c r="C3047" s="3"/>
      <c r="D3047" s="3"/>
      <c r="E3047" s="3">
        <v>4</v>
      </c>
      <c r="F3047" s="4" t="str">
        <f>HYPERLINK("http://141.218.60.56/~jnz1568/getInfo.php?workbook=18_15.xlsx&amp;sheet=U0&amp;row=3047&amp;col=6&amp;number=3.3&amp;sourceID=14","3.3")</f>
        <v>3.3</v>
      </c>
      <c r="G3047" s="4" t="str">
        <f>HYPERLINK("http://141.218.60.56/~jnz1568/getInfo.php?workbook=18_15.xlsx&amp;sheet=U0&amp;row=3047&amp;col=7&amp;number=2.41&amp;sourceID=14","2.41")</f>
        <v>2.41</v>
      </c>
    </row>
    <row r="3048" spans="1:7">
      <c r="A3048" s="3"/>
      <c r="B3048" s="3"/>
      <c r="C3048" s="3"/>
      <c r="D3048" s="3"/>
      <c r="E3048" s="3">
        <v>5</v>
      </c>
      <c r="F3048" s="4" t="str">
        <f>HYPERLINK("http://141.218.60.56/~jnz1568/getInfo.php?workbook=18_15.xlsx&amp;sheet=U0&amp;row=3048&amp;col=6&amp;number=3.4&amp;sourceID=14","3.4")</f>
        <v>3.4</v>
      </c>
      <c r="G3048" s="4" t="str">
        <f>HYPERLINK("http://141.218.60.56/~jnz1568/getInfo.php?workbook=18_15.xlsx&amp;sheet=U0&amp;row=3048&amp;col=7&amp;number=2.42&amp;sourceID=14","2.42")</f>
        <v>2.42</v>
      </c>
    </row>
    <row r="3049" spans="1:7">
      <c r="A3049" s="3"/>
      <c r="B3049" s="3"/>
      <c r="C3049" s="3"/>
      <c r="D3049" s="3"/>
      <c r="E3049" s="3">
        <v>6</v>
      </c>
      <c r="F3049" s="4" t="str">
        <f>HYPERLINK("http://141.218.60.56/~jnz1568/getInfo.php?workbook=18_15.xlsx&amp;sheet=U0&amp;row=3049&amp;col=6&amp;number=3.5&amp;sourceID=14","3.5")</f>
        <v>3.5</v>
      </c>
      <c r="G3049" s="4" t="str">
        <f>HYPERLINK("http://141.218.60.56/~jnz1568/getInfo.php?workbook=18_15.xlsx&amp;sheet=U0&amp;row=3049&amp;col=7&amp;number=2.43&amp;sourceID=14","2.43")</f>
        <v>2.43</v>
      </c>
    </row>
    <row r="3050" spans="1:7">
      <c r="A3050" s="3"/>
      <c r="B3050" s="3"/>
      <c r="C3050" s="3"/>
      <c r="D3050" s="3"/>
      <c r="E3050" s="3">
        <v>7</v>
      </c>
      <c r="F3050" s="4" t="str">
        <f>HYPERLINK("http://141.218.60.56/~jnz1568/getInfo.php?workbook=18_15.xlsx&amp;sheet=U0&amp;row=3050&amp;col=6&amp;number=3.6&amp;sourceID=14","3.6")</f>
        <v>3.6</v>
      </c>
      <c r="G3050" s="4" t="str">
        <f>HYPERLINK("http://141.218.60.56/~jnz1568/getInfo.php?workbook=18_15.xlsx&amp;sheet=U0&amp;row=3050&amp;col=7&amp;number=2.44&amp;sourceID=14","2.44")</f>
        <v>2.44</v>
      </c>
    </row>
    <row r="3051" spans="1:7">
      <c r="A3051" s="3"/>
      <c r="B3051" s="3"/>
      <c r="C3051" s="3"/>
      <c r="D3051" s="3"/>
      <c r="E3051" s="3">
        <v>8</v>
      </c>
      <c r="F3051" s="4" t="str">
        <f>HYPERLINK("http://141.218.60.56/~jnz1568/getInfo.php?workbook=18_15.xlsx&amp;sheet=U0&amp;row=3051&amp;col=6&amp;number=3.7&amp;sourceID=14","3.7")</f>
        <v>3.7</v>
      </c>
      <c r="G3051" s="4" t="str">
        <f>HYPERLINK("http://141.218.60.56/~jnz1568/getInfo.php?workbook=18_15.xlsx&amp;sheet=U0&amp;row=3051&amp;col=7&amp;number=2.44&amp;sourceID=14","2.44")</f>
        <v>2.44</v>
      </c>
    </row>
    <row r="3052" spans="1:7">
      <c r="A3052" s="3"/>
      <c r="B3052" s="3"/>
      <c r="C3052" s="3"/>
      <c r="D3052" s="3"/>
      <c r="E3052" s="3">
        <v>9</v>
      </c>
      <c r="F3052" s="4" t="str">
        <f>HYPERLINK("http://141.218.60.56/~jnz1568/getInfo.php?workbook=18_15.xlsx&amp;sheet=U0&amp;row=3052&amp;col=6&amp;number=3.8&amp;sourceID=14","3.8")</f>
        <v>3.8</v>
      </c>
      <c r="G3052" s="4" t="str">
        <f>HYPERLINK("http://141.218.60.56/~jnz1568/getInfo.php?workbook=18_15.xlsx&amp;sheet=U0&amp;row=3052&amp;col=7&amp;number=2.44&amp;sourceID=14","2.44")</f>
        <v>2.44</v>
      </c>
    </row>
    <row r="3053" spans="1:7">
      <c r="A3053" s="3"/>
      <c r="B3053" s="3"/>
      <c r="C3053" s="3"/>
      <c r="D3053" s="3"/>
      <c r="E3053" s="3">
        <v>10</v>
      </c>
      <c r="F3053" s="4" t="str">
        <f>HYPERLINK("http://141.218.60.56/~jnz1568/getInfo.php?workbook=18_15.xlsx&amp;sheet=U0&amp;row=3053&amp;col=6&amp;number=3.9&amp;sourceID=14","3.9")</f>
        <v>3.9</v>
      </c>
      <c r="G3053" s="4" t="str">
        <f>HYPERLINK("http://141.218.60.56/~jnz1568/getInfo.php?workbook=18_15.xlsx&amp;sheet=U0&amp;row=3053&amp;col=7&amp;number=2.41&amp;sourceID=14","2.41")</f>
        <v>2.41</v>
      </c>
    </row>
    <row r="3054" spans="1:7">
      <c r="A3054" s="3"/>
      <c r="B3054" s="3"/>
      <c r="C3054" s="3"/>
      <c r="D3054" s="3"/>
      <c r="E3054" s="3">
        <v>11</v>
      </c>
      <c r="F3054" s="4" t="str">
        <f>HYPERLINK("http://141.218.60.56/~jnz1568/getInfo.php?workbook=18_15.xlsx&amp;sheet=U0&amp;row=3054&amp;col=6&amp;number=4&amp;sourceID=14","4")</f>
        <v>4</v>
      </c>
      <c r="G3054" s="4" t="str">
        <f>HYPERLINK("http://141.218.60.56/~jnz1568/getInfo.php?workbook=18_15.xlsx&amp;sheet=U0&amp;row=3054&amp;col=7&amp;number=2.37&amp;sourceID=14","2.37")</f>
        <v>2.37</v>
      </c>
    </row>
    <row r="3055" spans="1:7">
      <c r="A3055" s="3"/>
      <c r="B3055" s="3"/>
      <c r="C3055" s="3"/>
      <c r="D3055" s="3"/>
      <c r="E3055" s="3">
        <v>12</v>
      </c>
      <c r="F3055" s="4" t="str">
        <f>HYPERLINK("http://141.218.60.56/~jnz1568/getInfo.php?workbook=18_15.xlsx&amp;sheet=U0&amp;row=3055&amp;col=6&amp;number=4.1&amp;sourceID=14","4.1")</f>
        <v>4.1</v>
      </c>
      <c r="G3055" s="4" t="str">
        <f>HYPERLINK("http://141.218.60.56/~jnz1568/getInfo.php?workbook=18_15.xlsx&amp;sheet=U0&amp;row=3055&amp;col=7&amp;number=2.31&amp;sourceID=14","2.31")</f>
        <v>2.31</v>
      </c>
    </row>
    <row r="3056" spans="1:7">
      <c r="A3056" s="3"/>
      <c r="B3056" s="3"/>
      <c r="C3056" s="3"/>
      <c r="D3056" s="3"/>
      <c r="E3056" s="3">
        <v>13</v>
      </c>
      <c r="F3056" s="4" t="str">
        <f>HYPERLINK("http://141.218.60.56/~jnz1568/getInfo.php?workbook=18_15.xlsx&amp;sheet=U0&amp;row=3056&amp;col=6&amp;number=4.2&amp;sourceID=14","4.2")</f>
        <v>4.2</v>
      </c>
      <c r="G3056" s="4" t="str">
        <f>HYPERLINK("http://141.218.60.56/~jnz1568/getInfo.php?workbook=18_15.xlsx&amp;sheet=U0&amp;row=3056&amp;col=7&amp;number=2.23&amp;sourceID=14","2.23")</f>
        <v>2.23</v>
      </c>
    </row>
    <row r="3057" spans="1:7">
      <c r="A3057" s="3"/>
      <c r="B3057" s="3"/>
      <c r="C3057" s="3"/>
      <c r="D3057" s="3"/>
      <c r="E3057" s="3">
        <v>14</v>
      </c>
      <c r="F3057" s="4" t="str">
        <f>HYPERLINK("http://141.218.60.56/~jnz1568/getInfo.php?workbook=18_15.xlsx&amp;sheet=U0&amp;row=3057&amp;col=6&amp;number=4.3&amp;sourceID=14","4.3")</f>
        <v>4.3</v>
      </c>
      <c r="G3057" s="4" t="str">
        <f>HYPERLINK("http://141.218.60.56/~jnz1568/getInfo.php?workbook=18_15.xlsx&amp;sheet=U0&amp;row=3057&amp;col=7&amp;number=2.16&amp;sourceID=14","2.16")</f>
        <v>2.16</v>
      </c>
    </row>
    <row r="3058" spans="1:7">
      <c r="A3058" s="3"/>
      <c r="B3058" s="3"/>
      <c r="C3058" s="3"/>
      <c r="D3058" s="3"/>
      <c r="E3058" s="3">
        <v>15</v>
      </c>
      <c r="F3058" s="4" t="str">
        <f>HYPERLINK("http://141.218.60.56/~jnz1568/getInfo.php?workbook=18_15.xlsx&amp;sheet=U0&amp;row=3058&amp;col=6&amp;number=4.4&amp;sourceID=14","4.4")</f>
        <v>4.4</v>
      </c>
      <c r="G3058" s="4" t="str">
        <f>HYPERLINK("http://141.218.60.56/~jnz1568/getInfo.php?workbook=18_15.xlsx&amp;sheet=U0&amp;row=3058&amp;col=7&amp;number=2.08&amp;sourceID=14","2.08")</f>
        <v>2.08</v>
      </c>
    </row>
    <row r="3059" spans="1:7">
      <c r="A3059" s="3"/>
      <c r="B3059" s="3"/>
      <c r="C3059" s="3"/>
      <c r="D3059" s="3"/>
      <c r="E3059" s="3">
        <v>16</v>
      </c>
      <c r="F3059" s="4" t="str">
        <f>HYPERLINK("http://141.218.60.56/~jnz1568/getInfo.php?workbook=18_15.xlsx&amp;sheet=U0&amp;row=3059&amp;col=6&amp;number=4.5&amp;sourceID=14","4.5")</f>
        <v>4.5</v>
      </c>
      <c r="G3059" s="4" t="str">
        <f>HYPERLINK("http://141.218.60.56/~jnz1568/getInfo.php?workbook=18_15.xlsx&amp;sheet=U0&amp;row=3059&amp;col=7&amp;number=1.99&amp;sourceID=14","1.99")</f>
        <v>1.99</v>
      </c>
    </row>
    <row r="3060" spans="1:7">
      <c r="A3060" s="3"/>
      <c r="B3060" s="3"/>
      <c r="C3060" s="3"/>
      <c r="D3060" s="3"/>
      <c r="E3060" s="3">
        <v>17</v>
      </c>
      <c r="F3060" s="4" t="str">
        <f>HYPERLINK("http://141.218.60.56/~jnz1568/getInfo.php?workbook=18_15.xlsx&amp;sheet=U0&amp;row=3060&amp;col=6&amp;number=4.6&amp;sourceID=14","4.6")</f>
        <v>4.6</v>
      </c>
      <c r="G3060" s="4" t="str">
        <f>HYPERLINK("http://141.218.60.56/~jnz1568/getInfo.php?workbook=18_15.xlsx&amp;sheet=U0&amp;row=3060&amp;col=7&amp;number=1.86&amp;sourceID=14","1.86")</f>
        <v>1.86</v>
      </c>
    </row>
    <row r="3061" spans="1:7">
      <c r="A3061" s="3"/>
      <c r="B3061" s="3"/>
      <c r="C3061" s="3"/>
      <c r="D3061" s="3"/>
      <c r="E3061" s="3">
        <v>18</v>
      </c>
      <c r="F3061" s="4" t="str">
        <f>HYPERLINK("http://141.218.60.56/~jnz1568/getInfo.php?workbook=18_15.xlsx&amp;sheet=U0&amp;row=3061&amp;col=6&amp;number=4.7&amp;sourceID=14","4.7")</f>
        <v>4.7</v>
      </c>
      <c r="G3061" s="4" t="str">
        <f>HYPERLINK("http://141.218.60.56/~jnz1568/getInfo.php?workbook=18_15.xlsx&amp;sheet=U0&amp;row=3061&amp;col=7&amp;number=1.76&amp;sourceID=14","1.76")</f>
        <v>1.76</v>
      </c>
    </row>
    <row r="3062" spans="1:7">
      <c r="A3062" s="3"/>
      <c r="B3062" s="3"/>
      <c r="C3062" s="3"/>
      <c r="D3062" s="3"/>
      <c r="E3062" s="3">
        <v>19</v>
      </c>
      <c r="F3062" s="4" t="str">
        <f>HYPERLINK("http://141.218.60.56/~jnz1568/getInfo.php?workbook=18_15.xlsx&amp;sheet=U0&amp;row=3062&amp;col=6&amp;number=4.8&amp;sourceID=14","4.8")</f>
        <v>4.8</v>
      </c>
      <c r="G3062" s="4" t="str">
        <f>HYPERLINK("http://141.218.60.56/~jnz1568/getInfo.php?workbook=18_15.xlsx&amp;sheet=U0&amp;row=3062&amp;col=7&amp;number=1.67&amp;sourceID=14","1.67")</f>
        <v>1.67</v>
      </c>
    </row>
    <row r="3063" spans="1:7">
      <c r="A3063" s="3"/>
      <c r="B3063" s="3"/>
      <c r="C3063" s="3"/>
      <c r="D3063" s="3"/>
      <c r="E3063" s="3">
        <v>20</v>
      </c>
      <c r="F3063" s="4" t="str">
        <f>HYPERLINK("http://141.218.60.56/~jnz1568/getInfo.php?workbook=18_15.xlsx&amp;sheet=U0&amp;row=3063&amp;col=6&amp;number=4.9&amp;sourceID=14","4.9")</f>
        <v>4.9</v>
      </c>
      <c r="G3063" s="4" t="str">
        <f>HYPERLINK("http://141.218.60.56/~jnz1568/getInfo.php?workbook=18_15.xlsx&amp;sheet=U0&amp;row=3063&amp;col=7&amp;number=1.58&amp;sourceID=14","1.58")</f>
        <v>1.58</v>
      </c>
    </row>
    <row r="3064" spans="1:7">
      <c r="A3064" s="3">
        <v>18</v>
      </c>
      <c r="B3064" s="3">
        <v>15</v>
      </c>
      <c r="C3064" s="3">
        <v>15</v>
      </c>
      <c r="D3064" s="3">
        <v>25</v>
      </c>
      <c r="E3064" s="3">
        <v>1</v>
      </c>
      <c r="F3064" s="4" t="str">
        <f>HYPERLINK("http://141.218.60.56/~jnz1568/getInfo.php?workbook=18_15.xlsx&amp;sheet=U0&amp;row=3064&amp;col=6&amp;number=3&amp;sourceID=14","3")</f>
        <v>3</v>
      </c>
      <c r="G3064" s="4" t="str">
        <f>HYPERLINK("http://141.218.60.56/~jnz1568/getInfo.php?workbook=18_15.xlsx&amp;sheet=U0&amp;row=3064&amp;col=7&amp;number=0.157&amp;sourceID=14","0.157")</f>
        <v>0.157</v>
      </c>
    </row>
    <row r="3065" spans="1:7">
      <c r="A3065" s="3"/>
      <c r="B3065" s="3"/>
      <c r="C3065" s="3"/>
      <c r="D3065" s="3"/>
      <c r="E3065" s="3">
        <v>2</v>
      </c>
      <c r="F3065" s="4" t="str">
        <f>HYPERLINK("http://141.218.60.56/~jnz1568/getInfo.php?workbook=18_15.xlsx&amp;sheet=U0&amp;row=3065&amp;col=6&amp;number=3.1&amp;sourceID=14","3.1")</f>
        <v>3.1</v>
      </c>
      <c r="G3065" s="4" t="str">
        <f>HYPERLINK("http://141.218.60.56/~jnz1568/getInfo.php?workbook=18_15.xlsx&amp;sheet=U0&amp;row=3065&amp;col=7&amp;number=0.159&amp;sourceID=14","0.159")</f>
        <v>0.159</v>
      </c>
    </row>
    <row r="3066" spans="1:7">
      <c r="A3066" s="3"/>
      <c r="B3066" s="3"/>
      <c r="C3066" s="3"/>
      <c r="D3066" s="3"/>
      <c r="E3066" s="3">
        <v>3</v>
      </c>
      <c r="F3066" s="4" t="str">
        <f>HYPERLINK("http://141.218.60.56/~jnz1568/getInfo.php?workbook=18_15.xlsx&amp;sheet=U0&amp;row=3066&amp;col=6&amp;number=3.2&amp;sourceID=14","3.2")</f>
        <v>3.2</v>
      </c>
      <c r="G3066" s="4" t="str">
        <f>HYPERLINK("http://141.218.60.56/~jnz1568/getInfo.php?workbook=18_15.xlsx&amp;sheet=U0&amp;row=3066&amp;col=7&amp;number=0.162&amp;sourceID=14","0.162")</f>
        <v>0.162</v>
      </c>
    </row>
    <row r="3067" spans="1:7">
      <c r="A3067" s="3"/>
      <c r="B3067" s="3"/>
      <c r="C3067" s="3"/>
      <c r="D3067" s="3"/>
      <c r="E3067" s="3">
        <v>4</v>
      </c>
      <c r="F3067" s="4" t="str">
        <f>HYPERLINK("http://141.218.60.56/~jnz1568/getInfo.php?workbook=18_15.xlsx&amp;sheet=U0&amp;row=3067&amp;col=6&amp;number=3.3&amp;sourceID=14","3.3")</f>
        <v>3.3</v>
      </c>
      <c r="G3067" s="4" t="str">
        <f>HYPERLINK("http://141.218.60.56/~jnz1568/getInfo.php?workbook=18_15.xlsx&amp;sheet=U0&amp;row=3067&amp;col=7&amp;number=0.165&amp;sourceID=14","0.165")</f>
        <v>0.165</v>
      </c>
    </row>
    <row r="3068" spans="1:7">
      <c r="A3068" s="3"/>
      <c r="B3068" s="3"/>
      <c r="C3068" s="3"/>
      <c r="D3068" s="3"/>
      <c r="E3068" s="3">
        <v>5</v>
      </c>
      <c r="F3068" s="4" t="str">
        <f>HYPERLINK("http://141.218.60.56/~jnz1568/getInfo.php?workbook=18_15.xlsx&amp;sheet=U0&amp;row=3068&amp;col=6&amp;number=3.4&amp;sourceID=14","3.4")</f>
        <v>3.4</v>
      </c>
      <c r="G3068" s="4" t="str">
        <f>HYPERLINK("http://141.218.60.56/~jnz1568/getInfo.php?workbook=18_15.xlsx&amp;sheet=U0&amp;row=3068&amp;col=7&amp;number=0.168&amp;sourceID=14","0.168")</f>
        <v>0.168</v>
      </c>
    </row>
    <row r="3069" spans="1:7">
      <c r="A3069" s="3"/>
      <c r="B3069" s="3"/>
      <c r="C3069" s="3"/>
      <c r="D3069" s="3"/>
      <c r="E3069" s="3">
        <v>6</v>
      </c>
      <c r="F3069" s="4" t="str">
        <f>HYPERLINK("http://141.218.60.56/~jnz1568/getInfo.php?workbook=18_15.xlsx&amp;sheet=U0&amp;row=3069&amp;col=6&amp;number=3.5&amp;sourceID=14","3.5")</f>
        <v>3.5</v>
      </c>
      <c r="G3069" s="4" t="str">
        <f>HYPERLINK("http://141.218.60.56/~jnz1568/getInfo.php?workbook=18_15.xlsx&amp;sheet=U0&amp;row=3069&amp;col=7&amp;number=0.173&amp;sourceID=14","0.173")</f>
        <v>0.173</v>
      </c>
    </row>
    <row r="3070" spans="1:7">
      <c r="A3070" s="3"/>
      <c r="B3070" s="3"/>
      <c r="C3070" s="3"/>
      <c r="D3070" s="3"/>
      <c r="E3070" s="3">
        <v>7</v>
      </c>
      <c r="F3070" s="4" t="str">
        <f>HYPERLINK("http://141.218.60.56/~jnz1568/getInfo.php?workbook=18_15.xlsx&amp;sheet=U0&amp;row=3070&amp;col=6&amp;number=3.6&amp;sourceID=14","3.6")</f>
        <v>3.6</v>
      </c>
      <c r="G3070" s="4" t="str">
        <f>HYPERLINK("http://141.218.60.56/~jnz1568/getInfo.php?workbook=18_15.xlsx&amp;sheet=U0&amp;row=3070&amp;col=7&amp;number=0.179&amp;sourceID=14","0.179")</f>
        <v>0.179</v>
      </c>
    </row>
    <row r="3071" spans="1:7">
      <c r="A3071" s="3"/>
      <c r="B3071" s="3"/>
      <c r="C3071" s="3"/>
      <c r="D3071" s="3"/>
      <c r="E3071" s="3">
        <v>8</v>
      </c>
      <c r="F3071" s="4" t="str">
        <f>HYPERLINK("http://141.218.60.56/~jnz1568/getInfo.php?workbook=18_15.xlsx&amp;sheet=U0&amp;row=3071&amp;col=6&amp;number=3.7&amp;sourceID=14","3.7")</f>
        <v>3.7</v>
      </c>
      <c r="G3071" s="4" t="str">
        <f>HYPERLINK("http://141.218.60.56/~jnz1568/getInfo.php?workbook=18_15.xlsx&amp;sheet=U0&amp;row=3071&amp;col=7&amp;number=0.187&amp;sourceID=14","0.187")</f>
        <v>0.187</v>
      </c>
    </row>
    <row r="3072" spans="1:7">
      <c r="A3072" s="3"/>
      <c r="B3072" s="3"/>
      <c r="C3072" s="3"/>
      <c r="D3072" s="3"/>
      <c r="E3072" s="3">
        <v>9</v>
      </c>
      <c r="F3072" s="4" t="str">
        <f>HYPERLINK("http://141.218.60.56/~jnz1568/getInfo.php?workbook=18_15.xlsx&amp;sheet=U0&amp;row=3072&amp;col=6&amp;number=3.8&amp;sourceID=14","3.8")</f>
        <v>3.8</v>
      </c>
      <c r="G3072" s="4" t="str">
        <f>HYPERLINK("http://141.218.60.56/~jnz1568/getInfo.php?workbook=18_15.xlsx&amp;sheet=U0&amp;row=3072&amp;col=7&amp;number=0.196&amp;sourceID=14","0.196")</f>
        <v>0.196</v>
      </c>
    </row>
    <row r="3073" spans="1:7">
      <c r="A3073" s="3"/>
      <c r="B3073" s="3"/>
      <c r="C3073" s="3"/>
      <c r="D3073" s="3"/>
      <c r="E3073" s="3">
        <v>10</v>
      </c>
      <c r="F3073" s="4" t="str">
        <f>HYPERLINK("http://141.218.60.56/~jnz1568/getInfo.php?workbook=18_15.xlsx&amp;sheet=U0&amp;row=3073&amp;col=6&amp;number=3.9&amp;sourceID=14","3.9")</f>
        <v>3.9</v>
      </c>
      <c r="G3073" s="4" t="str">
        <f>HYPERLINK("http://141.218.60.56/~jnz1568/getInfo.php?workbook=18_15.xlsx&amp;sheet=U0&amp;row=3073&amp;col=7&amp;number=0.208&amp;sourceID=14","0.208")</f>
        <v>0.208</v>
      </c>
    </row>
    <row r="3074" spans="1:7">
      <c r="A3074" s="3"/>
      <c r="B3074" s="3"/>
      <c r="C3074" s="3"/>
      <c r="D3074" s="3"/>
      <c r="E3074" s="3">
        <v>11</v>
      </c>
      <c r="F3074" s="4" t="str">
        <f>HYPERLINK("http://141.218.60.56/~jnz1568/getInfo.php?workbook=18_15.xlsx&amp;sheet=U0&amp;row=3074&amp;col=6&amp;number=4&amp;sourceID=14","4")</f>
        <v>4</v>
      </c>
      <c r="G3074" s="4" t="str">
        <f>HYPERLINK("http://141.218.60.56/~jnz1568/getInfo.php?workbook=18_15.xlsx&amp;sheet=U0&amp;row=3074&amp;col=7&amp;number=0.224&amp;sourceID=14","0.224")</f>
        <v>0.224</v>
      </c>
    </row>
    <row r="3075" spans="1:7">
      <c r="A3075" s="3"/>
      <c r="B3075" s="3"/>
      <c r="C3075" s="3"/>
      <c r="D3075" s="3"/>
      <c r="E3075" s="3">
        <v>12</v>
      </c>
      <c r="F3075" s="4" t="str">
        <f>HYPERLINK("http://141.218.60.56/~jnz1568/getInfo.php?workbook=18_15.xlsx&amp;sheet=U0&amp;row=3075&amp;col=6&amp;number=4.1&amp;sourceID=14","4.1")</f>
        <v>4.1</v>
      </c>
      <c r="G3075" s="4" t="str">
        <f>HYPERLINK("http://141.218.60.56/~jnz1568/getInfo.php?workbook=18_15.xlsx&amp;sheet=U0&amp;row=3075&amp;col=7&amp;number=0.243&amp;sourceID=14","0.243")</f>
        <v>0.243</v>
      </c>
    </row>
    <row r="3076" spans="1:7">
      <c r="A3076" s="3"/>
      <c r="B3076" s="3"/>
      <c r="C3076" s="3"/>
      <c r="D3076" s="3"/>
      <c r="E3076" s="3">
        <v>13</v>
      </c>
      <c r="F3076" s="4" t="str">
        <f>HYPERLINK("http://141.218.60.56/~jnz1568/getInfo.php?workbook=18_15.xlsx&amp;sheet=U0&amp;row=3076&amp;col=6&amp;number=4.2&amp;sourceID=14","4.2")</f>
        <v>4.2</v>
      </c>
      <c r="G3076" s="4" t="str">
        <f>HYPERLINK("http://141.218.60.56/~jnz1568/getInfo.php?workbook=18_15.xlsx&amp;sheet=U0&amp;row=3076&amp;col=7&amp;number=0.264&amp;sourceID=14","0.264")</f>
        <v>0.264</v>
      </c>
    </row>
    <row r="3077" spans="1:7">
      <c r="A3077" s="3"/>
      <c r="B3077" s="3"/>
      <c r="C3077" s="3"/>
      <c r="D3077" s="3"/>
      <c r="E3077" s="3">
        <v>14</v>
      </c>
      <c r="F3077" s="4" t="str">
        <f>HYPERLINK("http://141.218.60.56/~jnz1568/getInfo.php?workbook=18_15.xlsx&amp;sheet=U0&amp;row=3077&amp;col=6&amp;number=4.3&amp;sourceID=14","4.3")</f>
        <v>4.3</v>
      </c>
      <c r="G3077" s="4" t="str">
        <f>HYPERLINK("http://141.218.60.56/~jnz1568/getInfo.php?workbook=18_15.xlsx&amp;sheet=U0&amp;row=3077&amp;col=7&amp;number=0.283&amp;sourceID=14","0.283")</f>
        <v>0.283</v>
      </c>
    </row>
    <row r="3078" spans="1:7">
      <c r="A3078" s="3"/>
      <c r="B3078" s="3"/>
      <c r="C3078" s="3"/>
      <c r="D3078" s="3"/>
      <c r="E3078" s="3">
        <v>15</v>
      </c>
      <c r="F3078" s="4" t="str">
        <f>HYPERLINK("http://141.218.60.56/~jnz1568/getInfo.php?workbook=18_15.xlsx&amp;sheet=U0&amp;row=3078&amp;col=6&amp;number=4.4&amp;sourceID=14","4.4")</f>
        <v>4.4</v>
      </c>
      <c r="G3078" s="4" t="str">
        <f>HYPERLINK("http://141.218.60.56/~jnz1568/getInfo.php?workbook=18_15.xlsx&amp;sheet=U0&amp;row=3078&amp;col=7&amp;number=0.296&amp;sourceID=14","0.296")</f>
        <v>0.296</v>
      </c>
    </row>
    <row r="3079" spans="1:7">
      <c r="A3079" s="3"/>
      <c r="B3079" s="3"/>
      <c r="C3079" s="3"/>
      <c r="D3079" s="3"/>
      <c r="E3079" s="3">
        <v>16</v>
      </c>
      <c r="F3079" s="4" t="str">
        <f>HYPERLINK("http://141.218.60.56/~jnz1568/getInfo.php?workbook=18_15.xlsx&amp;sheet=U0&amp;row=3079&amp;col=6&amp;number=4.5&amp;sourceID=14","4.5")</f>
        <v>4.5</v>
      </c>
      <c r="G3079" s="4" t="str">
        <f>HYPERLINK("http://141.218.60.56/~jnz1568/getInfo.php?workbook=18_15.xlsx&amp;sheet=U0&amp;row=3079&amp;col=7&amp;number=0.303&amp;sourceID=14","0.303")</f>
        <v>0.303</v>
      </c>
    </row>
    <row r="3080" spans="1:7">
      <c r="A3080" s="3"/>
      <c r="B3080" s="3"/>
      <c r="C3080" s="3"/>
      <c r="D3080" s="3"/>
      <c r="E3080" s="3">
        <v>17</v>
      </c>
      <c r="F3080" s="4" t="str">
        <f>HYPERLINK("http://141.218.60.56/~jnz1568/getInfo.php?workbook=18_15.xlsx&amp;sheet=U0&amp;row=3080&amp;col=6&amp;number=4.6&amp;sourceID=14","4.6")</f>
        <v>4.6</v>
      </c>
      <c r="G3080" s="4" t="str">
        <f>HYPERLINK("http://141.218.60.56/~jnz1568/getInfo.php?workbook=18_15.xlsx&amp;sheet=U0&amp;row=3080&amp;col=7&amp;number=0.309&amp;sourceID=14","0.309")</f>
        <v>0.309</v>
      </c>
    </row>
    <row r="3081" spans="1:7">
      <c r="A3081" s="3"/>
      <c r="B3081" s="3"/>
      <c r="C3081" s="3"/>
      <c r="D3081" s="3"/>
      <c r="E3081" s="3">
        <v>18</v>
      </c>
      <c r="F3081" s="4" t="str">
        <f>HYPERLINK("http://141.218.60.56/~jnz1568/getInfo.php?workbook=18_15.xlsx&amp;sheet=U0&amp;row=3081&amp;col=6&amp;number=4.7&amp;sourceID=14","4.7")</f>
        <v>4.7</v>
      </c>
      <c r="G3081" s="4" t="str">
        <f>HYPERLINK("http://141.218.60.56/~jnz1568/getInfo.php?workbook=18_15.xlsx&amp;sheet=U0&amp;row=3081&amp;col=7&amp;number=0.317&amp;sourceID=14","0.317")</f>
        <v>0.317</v>
      </c>
    </row>
    <row r="3082" spans="1:7">
      <c r="A3082" s="3"/>
      <c r="B3082" s="3"/>
      <c r="C3082" s="3"/>
      <c r="D3082" s="3"/>
      <c r="E3082" s="3">
        <v>19</v>
      </c>
      <c r="F3082" s="4" t="str">
        <f>HYPERLINK("http://141.218.60.56/~jnz1568/getInfo.php?workbook=18_15.xlsx&amp;sheet=U0&amp;row=3082&amp;col=6&amp;number=4.8&amp;sourceID=14","4.8")</f>
        <v>4.8</v>
      </c>
      <c r="G3082" s="4" t="str">
        <f>HYPERLINK("http://141.218.60.56/~jnz1568/getInfo.php?workbook=18_15.xlsx&amp;sheet=U0&amp;row=3082&amp;col=7&amp;number=0.326&amp;sourceID=14","0.326")</f>
        <v>0.326</v>
      </c>
    </row>
    <row r="3083" spans="1:7">
      <c r="A3083" s="3"/>
      <c r="B3083" s="3"/>
      <c r="C3083" s="3"/>
      <c r="D3083" s="3"/>
      <c r="E3083" s="3">
        <v>20</v>
      </c>
      <c r="F3083" s="4" t="str">
        <f>HYPERLINK("http://141.218.60.56/~jnz1568/getInfo.php?workbook=18_15.xlsx&amp;sheet=U0&amp;row=3083&amp;col=6&amp;number=4.9&amp;sourceID=14","4.9")</f>
        <v>4.9</v>
      </c>
      <c r="G3083" s="4" t="str">
        <f>HYPERLINK("http://141.218.60.56/~jnz1568/getInfo.php?workbook=18_15.xlsx&amp;sheet=U0&amp;row=3083&amp;col=7&amp;number=0.334&amp;sourceID=14","0.334")</f>
        <v>0.334</v>
      </c>
    </row>
    <row r="3084" spans="1:7">
      <c r="A3084" s="3">
        <v>18</v>
      </c>
      <c r="B3084" s="3">
        <v>15</v>
      </c>
      <c r="C3084" s="3">
        <v>16</v>
      </c>
      <c r="D3084" s="3">
        <v>17</v>
      </c>
      <c r="E3084" s="3">
        <v>1</v>
      </c>
      <c r="F3084" s="4" t="str">
        <f>HYPERLINK("http://141.218.60.56/~jnz1568/getInfo.php?workbook=18_15.xlsx&amp;sheet=U0&amp;row=3084&amp;col=6&amp;number=3&amp;sourceID=14","3")</f>
        <v>3</v>
      </c>
      <c r="G3084" s="4" t="str">
        <f>HYPERLINK("http://141.218.60.56/~jnz1568/getInfo.php?workbook=18_15.xlsx&amp;sheet=U0&amp;row=3084&amp;col=7&amp;number=6.29&amp;sourceID=14","6.29")</f>
        <v>6.29</v>
      </c>
    </row>
    <row r="3085" spans="1:7">
      <c r="A3085" s="3"/>
      <c r="B3085" s="3"/>
      <c r="C3085" s="3"/>
      <c r="D3085" s="3"/>
      <c r="E3085" s="3">
        <v>2</v>
      </c>
      <c r="F3085" s="4" t="str">
        <f>HYPERLINK("http://141.218.60.56/~jnz1568/getInfo.php?workbook=18_15.xlsx&amp;sheet=U0&amp;row=3085&amp;col=6&amp;number=3.1&amp;sourceID=14","3.1")</f>
        <v>3.1</v>
      </c>
      <c r="G3085" s="4" t="str">
        <f>HYPERLINK("http://141.218.60.56/~jnz1568/getInfo.php?workbook=18_15.xlsx&amp;sheet=U0&amp;row=3085&amp;col=7&amp;number=6.28&amp;sourceID=14","6.28")</f>
        <v>6.28</v>
      </c>
    </row>
    <row r="3086" spans="1:7">
      <c r="A3086" s="3"/>
      <c r="B3086" s="3"/>
      <c r="C3086" s="3"/>
      <c r="D3086" s="3"/>
      <c r="E3086" s="3">
        <v>3</v>
      </c>
      <c r="F3086" s="4" t="str">
        <f>HYPERLINK("http://141.218.60.56/~jnz1568/getInfo.php?workbook=18_15.xlsx&amp;sheet=U0&amp;row=3086&amp;col=6&amp;number=3.2&amp;sourceID=14","3.2")</f>
        <v>3.2</v>
      </c>
      <c r="G3086" s="4" t="str">
        <f>HYPERLINK("http://141.218.60.56/~jnz1568/getInfo.php?workbook=18_15.xlsx&amp;sheet=U0&amp;row=3086&amp;col=7&amp;number=6.26&amp;sourceID=14","6.26")</f>
        <v>6.26</v>
      </c>
    </row>
    <row r="3087" spans="1:7">
      <c r="A3087" s="3"/>
      <c r="B3087" s="3"/>
      <c r="C3087" s="3"/>
      <c r="D3087" s="3"/>
      <c r="E3087" s="3">
        <v>4</v>
      </c>
      <c r="F3087" s="4" t="str">
        <f>HYPERLINK("http://141.218.60.56/~jnz1568/getInfo.php?workbook=18_15.xlsx&amp;sheet=U0&amp;row=3087&amp;col=6&amp;number=3.3&amp;sourceID=14","3.3")</f>
        <v>3.3</v>
      </c>
      <c r="G3087" s="4" t="str">
        <f>HYPERLINK("http://141.218.60.56/~jnz1568/getInfo.php?workbook=18_15.xlsx&amp;sheet=U0&amp;row=3087&amp;col=7&amp;number=6.23&amp;sourceID=14","6.23")</f>
        <v>6.23</v>
      </c>
    </row>
    <row r="3088" spans="1:7">
      <c r="A3088" s="3"/>
      <c r="B3088" s="3"/>
      <c r="C3088" s="3"/>
      <c r="D3088" s="3"/>
      <c r="E3088" s="3">
        <v>5</v>
      </c>
      <c r="F3088" s="4" t="str">
        <f>HYPERLINK("http://141.218.60.56/~jnz1568/getInfo.php?workbook=18_15.xlsx&amp;sheet=U0&amp;row=3088&amp;col=6&amp;number=3.4&amp;sourceID=14","3.4")</f>
        <v>3.4</v>
      </c>
      <c r="G3088" s="4" t="str">
        <f>HYPERLINK("http://141.218.60.56/~jnz1568/getInfo.php?workbook=18_15.xlsx&amp;sheet=U0&amp;row=3088&amp;col=7&amp;number=6.2&amp;sourceID=14","6.2")</f>
        <v>6.2</v>
      </c>
    </row>
    <row r="3089" spans="1:7">
      <c r="A3089" s="3"/>
      <c r="B3089" s="3"/>
      <c r="C3089" s="3"/>
      <c r="D3089" s="3"/>
      <c r="E3089" s="3">
        <v>6</v>
      </c>
      <c r="F3089" s="4" t="str">
        <f>HYPERLINK("http://141.218.60.56/~jnz1568/getInfo.php?workbook=18_15.xlsx&amp;sheet=U0&amp;row=3089&amp;col=6&amp;number=3.5&amp;sourceID=14","3.5")</f>
        <v>3.5</v>
      </c>
      <c r="G3089" s="4" t="str">
        <f>HYPERLINK("http://141.218.60.56/~jnz1568/getInfo.php?workbook=18_15.xlsx&amp;sheet=U0&amp;row=3089&amp;col=7&amp;number=6.15&amp;sourceID=14","6.15")</f>
        <v>6.15</v>
      </c>
    </row>
    <row r="3090" spans="1:7">
      <c r="A3090" s="3"/>
      <c r="B3090" s="3"/>
      <c r="C3090" s="3"/>
      <c r="D3090" s="3"/>
      <c r="E3090" s="3">
        <v>7</v>
      </c>
      <c r="F3090" s="4" t="str">
        <f>HYPERLINK("http://141.218.60.56/~jnz1568/getInfo.php?workbook=18_15.xlsx&amp;sheet=U0&amp;row=3090&amp;col=6&amp;number=3.6&amp;sourceID=14","3.6")</f>
        <v>3.6</v>
      </c>
      <c r="G3090" s="4" t="str">
        <f>HYPERLINK("http://141.218.60.56/~jnz1568/getInfo.php?workbook=18_15.xlsx&amp;sheet=U0&amp;row=3090&amp;col=7&amp;number=6.1&amp;sourceID=14","6.1")</f>
        <v>6.1</v>
      </c>
    </row>
    <row r="3091" spans="1:7">
      <c r="A3091" s="3"/>
      <c r="B3091" s="3"/>
      <c r="C3091" s="3"/>
      <c r="D3091" s="3"/>
      <c r="E3091" s="3">
        <v>8</v>
      </c>
      <c r="F3091" s="4" t="str">
        <f>HYPERLINK("http://141.218.60.56/~jnz1568/getInfo.php?workbook=18_15.xlsx&amp;sheet=U0&amp;row=3091&amp;col=6&amp;number=3.7&amp;sourceID=14","3.7")</f>
        <v>3.7</v>
      </c>
      <c r="G3091" s="4" t="str">
        <f>HYPERLINK("http://141.218.60.56/~jnz1568/getInfo.php?workbook=18_15.xlsx&amp;sheet=U0&amp;row=3091&amp;col=7&amp;number=6.02&amp;sourceID=14","6.02")</f>
        <v>6.02</v>
      </c>
    </row>
    <row r="3092" spans="1:7">
      <c r="A3092" s="3"/>
      <c r="B3092" s="3"/>
      <c r="C3092" s="3"/>
      <c r="D3092" s="3"/>
      <c r="E3092" s="3">
        <v>9</v>
      </c>
      <c r="F3092" s="4" t="str">
        <f>HYPERLINK("http://141.218.60.56/~jnz1568/getInfo.php?workbook=18_15.xlsx&amp;sheet=U0&amp;row=3092&amp;col=6&amp;number=3.8&amp;sourceID=14","3.8")</f>
        <v>3.8</v>
      </c>
      <c r="G3092" s="4" t="str">
        <f>HYPERLINK("http://141.218.60.56/~jnz1568/getInfo.php?workbook=18_15.xlsx&amp;sheet=U0&amp;row=3092&amp;col=7&amp;number=5.92&amp;sourceID=14","5.92")</f>
        <v>5.92</v>
      </c>
    </row>
    <row r="3093" spans="1:7">
      <c r="A3093" s="3"/>
      <c r="B3093" s="3"/>
      <c r="C3093" s="3"/>
      <c r="D3093" s="3"/>
      <c r="E3093" s="3">
        <v>10</v>
      </c>
      <c r="F3093" s="4" t="str">
        <f>HYPERLINK("http://141.218.60.56/~jnz1568/getInfo.php?workbook=18_15.xlsx&amp;sheet=U0&amp;row=3093&amp;col=6&amp;number=3.9&amp;sourceID=14","3.9")</f>
        <v>3.9</v>
      </c>
      <c r="G3093" s="4" t="str">
        <f>HYPERLINK("http://141.218.60.56/~jnz1568/getInfo.php?workbook=18_15.xlsx&amp;sheet=U0&amp;row=3093&amp;col=7&amp;number=5.79&amp;sourceID=14","5.79")</f>
        <v>5.79</v>
      </c>
    </row>
    <row r="3094" spans="1:7">
      <c r="A3094" s="3"/>
      <c r="B3094" s="3"/>
      <c r="C3094" s="3"/>
      <c r="D3094" s="3"/>
      <c r="E3094" s="3">
        <v>11</v>
      </c>
      <c r="F3094" s="4" t="str">
        <f>HYPERLINK("http://141.218.60.56/~jnz1568/getInfo.php?workbook=18_15.xlsx&amp;sheet=U0&amp;row=3094&amp;col=6&amp;number=4&amp;sourceID=14","4")</f>
        <v>4</v>
      </c>
      <c r="G3094" s="4" t="str">
        <f>HYPERLINK("http://141.218.60.56/~jnz1568/getInfo.php?workbook=18_15.xlsx&amp;sheet=U0&amp;row=3094&amp;col=7&amp;number=5.63&amp;sourceID=14","5.63")</f>
        <v>5.63</v>
      </c>
    </row>
    <row r="3095" spans="1:7">
      <c r="A3095" s="3"/>
      <c r="B3095" s="3"/>
      <c r="C3095" s="3"/>
      <c r="D3095" s="3"/>
      <c r="E3095" s="3">
        <v>12</v>
      </c>
      <c r="F3095" s="4" t="str">
        <f>HYPERLINK("http://141.218.60.56/~jnz1568/getInfo.php?workbook=18_15.xlsx&amp;sheet=U0&amp;row=3095&amp;col=6&amp;number=4.1&amp;sourceID=14","4.1")</f>
        <v>4.1</v>
      </c>
      <c r="G3095" s="4" t="str">
        <f>HYPERLINK("http://141.218.60.56/~jnz1568/getInfo.php?workbook=18_15.xlsx&amp;sheet=U0&amp;row=3095&amp;col=7&amp;number=5.47&amp;sourceID=14","5.47")</f>
        <v>5.47</v>
      </c>
    </row>
    <row r="3096" spans="1:7">
      <c r="A3096" s="3"/>
      <c r="B3096" s="3"/>
      <c r="C3096" s="3"/>
      <c r="D3096" s="3"/>
      <c r="E3096" s="3">
        <v>13</v>
      </c>
      <c r="F3096" s="4" t="str">
        <f>HYPERLINK("http://141.218.60.56/~jnz1568/getInfo.php?workbook=18_15.xlsx&amp;sheet=U0&amp;row=3096&amp;col=6&amp;number=4.2&amp;sourceID=14","4.2")</f>
        <v>4.2</v>
      </c>
      <c r="G3096" s="4" t="str">
        <f>HYPERLINK("http://141.218.60.56/~jnz1568/getInfo.php?workbook=18_15.xlsx&amp;sheet=U0&amp;row=3096&amp;col=7&amp;number=5.34&amp;sourceID=14","5.34")</f>
        <v>5.34</v>
      </c>
    </row>
    <row r="3097" spans="1:7">
      <c r="A3097" s="3"/>
      <c r="B3097" s="3"/>
      <c r="C3097" s="3"/>
      <c r="D3097" s="3"/>
      <c r="E3097" s="3">
        <v>14</v>
      </c>
      <c r="F3097" s="4" t="str">
        <f>HYPERLINK("http://141.218.60.56/~jnz1568/getInfo.php?workbook=18_15.xlsx&amp;sheet=U0&amp;row=3097&amp;col=6&amp;number=4.3&amp;sourceID=14","4.3")</f>
        <v>4.3</v>
      </c>
      <c r="G3097" s="4" t="str">
        <f>HYPERLINK("http://141.218.60.56/~jnz1568/getInfo.php?workbook=18_15.xlsx&amp;sheet=U0&amp;row=3097&amp;col=7&amp;number=5.23&amp;sourceID=14","5.23")</f>
        <v>5.23</v>
      </c>
    </row>
    <row r="3098" spans="1:7">
      <c r="A3098" s="3"/>
      <c r="B3098" s="3"/>
      <c r="C3098" s="3"/>
      <c r="D3098" s="3"/>
      <c r="E3098" s="3">
        <v>15</v>
      </c>
      <c r="F3098" s="4" t="str">
        <f>HYPERLINK("http://141.218.60.56/~jnz1568/getInfo.php?workbook=18_15.xlsx&amp;sheet=U0&amp;row=3098&amp;col=6&amp;number=4.4&amp;sourceID=14","4.4")</f>
        <v>4.4</v>
      </c>
      <c r="G3098" s="4" t="str">
        <f>HYPERLINK("http://141.218.60.56/~jnz1568/getInfo.php?workbook=18_15.xlsx&amp;sheet=U0&amp;row=3098&amp;col=7&amp;number=5.11&amp;sourceID=14","5.11")</f>
        <v>5.11</v>
      </c>
    </row>
    <row r="3099" spans="1:7">
      <c r="A3099" s="3"/>
      <c r="B3099" s="3"/>
      <c r="C3099" s="3"/>
      <c r="D3099" s="3"/>
      <c r="E3099" s="3">
        <v>16</v>
      </c>
      <c r="F3099" s="4" t="str">
        <f>HYPERLINK("http://141.218.60.56/~jnz1568/getInfo.php?workbook=18_15.xlsx&amp;sheet=U0&amp;row=3099&amp;col=6&amp;number=4.5&amp;sourceID=14","4.5")</f>
        <v>4.5</v>
      </c>
      <c r="G3099" s="4" t="str">
        <f>HYPERLINK("http://141.218.60.56/~jnz1568/getInfo.php?workbook=18_15.xlsx&amp;sheet=U0&amp;row=3099&amp;col=7&amp;number=4.94&amp;sourceID=14","4.94")</f>
        <v>4.94</v>
      </c>
    </row>
    <row r="3100" spans="1:7">
      <c r="A3100" s="3"/>
      <c r="B3100" s="3"/>
      <c r="C3100" s="3"/>
      <c r="D3100" s="3"/>
      <c r="E3100" s="3">
        <v>17</v>
      </c>
      <c r="F3100" s="4" t="str">
        <f>HYPERLINK("http://141.218.60.56/~jnz1568/getInfo.php?workbook=18_15.xlsx&amp;sheet=U0&amp;row=3100&amp;col=6&amp;number=4.6&amp;sourceID=14","4.6")</f>
        <v>4.6</v>
      </c>
      <c r="G3100" s="4" t="str">
        <f>HYPERLINK("http://141.218.60.56/~jnz1568/getInfo.php?workbook=18_15.xlsx&amp;sheet=U0&amp;row=3100&amp;col=7&amp;number=4.77&amp;sourceID=14","4.77")</f>
        <v>4.77</v>
      </c>
    </row>
    <row r="3101" spans="1:7">
      <c r="A3101" s="3"/>
      <c r="B3101" s="3"/>
      <c r="C3101" s="3"/>
      <c r="D3101" s="3"/>
      <c r="E3101" s="3">
        <v>18</v>
      </c>
      <c r="F3101" s="4" t="str">
        <f>HYPERLINK("http://141.218.60.56/~jnz1568/getInfo.php?workbook=18_15.xlsx&amp;sheet=U0&amp;row=3101&amp;col=6&amp;number=4.7&amp;sourceID=14","4.7")</f>
        <v>4.7</v>
      </c>
      <c r="G3101" s="4" t="str">
        <f>HYPERLINK("http://141.218.60.56/~jnz1568/getInfo.php?workbook=18_15.xlsx&amp;sheet=U0&amp;row=3101&amp;col=7&amp;number=4.61&amp;sourceID=14","4.61")</f>
        <v>4.61</v>
      </c>
    </row>
    <row r="3102" spans="1:7">
      <c r="A3102" s="3"/>
      <c r="B3102" s="3"/>
      <c r="C3102" s="3"/>
      <c r="D3102" s="3"/>
      <c r="E3102" s="3">
        <v>19</v>
      </c>
      <c r="F3102" s="4" t="str">
        <f>HYPERLINK("http://141.218.60.56/~jnz1568/getInfo.php?workbook=18_15.xlsx&amp;sheet=U0&amp;row=3102&amp;col=6&amp;number=4.8&amp;sourceID=14","4.8")</f>
        <v>4.8</v>
      </c>
      <c r="G3102" s="4" t="str">
        <f>HYPERLINK("http://141.218.60.56/~jnz1568/getInfo.php?workbook=18_15.xlsx&amp;sheet=U0&amp;row=3102&amp;col=7&amp;number=4.44&amp;sourceID=14","4.44")</f>
        <v>4.44</v>
      </c>
    </row>
    <row r="3103" spans="1:7">
      <c r="A3103" s="3"/>
      <c r="B3103" s="3"/>
      <c r="C3103" s="3"/>
      <c r="D3103" s="3"/>
      <c r="E3103" s="3">
        <v>20</v>
      </c>
      <c r="F3103" s="4" t="str">
        <f>HYPERLINK("http://141.218.60.56/~jnz1568/getInfo.php?workbook=18_15.xlsx&amp;sheet=U0&amp;row=3103&amp;col=6&amp;number=4.9&amp;sourceID=14","4.9")</f>
        <v>4.9</v>
      </c>
      <c r="G3103" s="4" t="str">
        <f>HYPERLINK("http://141.218.60.56/~jnz1568/getInfo.php?workbook=18_15.xlsx&amp;sheet=U0&amp;row=3103&amp;col=7&amp;number=4.22&amp;sourceID=14","4.22")</f>
        <v>4.22</v>
      </c>
    </row>
    <row r="3104" spans="1:7">
      <c r="A3104" s="3">
        <v>18</v>
      </c>
      <c r="B3104" s="3">
        <v>15</v>
      </c>
      <c r="C3104" s="3">
        <v>16</v>
      </c>
      <c r="D3104" s="3">
        <v>25</v>
      </c>
      <c r="E3104" s="3">
        <v>1</v>
      </c>
      <c r="F3104" s="4" t="str">
        <f>HYPERLINK("http://141.218.60.56/~jnz1568/getInfo.php?workbook=18_15.xlsx&amp;sheet=U0&amp;row=3104&amp;col=6&amp;number=3&amp;sourceID=14","3")</f>
        <v>3</v>
      </c>
      <c r="G3104" s="4" t="str">
        <f>HYPERLINK("http://141.218.60.56/~jnz1568/getInfo.php?workbook=18_15.xlsx&amp;sheet=U0&amp;row=3104&amp;col=7&amp;number=0.363&amp;sourceID=14","0.363")</f>
        <v>0.363</v>
      </c>
    </row>
    <row r="3105" spans="1:7">
      <c r="A3105" s="3"/>
      <c r="B3105" s="3"/>
      <c r="C3105" s="3"/>
      <c r="D3105" s="3"/>
      <c r="E3105" s="3">
        <v>2</v>
      </c>
      <c r="F3105" s="4" t="str">
        <f>HYPERLINK("http://141.218.60.56/~jnz1568/getInfo.php?workbook=18_15.xlsx&amp;sheet=U0&amp;row=3105&amp;col=6&amp;number=3.1&amp;sourceID=14","3.1")</f>
        <v>3.1</v>
      </c>
      <c r="G3105" s="4" t="str">
        <f>HYPERLINK("http://141.218.60.56/~jnz1568/getInfo.php?workbook=18_15.xlsx&amp;sheet=U0&amp;row=3105&amp;col=7&amp;number=0.366&amp;sourceID=14","0.366")</f>
        <v>0.366</v>
      </c>
    </row>
    <row r="3106" spans="1:7">
      <c r="A3106" s="3"/>
      <c r="B3106" s="3"/>
      <c r="C3106" s="3"/>
      <c r="D3106" s="3"/>
      <c r="E3106" s="3">
        <v>3</v>
      </c>
      <c r="F3106" s="4" t="str">
        <f>HYPERLINK("http://141.218.60.56/~jnz1568/getInfo.php?workbook=18_15.xlsx&amp;sheet=U0&amp;row=3106&amp;col=6&amp;number=3.2&amp;sourceID=14","3.2")</f>
        <v>3.2</v>
      </c>
      <c r="G3106" s="4" t="str">
        <f>HYPERLINK("http://141.218.60.56/~jnz1568/getInfo.php?workbook=18_15.xlsx&amp;sheet=U0&amp;row=3106&amp;col=7&amp;number=0.371&amp;sourceID=14","0.371")</f>
        <v>0.371</v>
      </c>
    </row>
    <row r="3107" spans="1:7">
      <c r="A3107" s="3"/>
      <c r="B3107" s="3"/>
      <c r="C3107" s="3"/>
      <c r="D3107" s="3"/>
      <c r="E3107" s="3">
        <v>4</v>
      </c>
      <c r="F3107" s="4" t="str">
        <f>HYPERLINK("http://141.218.60.56/~jnz1568/getInfo.php?workbook=18_15.xlsx&amp;sheet=U0&amp;row=3107&amp;col=6&amp;number=3.3&amp;sourceID=14","3.3")</f>
        <v>3.3</v>
      </c>
      <c r="G3107" s="4" t="str">
        <f>HYPERLINK("http://141.218.60.56/~jnz1568/getInfo.php?workbook=18_15.xlsx&amp;sheet=U0&amp;row=3107&amp;col=7&amp;number=0.376&amp;sourceID=14","0.376")</f>
        <v>0.376</v>
      </c>
    </row>
    <row r="3108" spans="1:7">
      <c r="A3108" s="3"/>
      <c r="B3108" s="3"/>
      <c r="C3108" s="3"/>
      <c r="D3108" s="3"/>
      <c r="E3108" s="3">
        <v>5</v>
      </c>
      <c r="F3108" s="4" t="str">
        <f>HYPERLINK("http://141.218.60.56/~jnz1568/getInfo.php?workbook=18_15.xlsx&amp;sheet=U0&amp;row=3108&amp;col=6&amp;number=3.4&amp;sourceID=14","3.4")</f>
        <v>3.4</v>
      </c>
      <c r="G3108" s="4" t="str">
        <f>HYPERLINK("http://141.218.60.56/~jnz1568/getInfo.php?workbook=18_15.xlsx&amp;sheet=U0&amp;row=3108&amp;col=7&amp;number=0.383&amp;sourceID=14","0.383")</f>
        <v>0.383</v>
      </c>
    </row>
    <row r="3109" spans="1:7">
      <c r="A3109" s="3"/>
      <c r="B3109" s="3"/>
      <c r="C3109" s="3"/>
      <c r="D3109" s="3"/>
      <c r="E3109" s="3">
        <v>6</v>
      </c>
      <c r="F3109" s="4" t="str">
        <f>HYPERLINK("http://141.218.60.56/~jnz1568/getInfo.php?workbook=18_15.xlsx&amp;sheet=U0&amp;row=3109&amp;col=6&amp;number=3.5&amp;sourceID=14","3.5")</f>
        <v>3.5</v>
      </c>
      <c r="G3109" s="4" t="str">
        <f>HYPERLINK("http://141.218.60.56/~jnz1568/getInfo.php?workbook=18_15.xlsx&amp;sheet=U0&amp;row=3109&amp;col=7&amp;number=0.391&amp;sourceID=14","0.391")</f>
        <v>0.391</v>
      </c>
    </row>
    <row r="3110" spans="1:7">
      <c r="A3110" s="3"/>
      <c r="B3110" s="3"/>
      <c r="C3110" s="3"/>
      <c r="D3110" s="3"/>
      <c r="E3110" s="3">
        <v>7</v>
      </c>
      <c r="F3110" s="4" t="str">
        <f>HYPERLINK("http://141.218.60.56/~jnz1568/getInfo.php?workbook=18_15.xlsx&amp;sheet=U0&amp;row=3110&amp;col=6&amp;number=3.6&amp;sourceID=14","3.6")</f>
        <v>3.6</v>
      </c>
      <c r="G3110" s="4" t="str">
        <f>HYPERLINK("http://141.218.60.56/~jnz1568/getInfo.php?workbook=18_15.xlsx&amp;sheet=U0&amp;row=3110&amp;col=7&amp;number=0.402&amp;sourceID=14","0.402")</f>
        <v>0.402</v>
      </c>
    </row>
    <row r="3111" spans="1:7">
      <c r="A3111" s="3"/>
      <c r="B3111" s="3"/>
      <c r="C3111" s="3"/>
      <c r="D3111" s="3"/>
      <c r="E3111" s="3">
        <v>8</v>
      </c>
      <c r="F3111" s="4" t="str">
        <f>HYPERLINK("http://141.218.60.56/~jnz1568/getInfo.php?workbook=18_15.xlsx&amp;sheet=U0&amp;row=3111&amp;col=6&amp;number=3.7&amp;sourceID=14","3.7")</f>
        <v>3.7</v>
      </c>
      <c r="G3111" s="4" t="str">
        <f>HYPERLINK("http://141.218.60.56/~jnz1568/getInfo.php?workbook=18_15.xlsx&amp;sheet=U0&amp;row=3111&amp;col=7&amp;number=0.416&amp;sourceID=14","0.416")</f>
        <v>0.416</v>
      </c>
    </row>
    <row r="3112" spans="1:7">
      <c r="A3112" s="3"/>
      <c r="B3112" s="3"/>
      <c r="C3112" s="3"/>
      <c r="D3112" s="3"/>
      <c r="E3112" s="3">
        <v>9</v>
      </c>
      <c r="F3112" s="4" t="str">
        <f>HYPERLINK("http://141.218.60.56/~jnz1568/getInfo.php?workbook=18_15.xlsx&amp;sheet=U0&amp;row=3112&amp;col=6&amp;number=3.8&amp;sourceID=14","3.8")</f>
        <v>3.8</v>
      </c>
      <c r="G3112" s="4" t="str">
        <f>HYPERLINK("http://141.218.60.56/~jnz1568/getInfo.php?workbook=18_15.xlsx&amp;sheet=U0&amp;row=3112&amp;col=7&amp;number=0.434&amp;sourceID=14","0.434")</f>
        <v>0.434</v>
      </c>
    </row>
    <row r="3113" spans="1:7">
      <c r="A3113" s="3"/>
      <c r="B3113" s="3"/>
      <c r="C3113" s="3"/>
      <c r="D3113" s="3"/>
      <c r="E3113" s="3">
        <v>10</v>
      </c>
      <c r="F3113" s="4" t="str">
        <f>HYPERLINK("http://141.218.60.56/~jnz1568/getInfo.php?workbook=18_15.xlsx&amp;sheet=U0&amp;row=3113&amp;col=6&amp;number=3.9&amp;sourceID=14","3.9")</f>
        <v>3.9</v>
      </c>
      <c r="G3113" s="4" t="str">
        <f>HYPERLINK("http://141.218.60.56/~jnz1568/getInfo.php?workbook=18_15.xlsx&amp;sheet=U0&amp;row=3113&amp;col=7&amp;number=0.458&amp;sourceID=14","0.458")</f>
        <v>0.458</v>
      </c>
    </row>
    <row r="3114" spans="1:7">
      <c r="A3114" s="3"/>
      <c r="B3114" s="3"/>
      <c r="C3114" s="3"/>
      <c r="D3114" s="3"/>
      <c r="E3114" s="3">
        <v>11</v>
      </c>
      <c r="F3114" s="4" t="str">
        <f>HYPERLINK("http://141.218.60.56/~jnz1568/getInfo.php?workbook=18_15.xlsx&amp;sheet=U0&amp;row=3114&amp;col=6&amp;number=4&amp;sourceID=14","4")</f>
        <v>4</v>
      </c>
      <c r="G3114" s="4" t="str">
        <f>HYPERLINK("http://141.218.60.56/~jnz1568/getInfo.php?workbook=18_15.xlsx&amp;sheet=U0&amp;row=3114&amp;col=7&amp;number=0.49&amp;sourceID=14","0.49")</f>
        <v>0.49</v>
      </c>
    </row>
    <row r="3115" spans="1:7">
      <c r="A3115" s="3"/>
      <c r="B3115" s="3"/>
      <c r="C3115" s="3"/>
      <c r="D3115" s="3"/>
      <c r="E3115" s="3">
        <v>12</v>
      </c>
      <c r="F3115" s="4" t="str">
        <f>HYPERLINK("http://141.218.60.56/~jnz1568/getInfo.php?workbook=18_15.xlsx&amp;sheet=U0&amp;row=3115&amp;col=6&amp;number=4.1&amp;sourceID=14","4.1")</f>
        <v>4.1</v>
      </c>
      <c r="G3115" s="4" t="str">
        <f>HYPERLINK("http://141.218.60.56/~jnz1568/getInfo.php?workbook=18_15.xlsx&amp;sheet=U0&amp;row=3115&amp;col=7&amp;number=0.535&amp;sourceID=14","0.535")</f>
        <v>0.535</v>
      </c>
    </row>
    <row r="3116" spans="1:7">
      <c r="A3116" s="3"/>
      <c r="B3116" s="3"/>
      <c r="C3116" s="3"/>
      <c r="D3116" s="3"/>
      <c r="E3116" s="3">
        <v>13</v>
      </c>
      <c r="F3116" s="4" t="str">
        <f>HYPERLINK("http://141.218.60.56/~jnz1568/getInfo.php?workbook=18_15.xlsx&amp;sheet=U0&amp;row=3116&amp;col=6&amp;number=4.2&amp;sourceID=14","4.2")</f>
        <v>4.2</v>
      </c>
      <c r="G3116" s="4" t="str">
        <f>HYPERLINK("http://141.218.60.56/~jnz1568/getInfo.php?workbook=18_15.xlsx&amp;sheet=U0&amp;row=3116&amp;col=7&amp;number=0.592&amp;sourceID=14","0.592")</f>
        <v>0.592</v>
      </c>
    </row>
    <row r="3117" spans="1:7">
      <c r="A3117" s="3"/>
      <c r="B3117" s="3"/>
      <c r="C3117" s="3"/>
      <c r="D3117" s="3"/>
      <c r="E3117" s="3">
        <v>14</v>
      </c>
      <c r="F3117" s="4" t="str">
        <f>HYPERLINK("http://141.218.60.56/~jnz1568/getInfo.php?workbook=18_15.xlsx&amp;sheet=U0&amp;row=3117&amp;col=6&amp;number=4.3&amp;sourceID=14","4.3")</f>
        <v>4.3</v>
      </c>
      <c r="G3117" s="4" t="str">
        <f>HYPERLINK("http://141.218.60.56/~jnz1568/getInfo.php?workbook=18_15.xlsx&amp;sheet=U0&amp;row=3117&amp;col=7&amp;number=0.659&amp;sourceID=14","0.659")</f>
        <v>0.659</v>
      </c>
    </row>
    <row r="3118" spans="1:7">
      <c r="A3118" s="3"/>
      <c r="B3118" s="3"/>
      <c r="C3118" s="3"/>
      <c r="D3118" s="3"/>
      <c r="E3118" s="3">
        <v>15</v>
      </c>
      <c r="F3118" s="4" t="str">
        <f>HYPERLINK("http://141.218.60.56/~jnz1568/getInfo.php?workbook=18_15.xlsx&amp;sheet=U0&amp;row=3118&amp;col=6&amp;number=4.4&amp;sourceID=14","4.4")</f>
        <v>4.4</v>
      </c>
      <c r="G3118" s="4" t="str">
        <f>HYPERLINK("http://141.218.60.56/~jnz1568/getInfo.php?workbook=18_15.xlsx&amp;sheet=U0&amp;row=3118&amp;col=7&amp;number=0.725&amp;sourceID=14","0.725")</f>
        <v>0.725</v>
      </c>
    </row>
    <row r="3119" spans="1:7">
      <c r="A3119" s="3"/>
      <c r="B3119" s="3"/>
      <c r="C3119" s="3"/>
      <c r="D3119" s="3"/>
      <c r="E3119" s="3">
        <v>16</v>
      </c>
      <c r="F3119" s="4" t="str">
        <f>HYPERLINK("http://141.218.60.56/~jnz1568/getInfo.php?workbook=18_15.xlsx&amp;sheet=U0&amp;row=3119&amp;col=6&amp;number=4.5&amp;sourceID=14","4.5")</f>
        <v>4.5</v>
      </c>
      <c r="G3119" s="4" t="str">
        <f>HYPERLINK("http://141.218.60.56/~jnz1568/getInfo.php?workbook=18_15.xlsx&amp;sheet=U0&amp;row=3119&amp;col=7&amp;number=0.78&amp;sourceID=14","0.78")</f>
        <v>0.78</v>
      </c>
    </row>
    <row r="3120" spans="1:7">
      <c r="A3120" s="3"/>
      <c r="B3120" s="3"/>
      <c r="C3120" s="3"/>
      <c r="D3120" s="3"/>
      <c r="E3120" s="3">
        <v>17</v>
      </c>
      <c r="F3120" s="4" t="str">
        <f>HYPERLINK("http://141.218.60.56/~jnz1568/getInfo.php?workbook=18_15.xlsx&amp;sheet=U0&amp;row=3120&amp;col=6&amp;number=4.6&amp;sourceID=14","4.6")</f>
        <v>4.6</v>
      </c>
      <c r="G3120" s="4" t="str">
        <f>HYPERLINK("http://141.218.60.56/~jnz1568/getInfo.php?workbook=18_15.xlsx&amp;sheet=U0&amp;row=3120&amp;col=7&amp;number=0.827&amp;sourceID=14","0.827")</f>
        <v>0.827</v>
      </c>
    </row>
    <row r="3121" spans="1:7">
      <c r="A3121" s="3"/>
      <c r="B3121" s="3"/>
      <c r="C3121" s="3"/>
      <c r="D3121" s="3"/>
      <c r="E3121" s="3">
        <v>18</v>
      </c>
      <c r="F3121" s="4" t="str">
        <f>HYPERLINK("http://141.218.60.56/~jnz1568/getInfo.php?workbook=18_15.xlsx&amp;sheet=U0&amp;row=3121&amp;col=6&amp;number=4.7&amp;sourceID=14","4.7")</f>
        <v>4.7</v>
      </c>
      <c r="G3121" s="4" t="str">
        <f>HYPERLINK("http://141.218.60.56/~jnz1568/getInfo.php?workbook=18_15.xlsx&amp;sheet=U0&amp;row=3121&amp;col=7&amp;number=0.883&amp;sourceID=14","0.883")</f>
        <v>0.883</v>
      </c>
    </row>
    <row r="3122" spans="1:7">
      <c r="A3122" s="3"/>
      <c r="B3122" s="3"/>
      <c r="C3122" s="3"/>
      <c r="D3122" s="3"/>
      <c r="E3122" s="3">
        <v>19</v>
      </c>
      <c r="F3122" s="4" t="str">
        <f>HYPERLINK("http://141.218.60.56/~jnz1568/getInfo.php?workbook=18_15.xlsx&amp;sheet=U0&amp;row=3122&amp;col=6&amp;number=4.8&amp;sourceID=14","4.8")</f>
        <v>4.8</v>
      </c>
      <c r="G3122" s="4" t="str">
        <f>HYPERLINK("http://141.218.60.56/~jnz1568/getInfo.php?workbook=18_15.xlsx&amp;sheet=U0&amp;row=3122&amp;col=7&amp;number=0.948&amp;sourceID=14","0.948")</f>
        <v>0.948</v>
      </c>
    </row>
    <row r="3123" spans="1:7">
      <c r="A3123" s="3"/>
      <c r="B3123" s="3"/>
      <c r="C3123" s="3"/>
      <c r="D3123" s="3"/>
      <c r="E3123" s="3">
        <v>20</v>
      </c>
      <c r="F3123" s="4" t="str">
        <f>HYPERLINK("http://141.218.60.56/~jnz1568/getInfo.php?workbook=18_15.xlsx&amp;sheet=U0&amp;row=3123&amp;col=6&amp;number=4.9&amp;sourceID=14","4.9")</f>
        <v>4.9</v>
      </c>
      <c r="G3123" s="4" t="str">
        <f>HYPERLINK("http://141.218.60.56/~jnz1568/getInfo.php?workbook=18_15.xlsx&amp;sheet=U0&amp;row=3123&amp;col=7&amp;number=1.01&amp;sourceID=14","1.01")</f>
        <v>1.01</v>
      </c>
    </row>
    <row r="3124" spans="1:7">
      <c r="A3124" s="3">
        <v>18</v>
      </c>
      <c r="B3124" s="3">
        <v>15</v>
      </c>
      <c r="C3124" s="3">
        <v>17</v>
      </c>
      <c r="D3124" s="3">
        <v>18</v>
      </c>
      <c r="E3124" s="3">
        <v>1</v>
      </c>
      <c r="F3124" s="4" t="str">
        <f>HYPERLINK("http://141.218.60.56/~jnz1568/getInfo.php?workbook=18_15.xlsx&amp;sheet=U0&amp;row=3124&amp;col=6&amp;number=3&amp;sourceID=14","3")</f>
        <v>3</v>
      </c>
      <c r="G3124" s="4" t="str">
        <f>HYPERLINK("http://141.218.60.56/~jnz1568/getInfo.php?workbook=18_15.xlsx&amp;sheet=U0&amp;row=3124&amp;col=7&amp;number=0.372&amp;sourceID=14","0.372")</f>
        <v>0.372</v>
      </c>
    </row>
    <row r="3125" spans="1:7">
      <c r="A3125" s="3"/>
      <c r="B3125" s="3"/>
      <c r="C3125" s="3"/>
      <c r="D3125" s="3"/>
      <c r="E3125" s="3">
        <v>2</v>
      </c>
      <c r="F3125" s="4" t="str">
        <f>HYPERLINK("http://141.218.60.56/~jnz1568/getInfo.php?workbook=18_15.xlsx&amp;sheet=U0&amp;row=3125&amp;col=6&amp;number=3.1&amp;sourceID=14","3.1")</f>
        <v>3.1</v>
      </c>
      <c r="G3125" s="4" t="str">
        <f>HYPERLINK("http://141.218.60.56/~jnz1568/getInfo.php?workbook=18_15.xlsx&amp;sheet=U0&amp;row=3125&amp;col=7&amp;number=0.377&amp;sourceID=14","0.377")</f>
        <v>0.377</v>
      </c>
    </row>
    <row r="3126" spans="1:7">
      <c r="A3126" s="3"/>
      <c r="B3126" s="3"/>
      <c r="C3126" s="3"/>
      <c r="D3126" s="3"/>
      <c r="E3126" s="3">
        <v>3</v>
      </c>
      <c r="F3126" s="4" t="str">
        <f>HYPERLINK("http://141.218.60.56/~jnz1568/getInfo.php?workbook=18_15.xlsx&amp;sheet=U0&amp;row=3126&amp;col=6&amp;number=3.2&amp;sourceID=14","3.2")</f>
        <v>3.2</v>
      </c>
      <c r="G3126" s="4" t="str">
        <f>HYPERLINK("http://141.218.60.56/~jnz1568/getInfo.php?workbook=18_15.xlsx&amp;sheet=U0&amp;row=3126&amp;col=7&amp;number=0.383&amp;sourceID=14","0.383")</f>
        <v>0.383</v>
      </c>
    </row>
    <row r="3127" spans="1:7">
      <c r="A3127" s="3"/>
      <c r="B3127" s="3"/>
      <c r="C3127" s="3"/>
      <c r="D3127" s="3"/>
      <c r="E3127" s="3">
        <v>4</v>
      </c>
      <c r="F3127" s="4" t="str">
        <f>HYPERLINK("http://141.218.60.56/~jnz1568/getInfo.php?workbook=18_15.xlsx&amp;sheet=U0&amp;row=3127&amp;col=6&amp;number=3.3&amp;sourceID=14","3.3")</f>
        <v>3.3</v>
      </c>
      <c r="G3127" s="4" t="str">
        <f>HYPERLINK("http://141.218.60.56/~jnz1568/getInfo.php?workbook=18_15.xlsx&amp;sheet=U0&amp;row=3127&amp;col=7&amp;number=0.39&amp;sourceID=14","0.39")</f>
        <v>0.39</v>
      </c>
    </row>
    <row r="3128" spans="1:7">
      <c r="A3128" s="3"/>
      <c r="B3128" s="3"/>
      <c r="C3128" s="3"/>
      <c r="D3128" s="3"/>
      <c r="E3128" s="3">
        <v>5</v>
      </c>
      <c r="F3128" s="4" t="str">
        <f>HYPERLINK("http://141.218.60.56/~jnz1568/getInfo.php?workbook=18_15.xlsx&amp;sheet=U0&amp;row=3128&amp;col=6&amp;number=3.4&amp;sourceID=14","3.4")</f>
        <v>3.4</v>
      </c>
      <c r="G3128" s="4" t="str">
        <f>HYPERLINK("http://141.218.60.56/~jnz1568/getInfo.php?workbook=18_15.xlsx&amp;sheet=U0&amp;row=3128&amp;col=7&amp;number=0.398&amp;sourceID=14","0.398")</f>
        <v>0.398</v>
      </c>
    </row>
    <row r="3129" spans="1:7">
      <c r="A3129" s="3"/>
      <c r="B3129" s="3"/>
      <c r="C3129" s="3"/>
      <c r="D3129" s="3"/>
      <c r="E3129" s="3">
        <v>6</v>
      </c>
      <c r="F3129" s="4" t="str">
        <f>HYPERLINK("http://141.218.60.56/~jnz1568/getInfo.php?workbook=18_15.xlsx&amp;sheet=U0&amp;row=3129&amp;col=6&amp;number=3.5&amp;sourceID=14","3.5")</f>
        <v>3.5</v>
      </c>
      <c r="G3129" s="4" t="str">
        <f>HYPERLINK("http://141.218.60.56/~jnz1568/getInfo.php?workbook=18_15.xlsx&amp;sheet=U0&amp;row=3129&amp;col=7&amp;number=0.407&amp;sourceID=14","0.407")</f>
        <v>0.407</v>
      </c>
    </row>
    <row r="3130" spans="1:7">
      <c r="A3130" s="3"/>
      <c r="B3130" s="3"/>
      <c r="C3130" s="3"/>
      <c r="D3130" s="3"/>
      <c r="E3130" s="3">
        <v>7</v>
      </c>
      <c r="F3130" s="4" t="str">
        <f>HYPERLINK("http://141.218.60.56/~jnz1568/getInfo.php?workbook=18_15.xlsx&amp;sheet=U0&amp;row=3130&amp;col=6&amp;number=3.6&amp;sourceID=14","3.6")</f>
        <v>3.6</v>
      </c>
      <c r="G3130" s="4" t="str">
        <f>HYPERLINK("http://141.218.60.56/~jnz1568/getInfo.php?workbook=18_15.xlsx&amp;sheet=U0&amp;row=3130&amp;col=7&amp;number=0.416&amp;sourceID=14","0.416")</f>
        <v>0.416</v>
      </c>
    </row>
    <row r="3131" spans="1:7">
      <c r="A3131" s="3"/>
      <c r="B3131" s="3"/>
      <c r="C3131" s="3"/>
      <c r="D3131" s="3"/>
      <c r="E3131" s="3">
        <v>8</v>
      </c>
      <c r="F3131" s="4" t="str">
        <f>HYPERLINK("http://141.218.60.56/~jnz1568/getInfo.php?workbook=18_15.xlsx&amp;sheet=U0&amp;row=3131&amp;col=6&amp;number=3.7&amp;sourceID=14","3.7")</f>
        <v>3.7</v>
      </c>
      <c r="G3131" s="4" t="str">
        <f>HYPERLINK("http://141.218.60.56/~jnz1568/getInfo.php?workbook=18_15.xlsx&amp;sheet=U0&amp;row=3131&amp;col=7&amp;number=0.423&amp;sourceID=14","0.423")</f>
        <v>0.423</v>
      </c>
    </row>
    <row r="3132" spans="1:7">
      <c r="A3132" s="3"/>
      <c r="B3132" s="3"/>
      <c r="C3132" s="3"/>
      <c r="D3132" s="3"/>
      <c r="E3132" s="3">
        <v>9</v>
      </c>
      <c r="F3132" s="4" t="str">
        <f>HYPERLINK("http://141.218.60.56/~jnz1568/getInfo.php?workbook=18_15.xlsx&amp;sheet=U0&amp;row=3132&amp;col=6&amp;number=3.8&amp;sourceID=14","3.8")</f>
        <v>3.8</v>
      </c>
      <c r="G3132" s="4" t="str">
        <f>HYPERLINK("http://141.218.60.56/~jnz1568/getInfo.php?workbook=18_15.xlsx&amp;sheet=U0&amp;row=3132&amp;col=7&amp;number=0.427&amp;sourceID=14","0.427")</f>
        <v>0.427</v>
      </c>
    </row>
    <row r="3133" spans="1:7">
      <c r="A3133" s="3"/>
      <c r="B3133" s="3"/>
      <c r="C3133" s="3"/>
      <c r="D3133" s="3"/>
      <c r="E3133" s="3">
        <v>10</v>
      </c>
      <c r="F3133" s="4" t="str">
        <f>HYPERLINK("http://141.218.60.56/~jnz1568/getInfo.php?workbook=18_15.xlsx&amp;sheet=U0&amp;row=3133&amp;col=6&amp;number=3.9&amp;sourceID=14","3.9")</f>
        <v>3.9</v>
      </c>
      <c r="G3133" s="4" t="str">
        <f>HYPERLINK("http://141.218.60.56/~jnz1568/getInfo.php?workbook=18_15.xlsx&amp;sheet=U0&amp;row=3133&amp;col=7&amp;number=0.428&amp;sourceID=14","0.428")</f>
        <v>0.428</v>
      </c>
    </row>
    <row r="3134" spans="1:7">
      <c r="A3134" s="3"/>
      <c r="B3134" s="3"/>
      <c r="C3134" s="3"/>
      <c r="D3134" s="3"/>
      <c r="E3134" s="3">
        <v>11</v>
      </c>
      <c r="F3134" s="4" t="str">
        <f>HYPERLINK("http://141.218.60.56/~jnz1568/getInfo.php?workbook=18_15.xlsx&amp;sheet=U0&amp;row=3134&amp;col=6&amp;number=4&amp;sourceID=14","4")</f>
        <v>4</v>
      </c>
      <c r="G3134" s="4" t="str">
        <f>HYPERLINK("http://141.218.60.56/~jnz1568/getInfo.php?workbook=18_15.xlsx&amp;sheet=U0&amp;row=3134&amp;col=7&amp;number=0.424&amp;sourceID=14","0.424")</f>
        <v>0.424</v>
      </c>
    </row>
    <row r="3135" spans="1:7">
      <c r="A3135" s="3"/>
      <c r="B3135" s="3"/>
      <c r="C3135" s="3"/>
      <c r="D3135" s="3"/>
      <c r="E3135" s="3">
        <v>12</v>
      </c>
      <c r="F3135" s="4" t="str">
        <f>HYPERLINK("http://141.218.60.56/~jnz1568/getInfo.php?workbook=18_15.xlsx&amp;sheet=U0&amp;row=3135&amp;col=6&amp;number=4.1&amp;sourceID=14","4.1")</f>
        <v>4.1</v>
      </c>
      <c r="G3135" s="4" t="str">
        <f>HYPERLINK("http://141.218.60.56/~jnz1568/getInfo.php?workbook=18_15.xlsx&amp;sheet=U0&amp;row=3135&amp;col=7&amp;number=0.417&amp;sourceID=14","0.417")</f>
        <v>0.417</v>
      </c>
    </row>
    <row r="3136" spans="1:7">
      <c r="A3136" s="3"/>
      <c r="B3136" s="3"/>
      <c r="C3136" s="3"/>
      <c r="D3136" s="3"/>
      <c r="E3136" s="3">
        <v>13</v>
      </c>
      <c r="F3136" s="4" t="str">
        <f>HYPERLINK("http://141.218.60.56/~jnz1568/getInfo.php?workbook=18_15.xlsx&amp;sheet=U0&amp;row=3136&amp;col=6&amp;number=4.2&amp;sourceID=14","4.2")</f>
        <v>4.2</v>
      </c>
      <c r="G3136" s="4" t="str">
        <f>HYPERLINK("http://141.218.60.56/~jnz1568/getInfo.php?workbook=18_15.xlsx&amp;sheet=U0&amp;row=3136&amp;col=7&amp;number=0.404&amp;sourceID=14","0.404")</f>
        <v>0.404</v>
      </c>
    </row>
    <row r="3137" spans="1:7">
      <c r="A3137" s="3"/>
      <c r="B3137" s="3"/>
      <c r="C3137" s="3"/>
      <c r="D3137" s="3"/>
      <c r="E3137" s="3">
        <v>14</v>
      </c>
      <c r="F3137" s="4" t="str">
        <f>HYPERLINK("http://141.218.60.56/~jnz1568/getInfo.php?workbook=18_15.xlsx&amp;sheet=U0&amp;row=3137&amp;col=6&amp;number=4.3&amp;sourceID=14","4.3")</f>
        <v>4.3</v>
      </c>
      <c r="G3137" s="4" t="str">
        <f>HYPERLINK("http://141.218.60.56/~jnz1568/getInfo.php?workbook=18_15.xlsx&amp;sheet=U0&amp;row=3137&amp;col=7&amp;number=0.386&amp;sourceID=14","0.386")</f>
        <v>0.386</v>
      </c>
    </row>
    <row r="3138" spans="1:7">
      <c r="A3138" s="3"/>
      <c r="B3138" s="3"/>
      <c r="C3138" s="3"/>
      <c r="D3138" s="3"/>
      <c r="E3138" s="3">
        <v>15</v>
      </c>
      <c r="F3138" s="4" t="str">
        <f>HYPERLINK("http://141.218.60.56/~jnz1568/getInfo.php?workbook=18_15.xlsx&amp;sheet=U0&amp;row=3138&amp;col=6&amp;number=4.4&amp;sourceID=14","4.4")</f>
        <v>4.4</v>
      </c>
      <c r="G3138" s="4" t="str">
        <f>HYPERLINK("http://141.218.60.56/~jnz1568/getInfo.php?workbook=18_15.xlsx&amp;sheet=U0&amp;row=3138&amp;col=7&amp;number=0.364&amp;sourceID=14","0.364")</f>
        <v>0.364</v>
      </c>
    </row>
    <row r="3139" spans="1:7">
      <c r="A3139" s="3"/>
      <c r="B3139" s="3"/>
      <c r="C3139" s="3"/>
      <c r="D3139" s="3"/>
      <c r="E3139" s="3">
        <v>16</v>
      </c>
      <c r="F3139" s="4" t="str">
        <f>HYPERLINK("http://141.218.60.56/~jnz1568/getInfo.php?workbook=18_15.xlsx&amp;sheet=U0&amp;row=3139&amp;col=6&amp;number=4.5&amp;sourceID=14","4.5")</f>
        <v>4.5</v>
      </c>
      <c r="G3139" s="4" t="str">
        <f>HYPERLINK("http://141.218.60.56/~jnz1568/getInfo.php?workbook=18_15.xlsx&amp;sheet=U0&amp;row=3139&amp;col=7&amp;number=0.342&amp;sourceID=14","0.342")</f>
        <v>0.342</v>
      </c>
    </row>
    <row r="3140" spans="1:7">
      <c r="A3140" s="3"/>
      <c r="B3140" s="3"/>
      <c r="C3140" s="3"/>
      <c r="D3140" s="3"/>
      <c r="E3140" s="3">
        <v>17</v>
      </c>
      <c r="F3140" s="4" t="str">
        <f>HYPERLINK("http://141.218.60.56/~jnz1568/getInfo.php?workbook=18_15.xlsx&amp;sheet=U0&amp;row=3140&amp;col=6&amp;number=4.6&amp;sourceID=14","4.6")</f>
        <v>4.6</v>
      </c>
      <c r="G3140" s="4" t="str">
        <f>HYPERLINK("http://141.218.60.56/~jnz1568/getInfo.php?workbook=18_15.xlsx&amp;sheet=U0&amp;row=3140&amp;col=7&amp;number=0.32&amp;sourceID=14","0.32")</f>
        <v>0.32</v>
      </c>
    </row>
    <row r="3141" spans="1:7">
      <c r="A3141" s="3"/>
      <c r="B3141" s="3"/>
      <c r="C3141" s="3"/>
      <c r="D3141" s="3"/>
      <c r="E3141" s="3">
        <v>18</v>
      </c>
      <c r="F3141" s="4" t="str">
        <f>HYPERLINK("http://141.218.60.56/~jnz1568/getInfo.php?workbook=18_15.xlsx&amp;sheet=U0&amp;row=3141&amp;col=6&amp;number=4.7&amp;sourceID=14","4.7")</f>
        <v>4.7</v>
      </c>
      <c r="G3141" s="4" t="str">
        <f>HYPERLINK("http://141.218.60.56/~jnz1568/getInfo.php?workbook=18_15.xlsx&amp;sheet=U0&amp;row=3141&amp;col=7&amp;number=0.296&amp;sourceID=14","0.296")</f>
        <v>0.296</v>
      </c>
    </row>
    <row r="3142" spans="1:7">
      <c r="A3142" s="3"/>
      <c r="B3142" s="3"/>
      <c r="C3142" s="3"/>
      <c r="D3142" s="3"/>
      <c r="E3142" s="3">
        <v>19</v>
      </c>
      <c r="F3142" s="4" t="str">
        <f>HYPERLINK("http://141.218.60.56/~jnz1568/getInfo.php?workbook=18_15.xlsx&amp;sheet=U0&amp;row=3142&amp;col=6&amp;number=4.8&amp;sourceID=14","4.8")</f>
        <v>4.8</v>
      </c>
      <c r="G3142" s="4" t="str">
        <f>HYPERLINK("http://141.218.60.56/~jnz1568/getInfo.php?workbook=18_15.xlsx&amp;sheet=U0&amp;row=3142&amp;col=7&amp;number=0.271&amp;sourceID=14","0.271")</f>
        <v>0.271</v>
      </c>
    </row>
    <row r="3143" spans="1:7">
      <c r="A3143" s="3"/>
      <c r="B3143" s="3"/>
      <c r="C3143" s="3"/>
      <c r="D3143" s="3"/>
      <c r="E3143" s="3">
        <v>20</v>
      </c>
      <c r="F3143" s="4" t="str">
        <f>HYPERLINK("http://141.218.60.56/~jnz1568/getInfo.php?workbook=18_15.xlsx&amp;sheet=U0&amp;row=3143&amp;col=6&amp;number=4.9&amp;sourceID=14","4.9")</f>
        <v>4.9</v>
      </c>
      <c r="G3143" s="4" t="str">
        <f>HYPERLINK("http://141.218.60.56/~jnz1568/getInfo.php?workbook=18_15.xlsx&amp;sheet=U0&amp;row=3143&amp;col=7&amp;number=0.25&amp;sourceID=14","0.25")</f>
        <v>0.25</v>
      </c>
    </row>
    <row r="3144" spans="1:7">
      <c r="A3144" s="3">
        <v>18</v>
      </c>
      <c r="B3144" s="3">
        <v>15</v>
      </c>
      <c r="C3144" s="3">
        <v>17</v>
      </c>
      <c r="D3144" s="3">
        <v>19</v>
      </c>
      <c r="E3144" s="3">
        <v>1</v>
      </c>
      <c r="F3144" s="4" t="str">
        <f>HYPERLINK("http://141.218.60.56/~jnz1568/getInfo.php?workbook=18_15.xlsx&amp;sheet=U0&amp;row=3144&amp;col=6&amp;number=3&amp;sourceID=14","3")</f>
        <v>3</v>
      </c>
      <c r="G3144" s="4" t="str">
        <f>HYPERLINK("http://141.218.60.56/~jnz1568/getInfo.php?workbook=18_15.xlsx&amp;sheet=U0&amp;row=3144&amp;col=7&amp;number=0.866&amp;sourceID=14","0.866")</f>
        <v>0.866</v>
      </c>
    </row>
    <row r="3145" spans="1:7">
      <c r="A3145" s="3"/>
      <c r="B3145" s="3"/>
      <c r="C3145" s="3"/>
      <c r="D3145" s="3"/>
      <c r="E3145" s="3">
        <v>2</v>
      </c>
      <c r="F3145" s="4" t="str">
        <f>HYPERLINK("http://141.218.60.56/~jnz1568/getInfo.php?workbook=18_15.xlsx&amp;sheet=U0&amp;row=3145&amp;col=6&amp;number=3.1&amp;sourceID=14","3.1")</f>
        <v>3.1</v>
      </c>
      <c r="G3145" s="4" t="str">
        <f>HYPERLINK("http://141.218.60.56/~jnz1568/getInfo.php?workbook=18_15.xlsx&amp;sheet=U0&amp;row=3145&amp;col=7&amp;number=0.882&amp;sourceID=14","0.882")</f>
        <v>0.882</v>
      </c>
    </row>
    <row r="3146" spans="1:7">
      <c r="A3146" s="3"/>
      <c r="B3146" s="3"/>
      <c r="C3146" s="3"/>
      <c r="D3146" s="3"/>
      <c r="E3146" s="3">
        <v>3</v>
      </c>
      <c r="F3146" s="4" t="str">
        <f>HYPERLINK("http://141.218.60.56/~jnz1568/getInfo.php?workbook=18_15.xlsx&amp;sheet=U0&amp;row=3146&amp;col=6&amp;number=3.2&amp;sourceID=14","3.2")</f>
        <v>3.2</v>
      </c>
      <c r="G3146" s="4" t="str">
        <f>HYPERLINK("http://141.218.60.56/~jnz1568/getInfo.php?workbook=18_15.xlsx&amp;sheet=U0&amp;row=3146&amp;col=7&amp;number=0.901&amp;sourceID=14","0.901")</f>
        <v>0.901</v>
      </c>
    </row>
    <row r="3147" spans="1:7">
      <c r="A3147" s="3"/>
      <c r="B3147" s="3"/>
      <c r="C3147" s="3"/>
      <c r="D3147" s="3"/>
      <c r="E3147" s="3">
        <v>4</v>
      </c>
      <c r="F3147" s="4" t="str">
        <f>HYPERLINK("http://141.218.60.56/~jnz1568/getInfo.php?workbook=18_15.xlsx&amp;sheet=U0&amp;row=3147&amp;col=6&amp;number=3.3&amp;sourceID=14","3.3")</f>
        <v>3.3</v>
      </c>
      <c r="G3147" s="4" t="str">
        <f>HYPERLINK("http://141.218.60.56/~jnz1568/getInfo.php?workbook=18_15.xlsx&amp;sheet=U0&amp;row=3147&amp;col=7&amp;number=0.925&amp;sourceID=14","0.925")</f>
        <v>0.925</v>
      </c>
    </row>
    <row r="3148" spans="1:7">
      <c r="A3148" s="3"/>
      <c r="B3148" s="3"/>
      <c r="C3148" s="3"/>
      <c r="D3148" s="3"/>
      <c r="E3148" s="3">
        <v>5</v>
      </c>
      <c r="F3148" s="4" t="str">
        <f>HYPERLINK("http://141.218.60.56/~jnz1568/getInfo.php?workbook=18_15.xlsx&amp;sheet=U0&amp;row=3148&amp;col=6&amp;number=3.4&amp;sourceID=14","3.4")</f>
        <v>3.4</v>
      </c>
      <c r="G3148" s="4" t="str">
        <f>HYPERLINK("http://141.218.60.56/~jnz1568/getInfo.php?workbook=18_15.xlsx&amp;sheet=U0&amp;row=3148&amp;col=7&amp;number=0.953&amp;sourceID=14","0.953")</f>
        <v>0.953</v>
      </c>
    </row>
    <row r="3149" spans="1:7">
      <c r="A3149" s="3"/>
      <c r="B3149" s="3"/>
      <c r="C3149" s="3"/>
      <c r="D3149" s="3"/>
      <c r="E3149" s="3">
        <v>6</v>
      </c>
      <c r="F3149" s="4" t="str">
        <f>HYPERLINK("http://141.218.60.56/~jnz1568/getInfo.php?workbook=18_15.xlsx&amp;sheet=U0&amp;row=3149&amp;col=6&amp;number=3.5&amp;sourceID=14","3.5")</f>
        <v>3.5</v>
      </c>
      <c r="G3149" s="4" t="str">
        <f>HYPERLINK("http://141.218.60.56/~jnz1568/getInfo.php?workbook=18_15.xlsx&amp;sheet=U0&amp;row=3149&amp;col=7&amp;number=0.984&amp;sourceID=14","0.984")</f>
        <v>0.984</v>
      </c>
    </row>
    <row r="3150" spans="1:7">
      <c r="A3150" s="3"/>
      <c r="B3150" s="3"/>
      <c r="C3150" s="3"/>
      <c r="D3150" s="3"/>
      <c r="E3150" s="3">
        <v>7</v>
      </c>
      <c r="F3150" s="4" t="str">
        <f>HYPERLINK("http://141.218.60.56/~jnz1568/getInfo.php?workbook=18_15.xlsx&amp;sheet=U0&amp;row=3150&amp;col=6&amp;number=3.6&amp;sourceID=14","3.6")</f>
        <v>3.6</v>
      </c>
      <c r="G3150" s="4" t="str">
        <f>HYPERLINK("http://141.218.60.56/~jnz1568/getInfo.php?workbook=18_15.xlsx&amp;sheet=U0&amp;row=3150&amp;col=7&amp;number=1.02&amp;sourceID=14","1.02")</f>
        <v>1.02</v>
      </c>
    </row>
    <row r="3151" spans="1:7">
      <c r="A3151" s="3"/>
      <c r="B3151" s="3"/>
      <c r="C3151" s="3"/>
      <c r="D3151" s="3"/>
      <c r="E3151" s="3">
        <v>8</v>
      </c>
      <c r="F3151" s="4" t="str">
        <f>HYPERLINK("http://141.218.60.56/~jnz1568/getInfo.php?workbook=18_15.xlsx&amp;sheet=U0&amp;row=3151&amp;col=6&amp;number=3.7&amp;sourceID=14","3.7")</f>
        <v>3.7</v>
      </c>
      <c r="G3151" s="4" t="str">
        <f>HYPERLINK("http://141.218.60.56/~jnz1568/getInfo.php?workbook=18_15.xlsx&amp;sheet=U0&amp;row=3151&amp;col=7&amp;number=1.05&amp;sourceID=14","1.05")</f>
        <v>1.05</v>
      </c>
    </row>
    <row r="3152" spans="1:7">
      <c r="A3152" s="3"/>
      <c r="B3152" s="3"/>
      <c r="C3152" s="3"/>
      <c r="D3152" s="3"/>
      <c r="E3152" s="3">
        <v>9</v>
      </c>
      <c r="F3152" s="4" t="str">
        <f>HYPERLINK("http://141.218.60.56/~jnz1568/getInfo.php?workbook=18_15.xlsx&amp;sheet=U0&amp;row=3152&amp;col=6&amp;number=3.8&amp;sourceID=14","3.8")</f>
        <v>3.8</v>
      </c>
      <c r="G3152" s="4" t="str">
        <f>HYPERLINK("http://141.218.60.56/~jnz1568/getInfo.php?workbook=18_15.xlsx&amp;sheet=U0&amp;row=3152&amp;col=7&amp;number=1.08&amp;sourceID=14","1.08")</f>
        <v>1.08</v>
      </c>
    </row>
    <row r="3153" spans="1:7">
      <c r="A3153" s="3"/>
      <c r="B3153" s="3"/>
      <c r="C3153" s="3"/>
      <c r="D3153" s="3"/>
      <c r="E3153" s="3">
        <v>10</v>
      </c>
      <c r="F3153" s="4" t="str">
        <f>HYPERLINK("http://141.218.60.56/~jnz1568/getInfo.php?workbook=18_15.xlsx&amp;sheet=U0&amp;row=3153&amp;col=6&amp;number=3.9&amp;sourceID=14","3.9")</f>
        <v>3.9</v>
      </c>
      <c r="G3153" s="4" t="str">
        <f>HYPERLINK("http://141.218.60.56/~jnz1568/getInfo.php?workbook=18_15.xlsx&amp;sheet=U0&amp;row=3153&amp;col=7&amp;number=1.1&amp;sourceID=14","1.1")</f>
        <v>1.1</v>
      </c>
    </row>
    <row r="3154" spans="1:7">
      <c r="A3154" s="3"/>
      <c r="B3154" s="3"/>
      <c r="C3154" s="3"/>
      <c r="D3154" s="3"/>
      <c r="E3154" s="3">
        <v>11</v>
      </c>
      <c r="F3154" s="4" t="str">
        <f>HYPERLINK("http://141.218.60.56/~jnz1568/getInfo.php?workbook=18_15.xlsx&amp;sheet=U0&amp;row=3154&amp;col=6&amp;number=4&amp;sourceID=14","4")</f>
        <v>4</v>
      </c>
      <c r="G3154" s="4" t="str">
        <f>HYPERLINK("http://141.218.60.56/~jnz1568/getInfo.php?workbook=18_15.xlsx&amp;sheet=U0&amp;row=3154&amp;col=7&amp;number=1.11&amp;sourceID=14","1.11")</f>
        <v>1.11</v>
      </c>
    </row>
    <row r="3155" spans="1:7">
      <c r="A3155" s="3"/>
      <c r="B3155" s="3"/>
      <c r="C3155" s="3"/>
      <c r="D3155" s="3"/>
      <c r="E3155" s="3">
        <v>12</v>
      </c>
      <c r="F3155" s="4" t="str">
        <f>HYPERLINK("http://141.218.60.56/~jnz1568/getInfo.php?workbook=18_15.xlsx&amp;sheet=U0&amp;row=3155&amp;col=6&amp;number=4.1&amp;sourceID=14","4.1")</f>
        <v>4.1</v>
      </c>
      <c r="G3155" s="4" t="str">
        <f>HYPERLINK("http://141.218.60.56/~jnz1568/getInfo.php?workbook=18_15.xlsx&amp;sheet=U0&amp;row=3155&amp;col=7&amp;number=1.11&amp;sourceID=14","1.11")</f>
        <v>1.11</v>
      </c>
    </row>
    <row r="3156" spans="1:7">
      <c r="A3156" s="3"/>
      <c r="B3156" s="3"/>
      <c r="C3156" s="3"/>
      <c r="D3156" s="3"/>
      <c r="E3156" s="3">
        <v>13</v>
      </c>
      <c r="F3156" s="4" t="str">
        <f>HYPERLINK("http://141.218.60.56/~jnz1568/getInfo.php?workbook=18_15.xlsx&amp;sheet=U0&amp;row=3156&amp;col=6&amp;number=4.2&amp;sourceID=14","4.2")</f>
        <v>4.2</v>
      </c>
      <c r="G3156" s="4" t="str">
        <f>HYPERLINK("http://141.218.60.56/~jnz1568/getInfo.php?workbook=18_15.xlsx&amp;sheet=U0&amp;row=3156&amp;col=7&amp;number=1.09&amp;sourceID=14","1.09")</f>
        <v>1.09</v>
      </c>
    </row>
    <row r="3157" spans="1:7">
      <c r="A3157" s="3"/>
      <c r="B3157" s="3"/>
      <c r="C3157" s="3"/>
      <c r="D3157" s="3"/>
      <c r="E3157" s="3">
        <v>14</v>
      </c>
      <c r="F3157" s="4" t="str">
        <f>HYPERLINK("http://141.218.60.56/~jnz1568/getInfo.php?workbook=18_15.xlsx&amp;sheet=U0&amp;row=3157&amp;col=6&amp;number=4.3&amp;sourceID=14","4.3")</f>
        <v>4.3</v>
      </c>
      <c r="G3157" s="4" t="str">
        <f>HYPERLINK("http://141.218.60.56/~jnz1568/getInfo.php?workbook=18_15.xlsx&amp;sheet=U0&amp;row=3157&amp;col=7&amp;number=1.06&amp;sourceID=14","1.06")</f>
        <v>1.06</v>
      </c>
    </row>
    <row r="3158" spans="1:7">
      <c r="A3158" s="3"/>
      <c r="B3158" s="3"/>
      <c r="C3158" s="3"/>
      <c r="D3158" s="3"/>
      <c r="E3158" s="3">
        <v>15</v>
      </c>
      <c r="F3158" s="4" t="str">
        <f>HYPERLINK("http://141.218.60.56/~jnz1568/getInfo.php?workbook=18_15.xlsx&amp;sheet=U0&amp;row=3158&amp;col=6&amp;number=4.4&amp;sourceID=14","4.4")</f>
        <v>4.4</v>
      </c>
      <c r="G3158" s="4" t="str">
        <f>HYPERLINK("http://141.218.60.56/~jnz1568/getInfo.php?workbook=18_15.xlsx&amp;sheet=U0&amp;row=3158&amp;col=7&amp;number=1.02&amp;sourceID=14","1.02")</f>
        <v>1.02</v>
      </c>
    </row>
    <row r="3159" spans="1:7">
      <c r="A3159" s="3"/>
      <c r="B3159" s="3"/>
      <c r="C3159" s="3"/>
      <c r="D3159" s="3"/>
      <c r="E3159" s="3">
        <v>16</v>
      </c>
      <c r="F3159" s="4" t="str">
        <f>HYPERLINK("http://141.218.60.56/~jnz1568/getInfo.php?workbook=18_15.xlsx&amp;sheet=U0&amp;row=3159&amp;col=6&amp;number=4.5&amp;sourceID=14","4.5")</f>
        <v>4.5</v>
      </c>
      <c r="G3159" s="4" t="str">
        <f>HYPERLINK("http://141.218.60.56/~jnz1568/getInfo.php?workbook=18_15.xlsx&amp;sheet=U0&amp;row=3159&amp;col=7&amp;number=0.971&amp;sourceID=14","0.971")</f>
        <v>0.971</v>
      </c>
    </row>
    <row r="3160" spans="1:7">
      <c r="A3160" s="3"/>
      <c r="B3160" s="3"/>
      <c r="C3160" s="3"/>
      <c r="D3160" s="3"/>
      <c r="E3160" s="3">
        <v>17</v>
      </c>
      <c r="F3160" s="4" t="str">
        <f>HYPERLINK("http://141.218.60.56/~jnz1568/getInfo.php?workbook=18_15.xlsx&amp;sheet=U0&amp;row=3160&amp;col=6&amp;number=4.6&amp;sourceID=14","4.6")</f>
        <v>4.6</v>
      </c>
      <c r="G3160" s="4" t="str">
        <f>HYPERLINK("http://141.218.60.56/~jnz1568/getInfo.php?workbook=18_15.xlsx&amp;sheet=U0&amp;row=3160&amp;col=7&amp;number=0.923&amp;sourceID=14","0.923")</f>
        <v>0.923</v>
      </c>
    </row>
    <row r="3161" spans="1:7">
      <c r="A3161" s="3"/>
      <c r="B3161" s="3"/>
      <c r="C3161" s="3"/>
      <c r="D3161" s="3"/>
      <c r="E3161" s="3">
        <v>18</v>
      </c>
      <c r="F3161" s="4" t="str">
        <f>HYPERLINK("http://141.218.60.56/~jnz1568/getInfo.php?workbook=18_15.xlsx&amp;sheet=U0&amp;row=3161&amp;col=6&amp;number=4.7&amp;sourceID=14","4.7")</f>
        <v>4.7</v>
      </c>
      <c r="G3161" s="4" t="str">
        <f>HYPERLINK("http://141.218.60.56/~jnz1568/getInfo.php?workbook=18_15.xlsx&amp;sheet=U0&amp;row=3161&amp;col=7&amp;number=0.876&amp;sourceID=14","0.876")</f>
        <v>0.876</v>
      </c>
    </row>
    <row r="3162" spans="1:7">
      <c r="A3162" s="3"/>
      <c r="B3162" s="3"/>
      <c r="C3162" s="3"/>
      <c r="D3162" s="3"/>
      <c r="E3162" s="3">
        <v>19</v>
      </c>
      <c r="F3162" s="4" t="str">
        <f>HYPERLINK("http://141.218.60.56/~jnz1568/getInfo.php?workbook=18_15.xlsx&amp;sheet=U0&amp;row=3162&amp;col=6&amp;number=4.8&amp;sourceID=14","4.8")</f>
        <v>4.8</v>
      </c>
      <c r="G3162" s="4" t="str">
        <f>HYPERLINK("http://141.218.60.56/~jnz1568/getInfo.php?workbook=18_15.xlsx&amp;sheet=U0&amp;row=3162&amp;col=7&amp;number=0.825&amp;sourceID=14","0.825")</f>
        <v>0.825</v>
      </c>
    </row>
    <row r="3163" spans="1:7">
      <c r="A3163" s="3"/>
      <c r="B3163" s="3"/>
      <c r="C3163" s="3"/>
      <c r="D3163" s="3"/>
      <c r="E3163" s="3">
        <v>20</v>
      </c>
      <c r="F3163" s="4" t="str">
        <f>HYPERLINK("http://141.218.60.56/~jnz1568/getInfo.php?workbook=18_15.xlsx&amp;sheet=U0&amp;row=3163&amp;col=6&amp;number=4.9&amp;sourceID=14","4.9")</f>
        <v>4.9</v>
      </c>
      <c r="G3163" s="4" t="str">
        <f>HYPERLINK("http://141.218.60.56/~jnz1568/getInfo.php?workbook=18_15.xlsx&amp;sheet=U0&amp;row=3163&amp;col=7&amp;number=0.775&amp;sourceID=14","0.775")</f>
        <v>0.775</v>
      </c>
    </row>
    <row r="3164" spans="1:7">
      <c r="A3164" s="3">
        <v>18</v>
      </c>
      <c r="B3164" s="3">
        <v>15</v>
      </c>
      <c r="C3164" s="3">
        <v>17</v>
      </c>
      <c r="D3164" s="3">
        <v>20</v>
      </c>
      <c r="E3164" s="3">
        <v>1</v>
      </c>
      <c r="F3164" s="4" t="str">
        <f>HYPERLINK("http://141.218.60.56/~jnz1568/getInfo.php?workbook=18_15.xlsx&amp;sheet=U0&amp;row=3164&amp;col=6&amp;number=3&amp;sourceID=14","3")</f>
        <v>3</v>
      </c>
      <c r="G3164" s="4" t="str">
        <f>HYPERLINK("http://141.218.60.56/~jnz1568/getInfo.php?workbook=18_15.xlsx&amp;sheet=U0&amp;row=3164&amp;col=7&amp;number=2.09&amp;sourceID=14","2.09")</f>
        <v>2.09</v>
      </c>
    </row>
    <row r="3165" spans="1:7">
      <c r="A3165" s="3"/>
      <c r="B3165" s="3"/>
      <c r="C3165" s="3"/>
      <c r="D3165" s="3"/>
      <c r="E3165" s="3">
        <v>2</v>
      </c>
      <c r="F3165" s="4" t="str">
        <f>HYPERLINK("http://141.218.60.56/~jnz1568/getInfo.php?workbook=18_15.xlsx&amp;sheet=U0&amp;row=3165&amp;col=6&amp;number=3.1&amp;sourceID=14","3.1")</f>
        <v>3.1</v>
      </c>
      <c r="G3165" s="4" t="str">
        <f>HYPERLINK("http://141.218.60.56/~jnz1568/getInfo.php?workbook=18_15.xlsx&amp;sheet=U0&amp;row=3165&amp;col=7&amp;number=2.14&amp;sourceID=14","2.14")</f>
        <v>2.14</v>
      </c>
    </row>
    <row r="3166" spans="1:7">
      <c r="A3166" s="3"/>
      <c r="B3166" s="3"/>
      <c r="C3166" s="3"/>
      <c r="D3166" s="3"/>
      <c r="E3166" s="3">
        <v>3</v>
      </c>
      <c r="F3166" s="4" t="str">
        <f>HYPERLINK("http://141.218.60.56/~jnz1568/getInfo.php?workbook=18_15.xlsx&amp;sheet=U0&amp;row=3166&amp;col=6&amp;number=3.2&amp;sourceID=14","3.2")</f>
        <v>3.2</v>
      </c>
      <c r="G3166" s="4" t="str">
        <f>HYPERLINK("http://141.218.60.56/~jnz1568/getInfo.php?workbook=18_15.xlsx&amp;sheet=U0&amp;row=3166&amp;col=7&amp;number=2.19&amp;sourceID=14","2.19")</f>
        <v>2.19</v>
      </c>
    </row>
    <row r="3167" spans="1:7">
      <c r="A3167" s="3"/>
      <c r="B3167" s="3"/>
      <c r="C3167" s="3"/>
      <c r="D3167" s="3"/>
      <c r="E3167" s="3">
        <v>4</v>
      </c>
      <c r="F3167" s="4" t="str">
        <f>HYPERLINK("http://141.218.60.56/~jnz1568/getInfo.php?workbook=18_15.xlsx&amp;sheet=U0&amp;row=3167&amp;col=6&amp;number=3.3&amp;sourceID=14","3.3")</f>
        <v>3.3</v>
      </c>
      <c r="G3167" s="4" t="str">
        <f>HYPERLINK("http://141.218.60.56/~jnz1568/getInfo.php?workbook=18_15.xlsx&amp;sheet=U0&amp;row=3167&amp;col=7&amp;number=2.26&amp;sourceID=14","2.26")</f>
        <v>2.26</v>
      </c>
    </row>
    <row r="3168" spans="1:7">
      <c r="A3168" s="3"/>
      <c r="B3168" s="3"/>
      <c r="C3168" s="3"/>
      <c r="D3168" s="3"/>
      <c r="E3168" s="3">
        <v>5</v>
      </c>
      <c r="F3168" s="4" t="str">
        <f>HYPERLINK("http://141.218.60.56/~jnz1568/getInfo.php?workbook=18_15.xlsx&amp;sheet=U0&amp;row=3168&amp;col=6&amp;number=3.4&amp;sourceID=14","3.4")</f>
        <v>3.4</v>
      </c>
      <c r="G3168" s="4" t="str">
        <f>HYPERLINK("http://141.218.60.56/~jnz1568/getInfo.php?workbook=18_15.xlsx&amp;sheet=U0&amp;row=3168&amp;col=7&amp;number=2.33&amp;sourceID=14","2.33")</f>
        <v>2.33</v>
      </c>
    </row>
    <row r="3169" spans="1:7">
      <c r="A3169" s="3"/>
      <c r="B3169" s="3"/>
      <c r="C3169" s="3"/>
      <c r="D3169" s="3"/>
      <c r="E3169" s="3">
        <v>6</v>
      </c>
      <c r="F3169" s="4" t="str">
        <f>HYPERLINK("http://141.218.60.56/~jnz1568/getInfo.php?workbook=18_15.xlsx&amp;sheet=U0&amp;row=3169&amp;col=6&amp;number=3.5&amp;sourceID=14","3.5")</f>
        <v>3.5</v>
      </c>
      <c r="G3169" s="4" t="str">
        <f>HYPERLINK("http://141.218.60.56/~jnz1568/getInfo.php?workbook=18_15.xlsx&amp;sheet=U0&amp;row=3169&amp;col=7&amp;number=2.41&amp;sourceID=14","2.41")</f>
        <v>2.41</v>
      </c>
    </row>
    <row r="3170" spans="1:7">
      <c r="A3170" s="3"/>
      <c r="B3170" s="3"/>
      <c r="C3170" s="3"/>
      <c r="D3170" s="3"/>
      <c r="E3170" s="3">
        <v>7</v>
      </c>
      <c r="F3170" s="4" t="str">
        <f>HYPERLINK("http://141.218.60.56/~jnz1568/getInfo.php?workbook=18_15.xlsx&amp;sheet=U0&amp;row=3170&amp;col=6&amp;number=3.6&amp;sourceID=14","3.6")</f>
        <v>3.6</v>
      </c>
      <c r="G3170" s="4" t="str">
        <f>HYPERLINK("http://141.218.60.56/~jnz1568/getInfo.php?workbook=18_15.xlsx&amp;sheet=U0&amp;row=3170&amp;col=7&amp;number=2.49&amp;sourceID=14","2.49")</f>
        <v>2.49</v>
      </c>
    </row>
    <row r="3171" spans="1:7">
      <c r="A3171" s="3"/>
      <c r="B3171" s="3"/>
      <c r="C3171" s="3"/>
      <c r="D3171" s="3"/>
      <c r="E3171" s="3">
        <v>8</v>
      </c>
      <c r="F3171" s="4" t="str">
        <f>HYPERLINK("http://141.218.60.56/~jnz1568/getInfo.php?workbook=18_15.xlsx&amp;sheet=U0&amp;row=3171&amp;col=6&amp;number=3.7&amp;sourceID=14","3.7")</f>
        <v>3.7</v>
      </c>
      <c r="G3171" s="4" t="str">
        <f>HYPERLINK("http://141.218.60.56/~jnz1568/getInfo.php?workbook=18_15.xlsx&amp;sheet=U0&amp;row=3171&amp;col=7&amp;number=2.58&amp;sourceID=14","2.58")</f>
        <v>2.58</v>
      </c>
    </row>
    <row r="3172" spans="1:7">
      <c r="A3172" s="3"/>
      <c r="B3172" s="3"/>
      <c r="C3172" s="3"/>
      <c r="D3172" s="3"/>
      <c r="E3172" s="3">
        <v>9</v>
      </c>
      <c r="F3172" s="4" t="str">
        <f>HYPERLINK("http://141.218.60.56/~jnz1568/getInfo.php?workbook=18_15.xlsx&amp;sheet=U0&amp;row=3172&amp;col=6&amp;number=3.8&amp;sourceID=14","3.8")</f>
        <v>3.8</v>
      </c>
      <c r="G3172" s="4" t="str">
        <f>HYPERLINK("http://141.218.60.56/~jnz1568/getInfo.php?workbook=18_15.xlsx&amp;sheet=U0&amp;row=3172&amp;col=7&amp;number=2.65&amp;sourceID=14","2.65")</f>
        <v>2.65</v>
      </c>
    </row>
    <row r="3173" spans="1:7">
      <c r="A3173" s="3"/>
      <c r="B3173" s="3"/>
      <c r="C3173" s="3"/>
      <c r="D3173" s="3"/>
      <c r="E3173" s="3">
        <v>10</v>
      </c>
      <c r="F3173" s="4" t="str">
        <f>HYPERLINK("http://141.218.60.56/~jnz1568/getInfo.php?workbook=18_15.xlsx&amp;sheet=U0&amp;row=3173&amp;col=6&amp;number=3.9&amp;sourceID=14","3.9")</f>
        <v>3.9</v>
      </c>
      <c r="G3173" s="4" t="str">
        <f>HYPERLINK("http://141.218.60.56/~jnz1568/getInfo.php?workbook=18_15.xlsx&amp;sheet=U0&amp;row=3173&amp;col=7&amp;number=2.71&amp;sourceID=14","2.71")</f>
        <v>2.71</v>
      </c>
    </row>
    <row r="3174" spans="1:7">
      <c r="A3174" s="3"/>
      <c r="B3174" s="3"/>
      <c r="C3174" s="3"/>
      <c r="D3174" s="3"/>
      <c r="E3174" s="3">
        <v>11</v>
      </c>
      <c r="F3174" s="4" t="str">
        <f>HYPERLINK("http://141.218.60.56/~jnz1568/getInfo.php?workbook=18_15.xlsx&amp;sheet=U0&amp;row=3174&amp;col=6&amp;number=4&amp;sourceID=14","4")</f>
        <v>4</v>
      </c>
      <c r="G3174" s="4" t="str">
        <f>HYPERLINK("http://141.218.60.56/~jnz1568/getInfo.php?workbook=18_15.xlsx&amp;sheet=U0&amp;row=3174&amp;col=7&amp;number=2.76&amp;sourceID=14","2.76")</f>
        <v>2.76</v>
      </c>
    </row>
    <row r="3175" spans="1:7">
      <c r="A3175" s="3"/>
      <c r="B3175" s="3"/>
      <c r="C3175" s="3"/>
      <c r="D3175" s="3"/>
      <c r="E3175" s="3">
        <v>12</v>
      </c>
      <c r="F3175" s="4" t="str">
        <f>HYPERLINK("http://141.218.60.56/~jnz1568/getInfo.php?workbook=18_15.xlsx&amp;sheet=U0&amp;row=3175&amp;col=6&amp;number=4.1&amp;sourceID=14","4.1")</f>
        <v>4.1</v>
      </c>
      <c r="G3175" s="4" t="str">
        <f>HYPERLINK("http://141.218.60.56/~jnz1568/getInfo.php?workbook=18_15.xlsx&amp;sheet=U0&amp;row=3175&amp;col=7&amp;number=2.77&amp;sourceID=14","2.77")</f>
        <v>2.77</v>
      </c>
    </row>
    <row r="3176" spans="1:7">
      <c r="A3176" s="3"/>
      <c r="B3176" s="3"/>
      <c r="C3176" s="3"/>
      <c r="D3176" s="3"/>
      <c r="E3176" s="3">
        <v>13</v>
      </c>
      <c r="F3176" s="4" t="str">
        <f>HYPERLINK("http://141.218.60.56/~jnz1568/getInfo.php?workbook=18_15.xlsx&amp;sheet=U0&amp;row=3176&amp;col=6&amp;number=4.2&amp;sourceID=14","4.2")</f>
        <v>4.2</v>
      </c>
      <c r="G3176" s="4" t="str">
        <f>HYPERLINK("http://141.218.60.56/~jnz1568/getInfo.php?workbook=18_15.xlsx&amp;sheet=U0&amp;row=3176&amp;col=7&amp;number=2.76&amp;sourceID=14","2.76")</f>
        <v>2.76</v>
      </c>
    </row>
    <row r="3177" spans="1:7">
      <c r="A3177" s="3"/>
      <c r="B3177" s="3"/>
      <c r="C3177" s="3"/>
      <c r="D3177" s="3"/>
      <c r="E3177" s="3">
        <v>14</v>
      </c>
      <c r="F3177" s="4" t="str">
        <f>HYPERLINK("http://141.218.60.56/~jnz1568/getInfo.php?workbook=18_15.xlsx&amp;sheet=U0&amp;row=3177&amp;col=6&amp;number=4.3&amp;sourceID=14","4.3")</f>
        <v>4.3</v>
      </c>
      <c r="G3177" s="4" t="str">
        <f>HYPERLINK("http://141.218.60.56/~jnz1568/getInfo.php?workbook=18_15.xlsx&amp;sheet=U0&amp;row=3177&amp;col=7&amp;number=2.7&amp;sourceID=14","2.7")</f>
        <v>2.7</v>
      </c>
    </row>
    <row r="3178" spans="1:7">
      <c r="A3178" s="3"/>
      <c r="B3178" s="3"/>
      <c r="C3178" s="3"/>
      <c r="D3178" s="3"/>
      <c r="E3178" s="3">
        <v>15</v>
      </c>
      <c r="F3178" s="4" t="str">
        <f>HYPERLINK("http://141.218.60.56/~jnz1568/getInfo.php?workbook=18_15.xlsx&amp;sheet=U0&amp;row=3178&amp;col=6&amp;number=4.4&amp;sourceID=14","4.4")</f>
        <v>4.4</v>
      </c>
      <c r="G3178" s="4" t="str">
        <f>HYPERLINK("http://141.218.60.56/~jnz1568/getInfo.php?workbook=18_15.xlsx&amp;sheet=U0&amp;row=3178&amp;col=7&amp;number=2.64&amp;sourceID=14","2.64")</f>
        <v>2.64</v>
      </c>
    </row>
    <row r="3179" spans="1:7">
      <c r="A3179" s="3"/>
      <c r="B3179" s="3"/>
      <c r="C3179" s="3"/>
      <c r="D3179" s="3"/>
      <c r="E3179" s="3">
        <v>16</v>
      </c>
      <c r="F3179" s="4" t="str">
        <f>HYPERLINK("http://141.218.60.56/~jnz1568/getInfo.php?workbook=18_15.xlsx&amp;sheet=U0&amp;row=3179&amp;col=6&amp;number=4.5&amp;sourceID=14","4.5")</f>
        <v>4.5</v>
      </c>
      <c r="G3179" s="4" t="str">
        <f>HYPERLINK("http://141.218.60.56/~jnz1568/getInfo.php?workbook=18_15.xlsx&amp;sheet=U0&amp;row=3179&amp;col=7&amp;number=2.58&amp;sourceID=14","2.58")</f>
        <v>2.58</v>
      </c>
    </row>
    <row r="3180" spans="1:7">
      <c r="A3180" s="3"/>
      <c r="B3180" s="3"/>
      <c r="C3180" s="3"/>
      <c r="D3180" s="3"/>
      <c r="E3180" s="3">
        <v>17</v>
      </c>
      <c r="F3180" s="4" t="str">
        <f>HYPERLINK("http://141.218.60.56/~jnz1568/getInfo.php?workbook=18_15.xlsx&amp;sheet=U0&amp;row=3180&amp;col=6&amp;number=4.6&amp;sourceID=14","4.6")</f>
        <v>4.6</v>
      </c>
      <c r="G3180" s="4" t="str">
        <f>HYPERLINK("http://141.218.60.56/~jnz1568/getInfo.php?workbook=18_15.xlsx&amp;sheet=U0&amp;row=3180&amp;col=7&amp;number=2.5&amp;sourceID=14","2.5")</f>
        <v>2.5</v>
      </c>
    </row>
    <row r="3181" spans="1:7">
      <c r="A3181" s="3"/>
      <c r="B3181" s="3"/>
      <c r="C3181" s="3"/>
      <c r="D3181" s="3"/>
      <c r="E3181" s="3">
        <v>18</v>
      </c>
      <c r="F3181" s="4" t="str">
        <f>HYPERLINK("http://141.218.60.56/~jnz1568/getInfo.php?workbook=18_15.xlsx&amp;sheet=U0&amp;row=3181&amp;col=6&amp;number=4.7&amp;sourceID=14","4.7")</f>
        <v>4.7</v>
      </c>
      <c r="G3181" s="4" t="str">
        <f>HYPERLINK("http://141.218.60.56/~jnz1568/getInfo.php?workbook=18_15.xlsx&amp;sheet=U0&amp;row=3181&amp;col=7&amp;number=2.38&amp;sourceID=14","2.38")</f>
        <v>2.38</v>
      </c>
    </row>
    <row r="3182" spans="1:7">
      <c r="A3182" s="3"/>
      <c r="B3182" s="3"/>
      <c r="C3182" s="3"/>
      <c r="D3182" s="3"/>
      <c r="E3182" s="3">
        <v>19</v>
      </c>
      <c r="F3182" s="4" t="str">
        <f>HYPERLINK("http://141.218.60.56/~jnz1568/getInfo.php?workbook=18_15.xlsx&amp;sheet=U0&amp;row=3182&amp;col=6&amp;number=4.8&amp;sourceID=14","4.8")</f>
        <v>4.8</v>
      </c>
      <c r="G3182" s="4" t="str">
        <f>HYPERLINK("http://141.218.60.56/~jnz1568/getInfo.php?workbook=18_15.xlsx&amp;sheet=U0&amp;row=3182&amp;col=7&amp;number=2.27&amp;sourceID=14","2.27")</f>
        <v>2.27</v>
      </c>
    </row>
    <row r="3183" spans="1:7">
      <c r="A3183" s="3"/>
      <c r="B3183" s="3"/>
      <c r="C3183" s="3"/>
      <c r="D3183" s="3"/>
      <c r="E3183" s="3">
        <v>20</v>
      </c>
      <c r="F3183" s="4" t="str">
        <f>HYPERLINK("http://141.218.60.56/~jnz1568/getInfo.php?workbook=18_15.xlsx&amp;sheet=U0&amp;row=3183&amp;col=6&amp;number=4.9&amp;sourceID=14","4.9")</f>
        <v>4.9</v>
      </c>
      <c r="G3183" s="4" t="str">
        <f>HYPERLINK("http://141.218.60.56/~jnz1568/getInfo.php?workbook=18_15.xlsx&amp;sheet=U0&amp;row=3183&amp;col=7&amp;number=2.22&amp;sourceID=14","2.22")</f>
        <v>2.22</v>
      </c>
    </row>
    <row r="3184" spans="1:7">
      <c r="A3184" s="3">
        <v>18</v>
      </c>
      <c r="B3184" s="3">
        <v>15</v>
      </c>
      <c r="C3184" s="3">
        <v>17</v>
      </c>
      <c r="D3184" s="3">
        <v>21</v>
      </c>
      <c r="E3184" s="3">
        <v>1</v>
      </c>
      <c r="F3184" s="4" t="str">
        <f>HYPERLINK("http://141.218.60.56/~jnz1568/getInfo.php?workbook=18_15.xlsx&amp;sheet=U0&amp;row=3184&amp;col=6&amp;number=3&amp;sourceID=14","3")</f>
        <v>3</v>
      </c>
      <c r="G3184" s="4" t="str">
        <f>HYPERLINK("http://141.218.60.56/~jnz1568/getInfo.php?workbook=18_15.xlsx&amp;sheet=U0&amp;row=3184&amp;col=7&amp;number=4.59&amp;sourceID=14","4.59")</f>
        <v>4.59</v>
      </c>
    </row>
    <row r="3185" spans="1:7">
      <c r="A3185" s="3"/>
      <c r="B3185" s="3"/>
      <c r="C3185" s="3"/>
      <c r="D3185" s="3"/>
      <c r="E3185" s="3">
        <v>2</v>
      </c>
      <c r="F3185" s="4" t="str">
        <f>HYPERLINK("http://141.218.60.56/~jnz1568/getInfo.php?workbook=18_15.xlsx&amp;sheet=U0&amp;row=3185&amp;col=6&amp;number=3.1&amp;sourceID=14","3.1")</f>
        <v>3.1</v>
      </c>
      <c r="G3185" s="4" t="str">
        <f>HYPERLINK("http://141.218.60.56/~jnz1568/getInfo.php?workbook=18_15.xlsx&amp;sheet=U0&amp;row=3185&amp;col=7&amp;number=4.7&amp;sourceID=14","4.7")</f>
        <v>4.7</v>
      </c>
    </row>
    <row r="3186" spans="1:7">
      <c r="A3186" s="3"/>
      <c r="B3186" s="3"/>
      <c r="C3186" s="3"/>
      <c r="D3186" s="3"/>
      <c r="E3186" s="3">
        <v>3</v>
      </c>
      <c r="F3186" s="4" t="str">
        <f>HYPERLINK("http://141.218.60.56/~jnz1568/getInfo.php?workbook=18_15.xlsx&amp;sheet=U0&amp;row=3186&amp;col=6&amp;number=3.2&amp;sourceID=14","3.2")</f>
        <v>3.2</v>
      </c>
      <c r="G3186" s="4" t="str">
        <f>HYPERLINK("http://141.218.60.56/~jnz1568/getInfo.php?workbook=18_15.xlsx&amp;sheet=U0&amp;row=3186&amp;col=7&amp;number=4.83&amp;sourceID=14","4.83")</f>
        <v>4.83</v>
      </c>
    </row>
    <row r="3187" spans="1:7">
      <c r="A3187" s="3"/>
      <c r="B3187" s="3"/>
      <c r="C3187" s="3"/>
      <c r="D3187" s="3"/>
      <c r="E3187" s="3">
        <v>4</v>
      </c>
      <c r="F3187" s="4" t="str">
        <f>HYPERLINK("http://141.218.60.56/~jnz1568/getInfo.php?workbook=18_15.xlsx&amp;sheet=U0&amp;row=3187&amp;col=6&amp;number=3.3&amp;sourceID=14","3.3")</f>
        <v>3.3</v>
      </c>
      <c r="G3187" s="4" t="str">
        <f>HYPERLINK("http://141.218.60.56/~jnz1568/getInfo.php?workbook=18_15.xlsx&amp;sheet=U0&amp;row=3187&amp;col=7&amp;number=4.99&amp;sourceID=14","4.99")</f>
        <v>4.99</v>
      </c>
    </row>
    <row r="3188" spans="1:7">
      <c r="A3188" s="3"/>
      <c r="B3188" s="3"/>
      <c r="C3188" s="3"/>
      <c r="D3188" s="3"/>
      <c r="E3188" s="3">
        <v>5</v>
      </c>
      <c r="F3188" s="4" t="str">
        <f>HYPERLINK("http://141.218.60.56/~jnz1568/getInfo.php?workbook=18_15.xlsx&amp;sheet=U0&amp;row=3188&amp;col=6&amp;number=3.4&amp;sourceID=14","3.4")</f>
        <v>3.4</v>
      </c>
      <c r="G3188" s="4" t="str">
        <f>HYPERLINK("http://141.218.60.56/~jnz1568/getInfo.php?workbook=18_15.xlsx&amp;sheet=U0&amp;row=3188&amp;col=7&amp;number=5.17&amp;sourceID=14","5.17")</f>
        <v>5.17</v>
      </c>
    </row>
    <row r="3189" spans="1:7">
      <c r="A3189" s="3"/>
      <c r="B3189" s="3"/>
      <c r="C3189" s="3"/>
      <c r="D3189" s="3"/>
      <c r="E3189" s="3">
        <v>6</v>
      </c>
      <c r="F3189" s="4" t="str">
        <f>HYPERLINK("http://141.218.60.56/~jnz1568/getInfo.php?workbook=18_15.xlsx&amp;sheet=U0&amp;row=3189&amp;col=6&amp;number=3.5&amp;sourceID=14","3.5")</f>
        <v>3.5</v>
      </c>
      <c r="G3189" s="4" t="str">
        <f>HYPERLINK("http://141.218.60.56/~jnz1568/getInfo.php?workbook=18_15.xlsx&amp;sheet=U0&amp;row=3189&amp;col=7&amp;number=5.38&amp;sourceID=14","5.38")</f>
        <v>5.38</v>
      </c>
    </row>
    <row r="3190" spans="1:7">
      <c r="A3190" s="3"/>
      <c r="B3190" s="3"/>
      <c r="C3190" s="3"/>
      <c r="D3190" s="3"/>
      <c r="E3190" s="3">
        <v>7</v>
      </c>
      <c r="F3190" s="4" t="str">
        <f>HYPERLINK("http://141.218.60.56/~jnz1568/getInfo.php?workbook=18_15.xlsx&amp;sheet=U0&amp;row=3190&amp;col=6&amp;number=3.6&amp;sourceID=14","3.6")</f>
        <v>3.6</v>
      </c>
      <c r="G3190" s="4" t="str">
        <f>HYPERLINK("http://141.218.60.56/~jnz1568/getInfo.php?workbook=18_15.xlsx&amp;sheet=U0&amp;row=3190&amp;col=7&amp;number=5.6&amp;sourceID=14","5.6")</f>
        <v>5.6</v>
      </c>
    </row>
    <row r="3191" spans="1:7">
      <c r="A3191" s="3"/>
      <c r="B3191" s="3"/>
      <c r="C3191" s="3"/>
      <c r="D3191" s="3"/>
      <c r="E3191" s="3">
        <v>8</v>
      </c>
      <c r="F3191" s="4" t="str">
        <f>HYPERLINK("http://141.218.60.56/~jnz1568/getInfo.php?workbook=18_15.xlsx&amp;sheet=U0&amp;row=3191&amp;col=6&amp;number=3.7&amp;sourceID=14","3.7")</f>
        <v>3.7</v>
      </c>
      <c r="G3191" s="4" t="str">
        <f>HYPERLINK("http://141.218.60.56/~jnz1568/getInfo.php?workbook=18_15.xlsx&amp;sheet=U0&amp;row=3191&amp;col=7&amp;number=5.82&amp;sourceID=14","5.82")</f>
        <v>5.82</v>
      </c>
    </row>
    <row r="3192" spans="1:7">
      <c r="A3192" s="3"/>
      <c r="B3192" s="3"/>
      <c r="C3192" s="3"/>
      <c r="D3192" s="3"/>
      <c r="E3192" s="3">
        <v>9</v>
      </c>
      <c r="F3192" s="4" t="str">
        <f>HYPERLINK("http://141.218.60.56/~jnz1568/getInfo.php?workbook=18_15.xlsx&amp;sheet=U0&amp;row=3192&amp;col=6&amp;number=3.8&amp;sourceID=14","3.8")</f>
        <v>3.8</v>
      </c>
      <c r="G3192" s="4" t="str">
        <f>HYPERLINK("http://141.218.60.56/~jnz1568/getInfo.php?workbook=18_15.xlsx&amp;sheet=U0&amp;row=3192&amp;col=7&amp;number=6.03&amp;sourceID=14","6.03")</f>
        <v>6.03</v>
      </c>
    </row>
    <row r="3193" spans="1:7">
      <c r="A3193" s="3"/>
      <c r="B3193" s="3"/>
      <c r="C3193" s="3"/>
      <c r="D3193" s="3"/>
      <c r="E3193" s="3">
        <v>10</v>
      </c>
      <c r="F3193" s="4" t="str">
        <f>HYPERLINK("http://141.218.60.56/~jnz1568/getInfo.php?workbook=18_15.xlsx&amp;sheet=U0&amp;row=3193&amp;col=6&amp;number=3.9&amp;sourceID=14","3.9")</f>
        <v>3.9</v>
      </c>
      <c r="G3193" s="4" t="str">
        <f>HYPERLINK("http://141.218.60.56/~jnz1568/getInfo.php?workbook=18_15.xlsx&amp;sheet=U0&amp;row=3193&amp;col=7&amp;number=6.21&amp;sourceID=14","6.21")</f>
        <v>6.21</v>
      </c>
    </row>
    <row r="3194" spans="1:7">
      <c r="A3194" s="3"/>
      <c r="B3194" s="3"/>
      <c r="C3194" s="3"/>
      <c r="D3194" s="3"/>
      <c r="E3194" s="3">
        <v>11</v>
      </c>
      <c r="F3194" s="4" t="str">
        <f>HYPERLINK("http://141.218.60.56/~jnz1568/getInfo.php?workbook=18_15.xlsx&amp;sheet=U0&amp;row=3194&amp;col=6&amp;number=4&amp;sourceID=14","4")</f>
        <v>4</v>
      </c>
      <c r="G3194" s="4" t="str">
        <f>HYPERLINK("http://141.218.60.56/~jnz1568/getInfo.php?workbook=18_15.xlsx&amp;sheet=U0&amp;row=3194&amp;col=7&amp;number=6.35&amp;sourceID=14","6.35")</f>
        <v>6.35</v>
      </c>
    </row>
    <row r="3195" spans="1:7">
      <c r="A3195" s="3"/>
      <c r="B3195" s="3"/>
      <c r="C3195" s="3"/>
      <c r="D3195" s="3"/>
      <c r="E3195" s="3">
        <v>12</v>
      </c>
      <c r="F3195" s="4" t="str">
        <f>HYPERLINK("http://141.218.60.56/~jnz1568/getInfo.php?workbook=18_15.xlsx&amp;sheet=U0&amp;row=3195&amp;col=6&amp;number=4.1&amp;sourceID=14","4.1")</f>
        <v>4.1</v>
      </c>
      <c r="G3195" s="4" t="str">
        <f>HYPERLINK("http://141.218.60.56/~jnz1568/getInfo.php?workbook=18_15.xlsx&amp;sheet=U0&amp;row=3195&amp;col=7&amp;number=6.43&amp;sourceID=14","6.43")</f>
        <v>6.43</v>
      </c>
    </row>
    <row r="3196" spans="1:7">
      <c r="A3196" s="3"/>
      <c r="B3196" s="3"/>
      <c r="C3196" s="3"/>
      <c r="D3196" s="3"/>
      <c r="E3196" s="3">
        <v>13</v>
      </c>
      <c r="F3196" s="4" t="str">
        <f>HYPERLINK("http://141.218.60.56/~jnz1568/getInfo.php?workbook=18_15.xlsx&amp;sheet=U0&amp;row=3196&amp;col=6&amp;number=4.2&amp;sourceID=14","4.2")</f>
        <v>4.2</v>
      </c>
      <c r="G3196" s="4" t="str">
        <f>HYPERLINK("http://141.218.60.56/~jnz1568/getInfo.php?workbook=18_15.xlsx&amp;sheet=U0&amp;row=3196&amp;col=7&amp;number=6.43&amp;sourceID=14","6.43")</f>
        <v>6.43</v>
      </c>
    </row>
    <row r="3197" spans="1:7">
      <c r="A3197" s="3"/>
      <c r="B3197" s="3"/>
      <c r="C3197" s="3"/>
      <c r="D3197" s="3"/>
      <c r="E3197" s="3">
        <v>14</v>
      </c>
      <c r="F3197" s="4" t="str">
        <f>HYPERLINK("http://141.218.60.56/~jnz1568/getInfo.php?workbook=18_15.xlsx&amp;sheet=U0&amp;row=3197&amp;col=6&amp;number=4.3&amp;sourceID=14","4.3")</f>
        <v>4.3</v>
      </c>
      <c r="G3197" s="4" t="str">
        <f>HYPERLINK("http://141.218.60.56/~jnz1568/getInfo.php?workbook=18_15.xlsx&amp;sheet=U0&amp;row=3197&amp;col=7&amp;number=6.36&amp;sourceID=14","6.36")</f>
        <v>6.36</v>
      </c>
    </row>
    <row r="3198" spans="1:7">
      <c r="A3198" s="3"/>
      <c r="B3198" s="3"/>
      <c r="C3198" s="3"/>
      <c r="D3198" s="3"/>
      <c r="E3198" s="3">
        <v>15</v>
      </c>
      <c r="F3198" s="4" t="str">
        <f>HYPERLINK("http://141.218.60.56/~jnz1568/getInfo.php?workbook=18_15.xlsx&amp;sheet=U0&amp;row=3198&amp;col=6&amp;number=4.4&amp;sourceID=14","4.4")</f>
        <v>4.4</v>
      </c>
      <c r="G3198" s="4" t="str">
        <f>HYPERLINK("http://141.218.60.56/~jnz1568/getInfo.php?workbook=18_15.xlsx&amp;sheet=U0&amp;row=3198&amp;col=7&amp;number=6.25&amp;sourceID=14","6.25")</f>
        <v>6.25</v>
      </c>
    </row>
    <row r="3199" spans="1:7">
      <c r="A3199" s="3"/>
      <c r="B3199" s="3"/>
      <c r="C3199" s="3"/>
      <c r="D3199" s="3"/>
      <c r="E3199" s="3">
        <v>16</v>
      </c>
      <c r="F3199" s="4" t="str">
        <f>HYPERLINK("http://141.218.60.56/~jnz1568/getInfo.php?workbook=18_15.xlsx&amp;sheet=U0&amp;row=3199&amp;col=6&amp;number=4.5&amp;sourceID=14","4.5")</f>
        <v>4.5</v>
      </c>
      <c r="G3199" s="4" t="str">
        <f>HYPERLINK("http://141.218.60.56/~jnz1568/getInfo.php?workbook=18_15.xlsx&amp;sheet=U0&amp;row=3199&amp;col=7&amp;number=6.13&amp;sourceID=14","6.13")</f>
        <v>6.13</v>
      </c>
    </row>
    <row r="3200" spans="1:7">
      <c r="A3200" s="3"/>
      <c r="B3200" s="3"/>
      <c r="C3200" s="3"/>
      <c r="D3200" s="3"/>
      <c r="E3200" s="3">
        <v>17</v>
      </c>
      <c r="F3200" s="4" t="str">
        <f>HYPERLINK("http://141.218.60.56/~jnz1568/getInfo.php?workbook=18_15.xlsx&amp;sheet=U0&amp;row=3200&amp;col=6&amp;number=4.6&amp;sourceID=14","4.6")</f>
        <v>4.6</v>
      </c>
      <c r="G3200" s="4" t="str">
        <f>HYPERLINK("http://141.218.60.56/~jnz1568/getInfo.php?workbook=18_15.xlsx&amp;sheet=U0&amp;row=3200&amp;col=7&amp;number=5.97&amp;sourceID=14","5.97")</f>
        <v>5.97</v>
      </c>
    </row>
    <row r="3201" spans="1:7">
      <c r="A3201" s="3"/>
      <c r="B3201" s="3"/>
      <c r="C3201" s="3"/>
      <c r="D3201" s="3"/>
      <c r="E3201" s="3">
        <v>18</v>
      </c>
      <c r="F3201" s="4" t="str">
        <f>HYPERLINK("http://141.218.60.56/~jnz1568/getInfo.php?workbook=18_15.xlsx&amp;sheet=U0&amp;row=3201&amp;col=6&amp;number=4.7&amp;sourceID=14","4.7")</f>
        <v>4.7</v>
      </c>
      <c r="G3201" s="4" t="str">
        <f>HYPERLINK("http://141.218.60.56/~jnz1568/getInfo.php?workbook=18_15.xlsx&amp;sheet=U0&amp;row=3201&amp;col=7&amp;number=5.72&amp;sourceID=14","5.72")</f>
        <v>5.72</v>
      </c>
    </row>
    <row r="3202" spans="1:7">
      <c r="A3202" s="3"/>
      <c r="B3202" s="3"/>
      <c r="C3202" s="3"/>
      <c r="D3202" s="3"/>
      <c r="E3202" s="3">
        <v>19</v>
      </c>
      <c r="F3202" s="4" t="str">
        <f>HYPERLINK("http://141.218.60.56/~jnz1568/getInfo.php?workbook=18_15.xlsx&amp;sheet=U0&amp;row=3202&amp;col=6&amp;number=4.8&amp;sourceID=14","4.8")</f>
        <v>4.8</v>
      </c>
      <c r="G3202" s="4" t="str">
        <f>HYPERLINK("http://141.218.60.56/~jnz1568/getInfo.php?workbook=18_15.xlsx&amp;sheet=U0&amp;row=3202&amp;col=7&amp;number=5.49&amp;sourceID=14","5.49")</f>
        <v>5.49</v>
      </c>
    </row>
    <row r="3203" spans="1:7">
      <c r="A3203" s="3"/>
      <c r="B3203" s="3"/>
      <c r="C3203" s="3"/>
      <c r="D3203" s="3"/>
      <c r="E3203" s="3">
        <v>20</v>
      </c>
      <c r="F3203" s="4" t="str">
        <f>HYPERLINK("http://141.218.60.56/~jnz1568/getInfo.php?workbook=18_15.xlsx&amp;sheet=U0&amp;row=3203&amp;col=6&amp;number=4.9&amp;sourceID=14","4.9")</f>
        <v>4.9</v>
      </c>
      <c r="G3203" s="4" t="str">
        <f>HYPERLINK("http://141.218.60.56/~jnz1568/getInfo.php?workbook=18_15.xlsx&amp;sheet=U0&amp;row=3203&amp;col=7&amp;number=5.36&amp;sourceID=14","5.36")</f>
        <v>5.36</v>
      </c>
    </row>
    <row r="3204" spans="1:7">
      <c r="A3204" s="3">
        <v>18</v>
      </c>
      <c r="B3204" s="3">
        <v>15</v>
      </c>
      <c r="C3204" s="3">
        <v>17</v>
      </c>
      <c r="D3204" s="3">
        <v>22</v>
      </c>
      <c r="E3204" s="3">
        <v>1</v>
      </c>
      <c r="F3204" s="4" t="str">
        <f>HYPERLINK("http://141.218.60.56/~jnz1568/getInfo.php?workbook=18_15.xlsx&amp;sheet=U0&amp;row=3204&amp;col=6&amp;number=3&amp;sourceID=14","3")</f>
        <v>3</v>
      </c>
      <c r="G3204" s="4" t="str">
        <f>HYPERLINK("http://141.218.60.56/~jnz1568/getInfo.php?workbook=18_15.xlsx&amp;sheet=U0&amp;row=3204&amp;col=7&amp;number=0.412&amp;sourceID=14","0.412")</f>
        <v>0.412</v>
      </c>
    </row>
    <row r="3205" spans="1:7">
      <c r="A3205" s="3"/>
      <c r="B3205" s="3"/>
      <c r="C3205" s="3"/>
      <c r="D3205" s="3"/>
      <c r="E3205" s="3">
        <v>2</v>
      </c>
      <c r="F3205" s="4" t="str">
        <f>HYPERLINK("http://141.218.60.56/~jnz1568/getInfo.php?workbook=18_15.xlsx&amp;sheet=U0&amp;row=3205&amp;col=6&amp;number=3.1&amp;sourceID=14","3.1")</f>
        <v>3.1</v>
      </c>
      <c r="G3205" s="4" t="str">
        <f>HYPERLINK("http://141.218.60.56/~jnz1568/getInfo.php?workbook=18_15.xlsx&amp;sheet=U0&amp;row=3205&amp;col=7&amp;number=0.408&amp;sourceID=14","0.408")</f>
        <v>0.408</v>
      </c>
    </row>
    <row r="3206" spans="1:7">
      <c r="A3206" s="3"/>
      <c r="B3206" s="3"/>
      <c r="C3206" s="3"/>
      <c r="D3206" s="3"/>
      <c r="E3206" s="3">
        <v>3</v>
      </c>
      <c r="F3206" s="4" t="str">
        <f>HYPERLINK("http://141.218.60.56/~jnz1568/getInfo.php?workbook=18_15.xlsx&amp;sheet=U0&amp;row=3206&amp;col=6&amp;number=3.2&amp;sourceID=14","3.2")</f>
        <v>3.2</v>
      </c>
      <c r="G3206" s="4" t="str">
        <f>HYPERLINK("http://141.218.60.56/~jnz1568/getInfo.php?workbook=18_15.xlsx&amp;sheet=U0&amp;row=3206&amp;col=7&amp;number=0.403&amp;sourceID=14","0.403")</f>
        <v>0.403</v>
      </c>
    </row>
    <row r="3207" spans="1:7">
      <c r="A3207" s="3"/>
      <c r="B3207" s="3"/>
      <c r="C3207" s="3"/>
      <c r="D3207" s="3"/>
      <c r="E3207" s="3">
        <v>4</v>
      </c>
      <c r="F3207" s="4" t="str">
        <f>HYPERLINK("http://141.218.60.56/~jnz1568/getInfo.php?workbook=18_15.xlsx&amp;sheet=U0&amp;row=3207&amp;col=6&amp;number=3.3&amp;sourceID=14","3.3")</f>
        <v>3.3</v>
      </c>
      <c r="G3207" s="4" t="str">
        <f>HYPERLINK("http://141.218.60.56/~jnz1568/getInfo.php?workbook=18_15.xlsx&amp;sheet=U0&amp;row=3207&amp;col=7&amp;number=0.396&amp;sourceID=14","0.396")</f>
        <v>0.396</v>
      </c>
    </row>
    <row r="3208" spans="1:7">
      <c r="A3208" s="3"/>
      <c r="B3208" s="3"/>
      <c r="C3208" s="3"/>
      <c r="D3208" s="3"/>
      <c r="E3208" s="3">
        <v>5</v>
      </c>
      <c r="F3208" s="4" t="str">
        <f>HYPERLINK("http://141.218.60.56/~jnz1568/getInfo.php?workbook=18_15.xlsx&amp;sheet=U0&amp;row=3208&amp;col=6&amp;number=3.4&amp;sourceID=14","3.4")</f>
        <v>3.4</v>
      </c>
      <c r="G3208" s="4" t="str">
        <f>HYPERLINK("http://141.218.60.56/~jnz1568/getInfo.php?workbook=18_15.xlsx&amp;sheet=U0&amp;row=3208&amp;col=7&amp;number=0.389&amp;sourceID=14","0.389")</f>
        <v>0.389</v>
      </c>
    </row>
    <row r="3209" spans="1:7">
      <c r="A3209" s="3"/>
      <c r="B3209" s="3"/>
      <c r="C3209" s="3"/>
      <c r="D3209" s="3"/>
      <c r="E3209" s="3">
        <v>6</v>
      </c>
      <c r="F3209" s="4" t="str">
        <f>HYPERLINK("http://141.218.60.56/~jnz1568/getInfo.php?workbook=18_15.xlsx&amp;sheet=U0&amp;row=3209&amp;col=6&amp;number=3.5&amp;sourceID=14","3.5")</f>
        <v>3.5</v>
      </c>
      <c r="G3209" s="4" t="str">
        <f>HYPERLINK("http://141.218.60.56/~jnz1568/getInfo.php?workbook=18_15.xlsx&amp;sheet=U0&amp;row=3209&amp;col=7&amp;number=0.38&amp;sourceID=14","0.38")</f>
        <v>0.38</v>
      </c>
    </row>
    <row r="3210" spans="1:7">
      <c r="A3210" s="3"/>
      <c r="B3210" s="3"/>
      <c r="C3210" s="3"/>
      <c r="D3210" s="3"/>
      <c r="E3210" s="3">
        <v>7</v>
      </c>
      <c r="F3210" s="4" t="str">
        <f>HYPERLINK("http://141.218.60.56/~jnz1568/getInfo.php?workbook=18_15.xlsx&amp;sheet=U0&amp;row=3210&amp;col=6&amp;number=3.6&amp;sourceID=14","3.6")</f>
        <v>3.6</v>
      </c>
      <c r="G3210" s="4" t="str">
        <f>HYPERLINK("http://141.218.60.56/~jnz1568/getInfo.php?workbook=18_15.xlsx&amp;sheet=U0&amp;row=3210&amp;col=7&amp;number=0.371&amp;sourceID=14","0.371")</f>
        <v>0.371</v>
      </c>
    </row>
    <row r="3211" spans="1:7">
      <c r="A3211" s="3"/>
      <c r="B3211" s="3"/>
      <c r="C3211" s="3"/>
      <c r="D3211" s="3"/>
      <c r="E3211" s="3">
        <v>8</v>
      </c>
      <c r="F3211" s="4" t="str">
        <f>HYPERLINK("http://141.218.60.56/~jnz1568/getInfo.php?workbook=18_15.xlsx&amp;sheet=U0&amp;row=3211&amp;col=6&amp;number=3.7&amp;sourceID=14","3.7")</f>
        <v>3.7</v>
      </c>
      <c r="G3211" s="4" t="str">
        <f>HYPERLINK("http://141.218.60.56/~jnz1568/getInfo.php?workbook=18_15.xlsx&amp;sheet=U0&amp;row=3211&amp;col=7&amp;number=0.361&amp;sourceID=14","0.361")</f>
        <v>0.361</v>
      </c>
    </row>
    <row r="3212" spans="1:7">
      <c r="A3212" s="3"/>
      <c r="B3212" s="3"/>
      <c r="C3212" s="3"/>
      <c r="D3212" s="3"/>
      <c r="E3212" s="3">
        <v>9</v>
      </c>
      <c r="F3212" s="4" t="str">
        <f>HYPERLINK("http://141.218.60.56/~jnz1568/getInfo.php?workbook=18_15.xlsx&amp;sheet=U0&amp;row=3212&amp;col=6&amp;number=3.8&amp;sourceID=14","3.8")</f>
        <v>3.8</v>
      </c>
      <c r="G3212" s="4" t="str">
        <f>HYPERLINK("http://141.218.60.56/~jnz1568/getInfo.php?workbook=18_15.xlsx&amp;sheet=U0&amp;row=3212&amp;col=7&amp;number=0.352&amp;sourceID=14","0.352")</f>
        <v>0.352</v>
      </c>
    </row>
    <row r="3213" spans="1:7">
      <c r="A3213" s="3"/>
      <c r="B3213" s="3"/>
      <c r="C3213" s="3"/>
      <c r="D3213" s="3"/>
      <c r="E3213" s="3">
        <v>10</v>
      </c>
      <c r="F3213" s="4" t="str">
        <f>HYPERLINK("http://141.218.60.56/~jnz1568/getInfo.php?workbook=18_15.xlsx&amp;sheet=U0&amp;row=3213&amp;col=6&amp;number=3.9&amp;sourceID=14","3.9")</f>
        <v>3.9</v>
      </c>
      <c r="G3213" s="4" t="str">
        <f>HYPERLINK("http://141.218.60.56/~jnz1568/getInfo.php?workbook=18_15.xlsx&amp;sheet=U0&amp;row=3213&amp;col=7&amp;number=0.347&amp;sourceID=14","0.347")</f>
        <v>0.347</v>
      </c>
    </row>
    <row r="3214" spans="1:7">
      <c r="A3214" s="3"/>
      <c r="B3214" s="3"/>
      <c r="C3214" s="3"/>
      <c r="D3214" s="3"/>
      <c r="E3214" s="3">
        <v>11</v>
      </c>
      <c r="F3214" s="4" t="str">
        <f>HYPERLINK("http://141.218.60.56/~jnz1568/getInfo.php?workbook=18_15.xlsx&amp;sheet=U0&amp;row=3214&amp;col=6&amp;number=4&amp;sourceID=14","4")</f>
        <v>4</v>
      </c>
      <c r="G3214" s="4" t="str">
        <f>HYPERLINK("http://141.218.60.56/~jnz1568/getInfo.php?workbook=18_15.xlsx&amp;sheet=U0&amp;row=3214&amp;col=7&amp;number=0.345&amp;sourceID=14","0.345")</f>
        <v>0.345</v>
      </c>
    </row>
    <row r="3215" spans="1:7">
      <c r="A3215" s="3"/>
      <c r="B3215" s="3"/>
      <c r="C3215" s="3"/>
      <c r="D3215" s="3"/>
      <c r="E3215" s="3">
        <v>12</v>
      </c>
      <c r="F3215" s="4" t="str">
        <f>HYPERLINK("http://141.218.60.56/~jnz1568/getInfo.php?workbook=18_15.xlsx&amp;sheet=U0&amp;row=3215&amp;col=6&amp;number=4.1&amp;sourceID=14","4.1")</f>
        <v>4.1</v>
      </c>
      <c r="G3215" s="4" t="str">
        <f>HYPERLINK("http://141.218.60.56/~jnz1568/getInfo.php?workbook=18_15.xlsx&amp;sheet=U0&amp;row=3215&amp;col=7&amp;number=0.348&amp;sourceID=14","0.348")</f>
        <v>0.348</v>
      </c>
    </row>
    <row r="3216" spans="1:7">
      <c r="A3216" s="3"/>
      <c r="B3216" s="3"/>
      <c r="C3216" s="3"/>
      <c r="D3216" s="3"/>
      <c r="E3216" s="3">
        <v>13</v>
      </c>
      <c r="F3216" s="4" t="str">
        <f>HYPERLINK("http://141.218.60.56/~jnz1568/getInfo.php?workbook=18_15.xlsx&amp;sheet=U0&amp;row=3216&amp;col=6&amp;number=4.2&amp;sourceID=14","4.2")</f>
        <v>4.2</v>
      </c>
      <c r="G3216" s="4" t="str">
        <f>HYPERLINK("http://141.218.60.56/~jnz1568/getInfo.php?workbook=18_15.xlsx&amp;sheet=U0&amp;row=3216&amp;col=7&amp;number=0.354&amp;sourceID=14","0.354")</f>
        <v>0.354</v>
      </c>
    </row>
    <row r="3217" spans="1:7">
      <c r="A3217" s="3"/>
      <c r="B3217" s="3"/>
      <c r="C3217" s="3"/>
      <c r="D3217" s="3"/>
      <c r="E3217" s="3">
        <v>14</v>
      </c>
      <c r="F3217" s="4" t="str">
        <f>HYPERLINK("http://141.218.60.56/~jnz1568/getInfo.php?workbook=18_15.xlsx&amp;sheet=U0&amp;row=3217&amp;col=6&amp;number=4.3&amp;sourceID=14","4.3")</f>
        <v>4.3</v>
      </c>
      <c r="G3217" s="4" t="str">
        <f>HYPERLINK("http://141.218.60.56/~jnz1568/getInfo.php?workbook=18_15.xlsx&amp;sheet=U0&amp;row=3217&amp;col=7&amp;number=0.363&amp;sourceID=14","0.363")</f>
        <v>0.363</v>
      </c>
    </row>
    <row r="3218" spans="1:7">
      <c r="A3218" s="3"/>
      <c r="B3218" s="3"/>
      <c r="C3218" s="3"/>
      <c r="D3218" s="3"/>
      <c r="E3218" s="3">
        <v>15</v>
      </c>
      <c r="F3218" s="4" t="str">
        <f>HYPERLINK("http://141.218.60.56/~jnz1568/getInfo.php?workbook=18_15.xlsx&amp;sheet=U0&amp;row=3218&amp;col=6&amp;number=4.4&amp;sourceID=14","4.4")</f>
        <v>4.4</v>
      </c>
      <c r="G3218" s="4" t="str">
        <f>HYPERLINK("http://141.218.60.56/~jnz1568/getInfo.php?workbook=18_15.xlsx&amp;sheet=U0&amp;row=3218&amp;col=7&amp;number=0.373&amp;sourceID=14","0.373")</f>
        <v>0.373</v>
      </c>
    </row>
    <row r="3219" spans="1:7">
      <c r="A3219" s="3"/>
      <c r="B3219" s="3"/>
      <c r="C3219" s="3"/>
      <c r="D3219" s="3"/>
      <c r="E3219" s="3">
        <v>16</v>
      </c>
      <c r="F3219" s="4" t="str">
        <f>HYPERLINK("http://141.218.60.56/~jnz1568/getInfo.php?workbook=18_15.xlsx&amp;sheet=U0&amp;row=3219&amp;col=6&amp;number=4.5&amp;sourceID=14","4.5")</f>
        <v>4.5</v>
      </c>
      <c r="G3219" s="4" t="str">
        <f>HYPERLINK("http://141.218.60.56/~jnz1568/getInfo.php?workbook=18_15.xlsx&amp;sheet=U0&amp;row=3219&amp;col=7&amp;number=0.382&amp;sourceID=14","0.382")</f>
        <v>0.382</v>
      </c>
    </row>
    <row r="3220" spans="1:7">
      <c r="A3220" s="3"/>
      <c r="B3220" s="3"/>
      <c r="C3220" s="3"/>
      <c r="D3220" s="3"/>
      <c r="E3220" s="3">
        <v>17</v>
      </c>
      <c r="F3220" s="4" t="str">
        <f>HYPERLINK("http://141.218.60.56/~jnz1568/getInfo.php?workbook=18_15.xlsx&amp;sheet=U0&amp;row=3220&amp;col=6&amp;number=4.6&amp;sourceID=14","4.6")</f>
        <v>4.6</v>
      </c>
      <c r="G3220" s="4" t="str">
        <f>HYPERLINK("http://141.218.60.56/~jnz1568/getInfo.php?workbook=18_15.xlsx&amp;sheet=U0&amp;row=3220&amp;col=7&amp;number=0.39&amp;sourceID=14","0.39")</f>
        <v>0.39</v>
      </c>
    </row>
    <row r="3221" spans="1:7">
      <c r="A3221" s="3"/>
      <c r="B3221" s="3"/>
      <c r="C3221" s="3"/>
      <c r="D3221" s="3"/>
      <c r="E3221" s="3">
        <v>18</v>
      </c>
      <c r="F3221" s="4" t="str">
        <f>HYPERLINK("http://141.218.60.56/~jnz1568/getInfo.php?workbook=18_15.xlsx&amp;sheet=U0&amp;row=3221&amp;col=6&amp;number=4.7&amp;sourceID=14","4.7")</f>
        <v>4.7</v>
      </c>
      <c r="G3221" s="4" t="str">
        <f>HYPERLINK("http://141.218.60.56/~jnz1568/getInfo.php?workbook=18_15.xlsx&amp;sheet=U0&amp;row=3221&amp;col=7&amp;number=0.395&amp;sourceID=14","0.395")</f>
        <v>0.395</v>
      </c>
    </row>
    <row r="3222" spans="1:7">
      <c r="A3222" s="3"/>
      <c r="B3222" s="3"/>
      <c r="C3222" s="3"/>
      <c r="D3222" s="3"/>
      <c r="E3222" s="3">
        <v>19</v>
      </c>
      <c r="F3222" s="4" t="str">
        <f>HYPERLINK("http://141.218.60.56/~jnz1568/getInfo.php?workbook=18_15.xlsx&amp;sheet=U0&amp;row=3222&amp;col=6&amp;number=4.8&amp;sourceID=14","4.8")</f>
        <v>4.8</v>
      </c>
      <c r="G3222" s="4" t="str">
        <f>HYPERLINK("http://141.218.60.56/~jnz1568/getInfo.php?workbook=18_15.xlsx&amp;sheet=U0&amp;row=3222&amp;col=7&amp;number=0.395&amp;sourceID=14","0.395")</f>
        <v>0.395</v>
      </c>
    </row>
    <row r="3223" spans="1:7">
      <c r="A3223" s="3"/>
      <c r="B3223" s="3"/>
      <c r="C3223" s="3"/>
      <c r="D3223" s="3"/>
      <c r="E3223" s="3">
        <v>20</v>
      </c>
      <c r="F3223" s="4" t="str">
        <f>HYPERLINK("http://141.218.60.56/~jnz1568/getInfo.php?workbook=18_15.xlsx&amp;sheet=U0&amp;row=3223&amp;col=6&amp;number=4.9&amp;sourceID=14","4.9")</f>
        <v>4.9</v>
      </c>
      <c r="G3223" s="4" t="str">
        <f>HYPERLINK("http://141.218.60.56/~jnz1568/getInfo.php?workbook=18_15.xlsx&amp;sheet=U0&amp;row=3223&amp;col=7&amp;number=0.389&amp;sourceID=14","0.389")</f>
        <v>0.389</v>
      </c>
    </row>
    <row r="3224" spans="1:7">
      <c r="A3224" s="3">
        <v>18</v>
      </c>
      <c r="B3224" s="3">
        <v>15</v>
      </c>
      <c r="C3224" s="3">
        <v>17</v>
      </c>
      <c r="D3224" s="3">
        <v>23</v>
      </c>
      <c r="E3224" s="3">
        <v>1</v>
      </c>
      <c r="F3224" s="4" t="str">
        <f>HYPERLINK("http://141.218.60.56/~jnz1568/getInfo.php?workbook=18_15.xlsx&amp;sheet=U0&amp;row=3224&amp;col=6&amp;number=3&amp;sourceID=14","3")</f>
        <v>3</v>
      </c>
      <c r="G3224" s="4" t="str">
        <f>HYPERLINK("http://141.218.60.56/~jnz1568/getInfo.php?workbook=18_15.xlsx&amp;sheet=U0&amp;row=3224&amp;col=7&amp;number=2.24&amp;sourceID=14","2.24")</f>
        <v>2.24</v>
      </c>
    </row>
    <row r="3225" spans="1:7">
      <c r="A3225" s="3"/>
      <c r="B3225" s="3"/>
      <c r="C3225" s="3"/>
      <c r="D3225" s="3"/>
      <c r="E3225" s="3">
        <v>2</v>
      </c>
      <c r="F3225" s="4" t="str">
        <f>HYPERLINK("http://141.218.60.56/~jnz1568/getInfo.php?workbook=18_15.xlsx&amp;sheet=U0&amp;row=3225&amp;col=6&amp;number=3.1&amp;sourceID=14","3.1")</f>
        <v>3.1</v>
      </c>
      <c r="G3225" s="4" t="str">
        <f>HYPERLINK("http://141.218.60.56/~jnz1568/getInfo.php?workbook=18_15.xlsx&amp;sheet=U0&amp;row=3225&amp;col=7&amp;number=2.23&amp;sourceID=14","2.23")</f>
        <v>2.23</v>
      </c>
    </row>
    <row r="3226" spans="1:7">
      <c r="A3226" s="3"/>
      <c r="B3226" s="3"/>
      <c r="C3226" s="3"/>
      <c r="D3226" s="3"/>
      <c r="E3226" s="3">
        <v>3</v>
      </c>
      <c r="F3226" s="4" t="str">
        <f>HYPERLINK("http://141.218.60.56/~jnz1568/getInfo.php?workbook=18_15.xlsx&amp;sheet=U0&amp;row=3226&amp;col=6&amp;number=3.2&amp;sourceID=14","3.2")</f>
        <v>3.2</v>
      </c>
      <c r="G3226" s="4" t="str">
        <f>HYPERLINK("http://141.218.60.56/~jnz1568/getInfo.php?workbook=18_15.xlsx&amp;sheet=U0&amp;row=3226&amp;col=7&amp;number=2.21&amp;sourceID=14","2.21")</f>
        <v>2.21</v>
      </c>
    </row>
    <row r="3227" spans="1:7">
      <c r="A3227" s="3"/>
      <c r="B3227" s="3"/>
      <c r="C3227" s="3"/>
      <c r="D3227" s="3"/>
      <c r="E3227" s="3">
        <v>4</v>
      </c>
      <c r="F3227" s="4" t="str">
        <f>HYPERLINK("http://141.218.60.56/~jnz1568/getInfo.php?workbook=18_15.xlsx&amp;sheet=U0&amp;row=3227&amp;col=6&amp;number=3.3&amp;sourceID=14","3.3")</f>
        <v>3.3</v>
      </c>
      <c r="G3227" s="4" t="str">
        <f>HYPERLINK("http://141.218.60.56/~jnz1568/getInfo.php?workbook=18_15.xlsx&amp;sheet=U0&amp;row=3227&amp;col=7&amp;number=2.2&amp;sourceID=14","2.2")</f>
        <v>2.2</v>
      </c>
    </row>
    <row r="3228" spans="1:7">
      <c r="A3228" s="3"/>
      <c r="B3228" s="3"/>
      <c r="C3228" s="3"/>
      <c r="D3228" s="3"/>
      <c r="E3228" s="3">
        <v>5</v>
      </c>
      <c r="F3228" s="4" t="str">
        <f>HYPERLINK("http://141.218.60.56/~jnz1568/getInfo.php?workbook=18_15.xlsx&amp;sheet=U0&amp;row=3228&amp;col=6&amp;number=3.4&amp;sourceID=14","3.4")</f>
        <v>3.4</v>
      </c>
      <c r="G3228" s="4" t="str">
        <f>HYPERLINK("http://141.218.60.56/~jnz1568/getInfo.php?workbook=18_15.xlsx&amp;sheet=U0&amp;row=3228&amp;col=7&amp;number=2.18&amp;sourceID=14","2.18")</f>
        <v>2.18</v>
      </c>
    </row>
    <row r="3229" spans="1:7">
      <c r="A3229" s="3"/>
      <c r="B3229" s="3"/>
      <c r="C3229" s="3"/>
      <c r="D3229" s="3"/>
      <c r="E3229" s="3">
        <v>6</v>
      </c>
      <c r="F3229" s="4" t="str">
        <f>HYPERLINK("http://141.218.60.56/~jnz1568/getInfo.php?workbook=18_15.xlsx&amp;sheet=U0&amp;row=3229&amp;col=6&amp;number=3.5&amp;sourceID=14","3.5")</f>
        <v>3.5</v>
      </c>
      <c r="G3229" s="4" t="str">
        <f>HYPERLINK("http://141.218.60.56/~jnz1568/getInfo.php?workbook=18_15.xlsx&amp;sheet=U0&amp;row=3229&amp;col=7&amp;number=2.16&amp;sourceID=14","2.16")</f>
        <v>2.16</v>
      </c>
    </row>
    <row r="3230" spans="1:7">
      <c r="A3230" s="3"/>
      <c r="B3230" s="3"/>
      <c r="C3230" s="3"/>
      <c r="D3230" s="3"/>
      <c r="E3230" s="3">
        <v>7</v>
      </c>
      <c r="F3230" s="4" t="str">
        <f>HYPERLINK("http://141.218.60.56/~jnz1568/getInfo.php?workbook=18_15.xlsx&amp;sheet=U0&amp;row=3230&amp;col=6&amp;number=3.6&amp;sourceID=14","3.6")</f>
        <v>3.6</v>
      </c>
      <c r="G3230" s="4" t="str">
        <f>HYPERLINK("http://141.218.60.56/~jnz1568/getInfo.php?workbook=18_15.xlsx&amp;sheet=U0&amp;row=3230&amp;col=7&amp;number=2.13&amp;sourceID=14","2.13")</f>
        <v>2.13</v>
      </c>
    </row>
    <row r="3231" spans="1:7">
      <c r="A3231" s="3"/>
      <c r="B3231" s="3"/>
      <c r="C3231" s="3"/>
      <c r="D3231" s="3"/>
      <c r="E3231" s="3">
        <v>8</v>
      </c>
      <c r="F3231" s="4" t="str">
        <f>HYPERLINK("http://141.218.60.56/~jnz1568/getInfo.php?workbook=18_15.xlsx&amp;sheet=U0&amp;row=3231&amp;col=6&amp;number=3.7&amp;sourceID=14","3.7")</f>
        <v>3.7</v>
      </c>
      <c r="G3231" s="4" t="str">
        <f>HYPERLINK("http://141.218.60.56/~jnz1568/getInfo.php?workbook=18_15.xlsx&amp;sheet=U0&amp;row=3231&amp;col=7&amp;number=2.11&amp;sourceID=14","2.11")</f>
        <v>2.11</v>
      </c>
    </row>
    <row r="3232" spans="1:7">
      <c r="A3232" s="3"/>
      <c r="B3232" s="3"/>
      <c r="C3232" s="3"/>
      <c r="D3232" s="3"/>
      <c r="E3232" s="3">
        <v>9</v>
      </c>
      <c r="F3232" s="4" t="str">
        <f>HYPERLINK("http://141.218.60.56/~jnz1568/getInfo.php?workbook=18_15.xlsx&amp;sheet=U0&amp;row=3232&amp;col=6&amp;number=3.8&amp;sourceID=14","3.8")</f>
        <v>3.8</v>
      </c>
      <c r="G3232" s="4" t="str">
        <f>HYPERLINK("http://141.218.60.56/~jnz1568/getInfo.php?workbook=18_15.xlsx&amp;sheet=U0&amp;row=3232&amp;col=7&amp;number=2.08&amp;sourceID=14","2.08")</f>
        <v>2.08</v>
      </c>
    </row>
    <row r="3233" spans="1:7">
      <c r="A3233" s="3"/>
      <c r="B3233" s="3"/>
      <c r="C3233" s="3"/>
      <c r="D3233" s="3"/>
      <c r="E3233" s="3">
        <v>10</v>
      </c>
      <c r="F3233" s="4" t="str">
        <f>HYPERLINK("http://141.218.60.56/~jnz1568/getInfo.php?workbook=18_15.xlsx&amp;sheet=U0&amp;row=3233&amp;col=6&amp;number=3.9&amp;sourceID=14","3.9")</f>
        <v>3.9</v>
      </c>
      <c r="G3233" s="4" t="str">
        <f>HYPERLINK("http://141.218.60.56/~jnz1568/getInfo.php?workbook=18_15.xlsx&amp;sheet=U0&amp;row=3233&amp;col=7&amp;number=2.05&amp;sourceID=14","2.05")</f>
        <v>2.05</v>
      </c>
    </row>
    <row r="3234" spans="1:7">
      <c r="A3234" s="3"/>
      <c r="B3234" s="3"/>
      <c r="C3234" s="3"/>
      <c r="D3234" s="3"/>
      <c r="E3234" s="3">
        <v>11</v>
      </c>
      <c r="F3234" s="4" t="str">
        <f>HYPERLINK("http://141.218.60.56/~jnz1568/getInfo.php?workbook=18_15.xlsx&amp;sheet=U0&amp;row=3234&amp;col=6&amp;number=4&amp;sourceID=14","4")</f>
        <v>4</v>
      </c>
      <c r="G3234" s="4" t="str">
        <f>HYPERLINK("http://141.218.60.56/~jnz1568/getInfo.php?workbook=18_15.xlsx&amp;sheet=U0&amp;row=3234&amp;col=7&amp;number=2.03&amp;sourceID=14","2.03")</f>
        <v>2.03</v>
      </c>
    </row>
    <row r="3235" spans="1:7">
      <c r="A3235" s="3"/>
      <c r="B3235" s="3"/>
      <c r="C3235" s="3"/>
      <c r="D3235" s="3"/>
      <c r="E3235" s="3">
        <v>12</v>
      </c>
      <c r="F3235" s="4" t="str">
        <f>HYPERLINK("http://141.218.60.56/~jnz1568/getInfo.php?workbook=18_15.xlsx&amp;sheet=U0&amp;row=3235&amp;col=6&amp;number=4.1&amp;sourceID=14","4.1")</f>
        <v>4.1</v>
      </c>
      <c r="G3235" s="4" t="str">
        <f>HYPERLINK("http://141.218.60.56/~jnz1568/getInfo.php?workbook=18_15.xlsx&amp;sheet=U0&amp;row=3235&amp;col=7&amp;number=2.02&amp;sourceID=14","2.02")</f>
        <v>2.02</v>
      </c>
    </row>
    <row r="3236" spans="1:7">
      <c r="A3236" s="3"/>
      <c r="B3236" s="3"/>
      <c r="C3236" s="3"/>
      <c r="D3236" s="3"/>
      <c r="E3236" s="3">
        <v>13</v>
      </c>
      <c r="F3236" s="4" t="str">
        <f>HYPERLINK("http://141.218.60.56/~jnz1568/getInfo.php?workbook=18_15.xlsx&amp;sheet=U0&amp;row=3236&amp;col=6&amp;number=4.2&amp;sourceID=14","4.2")</f>
        <v>4.2</v>
      </c>
      <c r="G3236" s="4" t="str">
        <f>HYPERLINK("http://141.218.60.56/~jnz1568/getInfo.php?workbook=18_15.xlsx&amp;sheet=U0&amp;row=3236&amp;col=7&amp;number=2.01&amp;sourceID=14","2.01")</f>
        <v>2.01</v>
      </c>
    </row>
    <row r="3237" spans="1:7">
      <c r="A3237" s="3"/>
      <c r="B3237" s="3"/>
      <c r="C3237" s="3"/>
      <c r="D3237" s="3"/>
      <c r="E3237" s="3">
        <v>14</v>
      </c>
      <c r="F3237" s="4" t="str">
        <f>HYPERLINK("http://141.218.60.56/~jnz1568/getInfo.php?workbook=18_15.xlsx&amp;sheet=U0&amp;row=3237&amp;col=6&amp;number=4.3&amp;sourceID=14","4.3")</f>
        <v>4.3</v>
      </c>
      <c r="G3237" s="4" t="str">
        <f>HYPERLINK("http://141.218.60.56/~jnz1568/getInfo.php?workbook=18_15.xlsx&amp;sheet=U0&amp;row=3237&amp;col=7&amp;number=2&amp;sourceID=14","2")</f>
        <v>2</v>
      </c>
    </row>
    <row r="3238" spans="1:7">
      <c r="A3238" s="3"/>
      <c r="B3238" s="3"/>
      <c r="C3238" s="3"/>
      <c r="D3238" s="3"/>
      <c r="E3238" s="3">
        <v>15</v>
      </c>
      <c r="F3238" s="4" t="str">
        <f>HYPERLINK("http://141.218.60.56/~jnz1568/getInfo.php?workbook=18_15.xlsx&amp;sheet=U0&amp;row=3238&amp;col=6&amp;number=4.4&amp;sourceID=14","4.4")</f>
        <v>4.4</v>
      </c>
      <c r="G3238" s="4" t="str">
        <f>HYPERLINK("http://141.218.60.56/~jnz1568/getInfo.php?workbook=18_15.xlsx&amp;sheet=U0&amp;row=3238&amp;col=7&amp;number=1.99&amp;sourceID=14","1.99")</f>
        <v>1.99</v>
      </c>
    </row>
    <row r="3239" spans="1:7">
      <c r="A3239" s="3"/>
      <c r="B3239" s="3"/>
      <c r="C3239" s="3"/>
      <c r="D3239" s="3"/>
      <c r="E3239" s="3">
        <v>16</v>
      </c>
      <c r="F3239" s="4" t="str">
        <f>HYPERLINK("http://141.218.60.56/~jnz1568/getInfo.php?workbook=18_15.xlsx&amp;sheet=U0&amp;row=3239&amp;col=6&amp;number=4.5&amp;sourceID=14","4.5")</f>
        <v>4.5</v>
      </c>
      <c r="G3239" s="4" t="str">
        <f>HYPERLINK("http://141.218.60.56/~jnz1568/getInfo.php?workbook=18_15.xlsx&amp;sheet=U0&amp;row=3239&amp;col=7&amp;number=1.98&amp;sourceID=14","1.98")</f>
        <v>1.98</v>
      </c>
    </row>
    <row r="3240" spans="1:7">
      <c r="A3240" s="3"/>
      <c r="B3240" s="3"/>
      <c r="C3240" s="3"/>
      <c r="D3240" s="3"/>
      <c r="E3240" s="3">
        <v>17</v>
      </c>
      <c r="F3240" s="4" t="str">
        <f>HYPERLINK("http://141.218.60.56/~jnz1568/getInfo.php?workbook=18_15.xlsx&amp;sheet=U0&amp;row=3240&amp;col=6&amp;number=4.6&amp;sourceID=14","4.6")</f>
        <v>4.6</v>
      </c>
      <c r="G3240" s="4" t="str">
        <f>HYPERLINK("http://141.218.60.56/~jnz1568/getInfo.php?workbook=18_15.xlsx&amp;sheet=U0&amp;row=3240&amp;col=7&amp;number=1.97&amp;sourceID=14","1.97")</f>
        <v>1.97</v>
      </c>
    </row>
    <row r="3241" spans="1:7">
      <c r="A3241" s="3"/>
      <c r="B3241" s="3"/>
      <c r="C3241" s="3"/>
      <c r="D3241" s="3"/>
      <c r="E3241" s="3">
        <v>18</v>
      </c>
      <c r="F3241" s="4" t="str">
        <f>HYPERLINK("http://141.218.60.56/~jnz1568/getInfo.php?workbook=18_15.xlsx&amp;sheet=U0&amp;row=3241&amp;col=6&amp;number=4.7&amp;sourceID=14","4.7")</f>
        <v>4.7</v>
      </c>
      <c r="G3241" s="4" t="str">
        <f>HYPERLINK("http://141.218.60.56/~jnz1568/getInfo.php?workbook=18_15.xlsx&amp;sheet=U0&amp;row=3241&amp;col=7&amp;number=1.98&amp;sourceID=14","1.98")</f>
        <v>1.98</v>
      </c>
    </row>
    <row r="3242" spans="1:7">
      <c r="A3242" s="3"/>
      <c r="B3242" s="3"/>
      <c r="C3242" s="3"/>
      <c r="D3242" s="3"/>
      <c r="E3242" s="3">
        <v>19</v>
      </c>
      <c r="F3242" s="4" t="str">
        <f>HYPERLINK("http://141.218.60.56/~jnz1568/getInfo.php?workbook=18_15.xlsx&amp;sheet=U0&amp;row=3242&amp;col=6&amp;number=4.8&amp;sourceID=14","4.8")</f>
        <v>4.8</v>
      </c>
      <c r="G3242" s="4" t="str">
        <f>HYPERLINK("http://141.218.60.56/~jnz1568/getInfo.php?workbook=18_15.xlsx&amp;sheet=U0&amp;row=3242&amp;col=7&amp;number=2&amp;sourceID=14","2")</f>
        <v>2</v>
      </c>
    </row>
    <row r="3243" spans="1:7">
      <c r="A3243" s="3"/>
      <c r="B3243" s="3"/>
      <c r="C3243" s="3"/>
      <c r="D3243" s="3"/>
      <c r="E3243" s="3">
        <v>20</v>
      </c>
      <c r="F3243" s="4" t="str">
        <f>HYPERLINK("http://141.218.60.56/~jnz1568/getInfo.php?workbook=18_15.xlsx&amp;sheet=U0&amp;row=3243&amp;col=6&amp;number=4.9&amp;sourceID=14","4.9")</f>
        <v>4.9</v>
      </c>
      <c r="G3243" s="4" t="str">
        <f>HYPERLINK("http://141.218.60.56/~jnz1568/getInfo.php?workbook=18_15.xlsx&amp;sheet=U0&amp;row=3243&amp;col=7&amp;number=2&amp;sourceID=14","2")</f>
        <v>2</v>
      </c>
    </row>
    <row r="3244" spans="1:7">
      <c r="A3244" s="3">
        <v>18</v>
      </c>
      <c r="B3244" s="3">
        <v>15</v>
      </c>
      <c r="C3244" s="3">
        <v>17</v>
      </c>
      <c r="D3244" s="3">
        <v>24</v>
      </c>
      <c r="E3244" s="3">
        <v>1</v>
      </c>
      <c r="F3244" s="4" t="str">
        <f>HYPERLINK("http://141.218.60.56/~jnz1568/getInfo.php?workbook=18_15.xlsx&amp;sheet=U0&amp;row=3244&amp;col=6&amp;number=3&amp;sourceID=14","3")</f>
        <v>3</v>
      </c>
      <c r="G3244" s="4" t="str">
        <f>HYPERLINK("http://141.218.60.56/~jnz1568/getInfo.php?workbook=18_15.xlsx&amp;sheet=U0&amp;row=3244&amp;col=7&amp;number=0.11&amp;sourceID=14","0.11")</f>
        <v>0.11</v>
      </c>
    </row>
    <row r="3245" spans="1:7">
      <c r="A3245" s="3"/>
      <c r="B3245" s="3"/>
      <c r="C3245" s="3"/>
      <c r="D3245" s="3"/>
      <c r="E3245" s="3">
        <v>2</v>
      </c>
      <c r="F3245" s="4" t="str">
        <f>HYPERLINK("http://141.218.60.56/~jnz1568/getInfo.php?workbook=18_15.xlsx&amp;sheet=U0&amp;row=3245&amp;col=6&amp;number=3.1&amp;sourceID=14","3.1")</f>
        <v>3.1</v>
      </c>
      <c r="G3245" s="4" t="str">
        <f>HYPERLINK("http://141.218.60.56/~jnz1568/getInfo.php?workbook=18_15.xlsx&amp;sheet=U0&amp;row=3245&amp;col=7&amp;number=0.112&amp;sourceID=14","0.112")</f>
        <v>0.112</v>
      </c>
    </row>
    <row r="3246" spans="1:7">
      <c r="A3246" s="3"/>
      <c r="B3246" s="3"/>
      <c r="C3246" s="3"/>
      <c r="D3246" s="3"/>
      <c r="E3246" s="3">
        <v>3</v>
      </c>
      <c r="F3246" s="4" t="str">
        <f>HYPERLINK("http://141.218.60.56/~jnz1568/getInfo.php?workbook=18_15.xlsx&amp;sheet=U0&amp;row=3246&amp;col=6&amp;number=3.2&amp;sourceID=14","3.2")</f>
        <v>3.2</v>
      </c>
      <c r="G3246" s="4" t="str">
        <f>HYPERLINK("http://141.218.60.56/~jnz1568/getInfo.php?workbook=18_15.xlsx&amp;sheet=U0&amp;row=3246&amp;col=7&amp;number=0.116&amp;sourceID=14","0.116")</f>
        <v>0.116</v>
      </c>
    </row>
    <row r="3247" spans="1:7">
      <c r="A3247" s="3"/>
      <c r="B3247" s="3"/>
      <c r="C3247" s="3"/>
      <c r="D3247" s="3"/>
      <c r="E3247" s="3">
        <v>4</v>
      </c>
      <c r="F3247" s="4" t="str">
        <f>HYPERLINK("http://141.218.60.56/~jnz1568/getInfo.php?workbook=18_15.xlsx&amp;sheet=U0&amp;row=3247&amp;col=6&amp;number=3.3&amp;sourceID=14","3.3")</f>
        <v>3.3</v>
      </c>
      <c r="G3247" s="4" t="str">
        <f>HYPERLINK("http://141.218.60.56/~jnz1568/getInfo.php?workbook=18_15.xlsx&amp;sheet=U0&amp;row=3247&amp;col=7&amp;number=0.12&amp;sourceID=14","0.12")</f>
        <v>0.12</v>
      </c>
    </row>
    <row r="3248" spans="1:7">
      <c r="A3248" s="3"/>
      <c r="B3248" s="3"/>
      <c r="C3248" s="3"/>
      <c r="D3248" s="3"/>
      <c r="E3248" s="3">
        <v>5</v>
      </c>
      <c r="F3248" s="4" t="str">
        <f>HYPERLINK("http://141.218.60.56/~jnz1568/getInfo.php?workbook=18_15.xlsx&amp;sheet=U0&amp;row=3248&amp;col=6&amp;number=3.4&amp;sourceID=14","3.4")</f>
        <v>3.4</v>
      </c>
      <c r="G3248" s="4" t="str">
        <f>HYPERLINK("http://141.218.60.56/~jnz1568/getInfo.php?workbook=18_15.xlsx&amp;sheet=U0&amp;row=3248&amp;col=7&amp;number=0.125&amp;sourceID=14","0.125")</f>
        <v>0.125</v>
      </c>
    </row>
    <row r="3249" spans="1:7">
      <c r="A3249" s="3"/>
      <c r="B3249" s="3"/>
      <c r="C3249" s="3"/>
      <c r="D3249" s="3"/>
      <c r="E3249" s="3">
        <v>6</v>
      </c>
      <c r="F3249" s="4" t="str">
        <f>HYPERLINK("http://141.218.60.56/~jnz1568/getInfo.php?workbook=18_15.xlsx&amp;sheet=U0&amp;row=3249&amp;col=6&amp;number=3.5&amp;sourceID=14","3.5")</f>
        <v>3.5</v>
      </c>
      <c r="G3249" s="4" t="str">
        <f>HYPERLINK("http://141.218.60.56/~jnz1568/getInfo.php?workbook=18_15.xlsx&amp;sheet=U0&amp;row=3249&amp;col=7&amp;number=0.131&amp;sourceID=14","0.131")</f>
        <v>0.131</v>
      </c>
    </row>
    <row r="3250" spans="1:7">
      <c r="A3250" s="3"/>
      <c r="B3250" s="3"/>
      <c r="C3250" s="3"/>
      <c r="D3250" s="3"/>
      <c r="E3250" s="3">
        <v>7</v>
      </c>
      <c r="F3250" s="4" t="str">
        <f>HYPERLINK("http://141.218.60.56/~jnz1568/getInfo.php?workbook=18_15.xlsx&amp;sheet=U0&amp;row=3250&amp;col=6&amp;number=3.6&amp;sourceID=14","3.6")</f>
        <v>3.6</v>
      </c>
      <c r="G3250" s="4" t="str">
        <f>HYPERLINK("http://141.218.60.56/~jnz1568/getInfo.php?workbook=18_15.xlsx&amp;sheet=U0&amp;row=3250&amp;col=7&amp;number=0.139&amp;sourceID=14","0.139")</f>
        <v>0.139</v>
      </c>
    </row>
    <row r="3251" spans="1:7">
      <c r="A3251" s="3"/>
      <c r="B3251" s="3"/>
      <c r="C3251" s="3"/>
      <c r="D3251" s="3"/>
      <c r="E3251" s="3">
        <v>8</v>
      </c>
      <c r="F3251" s="4" t="str">
        <f>HYPERLINK("http://141.218.60.56/~jnz1568/getInfo.php?workbook=18_15.xlsx&amp;sheet=U0&amp;row=3251&amp;col=6&amp;number=3.7&amp;sourceID=14","3.7")</f>
        <v>3.7</v>
      </c>
      <c r="G3251" s="4" t="str">
        <f>HYPERLINK("http://141.218.60.56/~jnz1568/getInfo.php?workbook=18_15.xlsx&amp;sheet=U0&amp;row=3251&amp;col=7&amp;number=0.149&amp;sourceID=14","0.149")</f>
        <v>0.149</v>
      </c>
    </row>
    <row r="3252" spans="1:7">
      <c r="A3252" s="3"/>
      <c r="B3252" s="3"/>
      <c r="C3252" s="3"/>
      <c r="D3252" s="3"/>
      <c r="E3252" s="3">
        <v>9</v>
      </c>
      <c r="F3252" s="4" t="str">
        <f>HYPERLINK("http://141.218.60.56/~jnz1568/getInfo.php?workbook=18_15.xlsx&amp;sheet=U0&amp;row=3252&amp;col=6&amp;number=3.8&amp;sourceID=14","3.8")</f>
        <v>3.8</v>
      </c>
      <c r="G3252" s="4" t="str">
        <f>HYPERLINK("http://141.218.60.56/~jnz1568/getInfo.php?workbook=18_15.xlsx&amp;sheet=U0&amp;row=3252&amp;col=7&amp;number=0.16&amp;sourceID=14","0.16")</f>
        <v>0.16</v>
      </c>
    </row>
    <row r="3253" spans="1:7">
      <c r="A3253" s="3"/>
      <c r="B3253" s="3"/>
      <c r="C3253" s="3"/>
      <c r="D3253" s="3"/>
      <c r="E3253" s="3">
        <v>10</v>
      </c>
      <c r="F3253" s="4" t="str">
        <f>HYPERLINK("http://141.218.60.56/~jnz1568/getInfo.php?workbook=18_15.xlsx&amp;sheet=U0&amp;row=3253&amp;col=6&amp;number=3.9&amp;sourceID=14","3.9")</f>
        <v>3.9</v>
      </c>
      <c r="G3253" s="4" t="str">
        <f>HYPERLINK("http://141.218.60.56/~jnz1568/getInfo.php?workbook=18_15.xlsx&amp;sheet=U0&amp;row=3253&amp;col=7&amp;number=0.174&amp;sourceID=14","0.174")</f>
        <v>0.174</v>
      </c>
    </row>
    <row r="3254" spans="1:7">
      <c r="A3254" s="3"/>
      <c r="B3254" s="3"/>
      <c r="C3254" s="3"/>
      <c r="D3254" s="3"/>
      <c r="E3254" s="3">
        <v>11</v>
      </c>
      <c r="F3254" s="4" t="str">
        <f>HYPERLINK("http://141.218.60.56/~jnz1568/getInfo.php?workbook=18_15.xlsx&amp;sheet=U0&amp;row=3254&amp;col=6&amp;number=4&amp;sourceID=14","4")</f>
        <v>4</v>
      </c>
      <c r="G3254" s="4" t="str">
        <f>HYPERLINK("http://141.218.60.56/~jnz1568/getInfo.php?workbook=18_15.xlsx&amp;sheet=U0&amp;row=3254&amp;col=7&amp;number=0.189&amp;sourceID=14","0.189")</f>
        <v>0.189</v>
      </c>
    </row>
    <row r="3255" spans="1:7">
      <c r="A3255" s="3"/>
      <c r="B3255" s="3"/>
      <c r="C3255" s="3"/>
      <c r="D3255" s="3"/>
      <c r="E3255" s="3">
        <v>12</v>
      </c>
      <c r="F3255" s="4" t="str">
        <f>HYPERLINK("http://141.218.60.56/~jnz1568/getInfo.php?workbook=18_15.xlsx&amp;sheet=U0&amp;row=3255&amp;col=6&amp;number=4.1&amp;sourceID=14","4.1")</f>
        <v>4.1</v>
      </c>
      <c r="G3255" s="4" t="str">
        <f>HYPERLINK("http://141.218.60.56/~jnz1568/getInfo.php?workbook=18_15.xlsx&amp;sheet=U0&amp;row=3255&amp;col=7&amp;number=0.206&amp;sourceID=14","0.206")</f>
        <v>0.206</v>
      </c>
    </row>
    <row r="3256" spans="1:7">
      <c r="A3256" s="3"/>
      <c r="B3256" s="3"/>
      <c r="C3256" s="3"/>
      <c r="D3256" s="3"/>
      <c r="E3256" s="3">
        <v>13</v>
      </c>
      <c r="F3256" s="4" t="str">
        <f>HYPERLINK("http://141.218.60.56/~jnz1568/getInfo.php?workbook=18_15.xlsx&amp;sheet=U0&amp;row=3256&amp;col=6&amp;number=4.2&amp;sourceID=14","4.2")</f>
        <v>4.2</v>
      </c>
      <c r="G3256" s="4" t="str">
        <f>HYPERLINK("http://141.218.60.56/~jnz1568/getInfo.php?workbook=18_15.xlsx&amp;sheet=U0&amp;row=3256&amp;col=7&amp;number=0.222&amp;sourceID=14","0.222")</f>
        <v>0.222</v>
      </c>
    </row>
    <row r="3257" spans="1:7">
      <c r="A3257" s="3"/>
      <c r="B3257" s="3"/>
      <c r="C3257" s="3"/>
      <c r="D3257" s="3"/>
      <c r="E3257" s="3">
        <v>14</v>
      </c>
      <c r="F3257" s="4" t="str">
        <f>HYPERLINK("http://141.218.60.56/~jnz1568/getInfo.php?workbook=18_15.xlsx&amp;sheet=U0&amp;row=3257&amp;col=6&amp;number=4.3&amp;sourceID=14","4.3")</f>
        <v>4.3</v>
      </c>
      <c r="G3257" s="4" t="str">
        <f>HYPERLINK("http://141.218.60.56/~jnz1568/getInfo.php?workbook=18_15.xlsx&amp;sheet=U0&amp;row=3257&amp;col=7&amp;number=0.237&amp;sourceID=14","0.237")</f>
        <v>0.237</v>
      </c>
    </row>
    <row r="3258" spans="1:7">
      <c r="A3258" s="3"/>
      <c r="B3258" s="3"/>
      <c r="C3258" s="3"/>
      <c r="D3258" s="3"/>
      <c r="E3258" s="3">
        <v>15</v>
      </c>
      <c r="F3258" s="4" t="str">
        <f>HYPERLINK("http://141.218.60.56/~jnz1568/getInfo.php?workbook=18_15.xlsx&amp;sheet=U0&amp;row=3258&amp;col=6&amp;number=4.4&amp;sourceID=14","4.4")</f>
        <v>4.4</v>
      </c>
      <c r="G3258" s="4" t="str">
        <f>HYPERLINK("http://141.218.60.56/~jnz1568/getInfo.php?workbook=18_15.xlsx&amp;sheet=U0&amp;row=3258&amp;col=7&amp;number=0.248&amp;sourceID=14","0.248")</f>
        <v>0.248</v>
      </c>
    </row>
    <row r="3259" spans="1:7">
      <c r="A3259" s="3"/>
      <c r="B3259" s="3"/>
      <c r="C3259" s="3"/>
      <c r="D3259" s="3"/>
      <c r="E3259" s="3">
        <v>16</v>
      </c>
      <c r="F3259" s="4" t="str">
        <f>HYPERLINK("http://141.218.60.56/~jnz1568/getInfo.php?workbook=18_15.xlsx&amp;sheet=U0&amp;row=3259&amp;col=6&amp;number=4.5&amp;sourceID=14","4.5")</f>
        <v>4.5</v>
      </c>
      <c r="G3259" s="4" t="str">
        <f>HYPERLINK("http://141.218.60.56/~jnz1568/getInfo.php?workbook=18_15.xlsx&amp;sheet=U0&amp;row=3259&amp;col=7&amp;number=0.254&amp;sourceID=14","0.254")</f>
        <v>0.254</v>
      </c>
    </row>
    <row r="3260" spans="1:7">
      <c r="A3260" s="3"/>
      <c r="B3260" s="3"/>
      <c r="C3260" s="3"/>
      <c r="D3260" s="3"/>
      <c r="E3260" s="3">
        <v>17</v>
      </c>
      <c r="F3260" s="4" t="str">
        <f>HYPERLINK("http://141.218.60.56/~jnz1568/getInfo.php?workbook=18_15.xlsx&amp;sheet=U0&amp;row=3260&amp;col=6&amp;number=4.6&amp;sourceID=14","4.6")</f>
        <v>4.6</v>
      </c>
      <c r="G3260" s="4" t="str">
        <f>HYPERLINK("http://141.218.60.56/~jnz1568/getInfo.php?workbook=18_15.xlsx&amp;sheet=U0&amp;row=3260&amp;col=7&amp;number=0.256&amp;sourceID=14","0.256")</f>
        <v>0.256</v>
      </c>
    </row>
    <row r="3261" spans="1:7">
      <c r="A3261" s="3"/>
      <c r="B3261" s="3"/>
      <c r="C3261" s="3"/>
      <c r="D3261" s="3"/>
      <c r="E3261" s="3">
        <v>18</v>
      </c>
      <c r="F3261" s="4" t="str">
        <f>HYPERLINK("http://141.218.60.56/~jnz1568/getInfo.php?workbook=18_15.xlsx&amp;sheet=U0&amp;row=3261&amp;col=6&amp;number=4.7&amp;sourceID=14","4.7")</f>
        <v>4.7</v>
      </c>
      <c r="G3261" s="4" t="str">
        <f>HYPERLINK("http://141.218.60.56/~jnz1568/getInfo.php?workbook=18_15.xlsx&amp;sheet=U0&amp;row=3261&amp;col=7&amp;number=0.255&amp;sourceID=14","0.255")</f>
        <v>0.255</v>
      </c>
    </row>
    <row r="3262" spans="1:7">
      <c r="A3262" s="3"/>
      <c r="B3262" s="3"/>
      <c r="C3262" s="3"/>
      <c r="D3262" s="3"/>
      <c r="E3262" s="3">
        <v>19</v>
      </c>
      <c r="F3262" s="4" t="str">
        <f>HYPERLINK("http://141.218.60.56/~jnz1568/getInfo.php?workbook=18_15.xlsx&amp;sheet=U0&amp;row=3262&amp;col=6&amp;number=4.8&amp;sourceID=14","4.8")</f>
        <v>4.8</v>
      </c>
      <c r="G3262" s="4" t="str">
        <f>HYPERLINK("http://141.218.60.56/~jnz1568/getInfo.php?workbook=18_15.xlsx&amp;sheet=U0&amp;row=3262&amp;col=7&amp;number=0.253&amp;sourceID=14","0.253")</f>
        <v>0.253</v>
      </c>
    </row>
    <row r="3263" spans="1:7">
      <c r="A3263" s="3"/>
      <c r="B3263" s="3"/>
      <c r="C3263" s="3"/>
      <c r="D3263" s="3"/>
      <c r="E3263" s="3">
        <v>20</v>
      </c>
      <c r="F3263" s="4" t="str">
        <f>HYPERLINK("http://141.218.60.56/~jnz1568/getInfo.php?workbook=18_15.xlsx&amp;sheet=U0&amp;row=3263&amp;col=6&amp;number=4.9&amp;sourceID=14","4.9")</f>
        <v>4.9</v>
      </c>
      <c r="G3263" s="4" t="str">
        <f>HYPERLINK("http://141.218.60.56/~jnz1568/getInfo.php?workbook=18_15.xlsx&amp;sheet=U0&amp;row=3263&amp;col=7&amp;number=0.253&amp;sourceID=14","0.253")</f>
        <v>0.253</v>
      </c>
    </row>
    <row r="3264" spans="1:7">
      <c r="A3264" s="3">
        <v>18</v>
      </c>
      <c r="B3264" s="3">
        <v>15</v>
      </c>
      <c r="C3264" s="3">
        <v>17</v>
      </c>
      <c r="D3264" s="3">
        <v>25</v>
      </c>
      <c r="E3264" s="3">
        <v>1</v>
      </c>
      <c r="F3264" s="4" t="str">
        <f>HYPERLINK("http://141.218.60.56/~jnz1568/getInfo.php?workbook=18_15.xlsx&amp;sheet=U0&amp;row=3264&amp;col=6&amp;number=3&amp;sourceID=14","3")</f>
        <v>3</v>
      </c>
      <c r="G3264" s="4" t="str">
        <f>HYPERLINK("http://141.218.60.56/~jnz1568/getInfo.php?workbook=18_15.xlsx&amp;sheet=U0&amp;row=3264&amp;col=7&amp;number=0.706&amp;sourceID=14","0.706")</f>
        <v>0.706</v>
      </c>
    </row>
    <row r="3265" spans="1:7">
      <c r="A3265" s="3"/>
      <c r="B3265" s="3"/>
      <c r="C3265" s="3"/>
      <c r="D3265" s="3"/>
      <c r="E3265" s="3">
        <v>2</v>
      </c>
      <c r="F3265" s="4" t="str">
        <f>HYPERLINK("http://141.218.60.56/~jnz1568/getInfo.php?workbook=18_15.xlsx&amp;sheet=U0&amp;row=3265&amp;col=6&amp;number=3.1&amp;sourceID=14","3.1")</f>
        <v>3.1</v>
      </c>
      <c r="G3265" s="4" t="str">
        <f>HYPERLINK("http://141.218.60.56/~jnz1568/getInfo.php?workbook=18_15.xlsx&amp;sheet=U0&amp;row=3265&amp;col=7&amp;number=0.712&amp;sourceID=14","0.712")</f>
        <v>0.712</v>
      </c>
    </row>
    <row r="3266" spans="1:7">
      <c r="A3266" s="3"/>
      <c r="B3266" s="3"/>
      <c r="C3266" s="3"/>
      <c r="D3266" s="3"/>
      <c r="E3266" s="3">
        <v>3</v>
      </c>
      <c r="F3266" s="4" t="str">
        <f>HYPERLINK("http://141.218.60.56/~jnz1568/getInfo.php?workbook=18_15.xlsx&amp;sheet=U0&amp;row=3266&amp;col=6&amp;number=3.2&amp;sourceID=14","3.2")</f>
        <v>3.2</v>
      </c>
      <c r="G3266" s="4" t="str">
        <f>HYPERLINK("http://141.218.60.56/~jnz1568/getInfo.php?workbook=18_15.xlsx&amp;sheet=U0&amp;row=3266&amp;col=7&amp;number=0.719&amp;sourceID=14","0.719")</f>
        <v>0.719</v>
      </c>
    </row>
    <row r="3267" spans="1:7">
      <c r="A3267" s="3"/>
      <c r="B3267" s="3"/>
      <c r="C3267" s="3"/>
      <c r="D3267" s="3"/>
      <c r="E3267" s="3">
        <v>4</v>
      </c>
      <c r="F3267" s="4" t="str">
        <f>HYPERLINK("http://141.218.60.56/~jnz1568/getInfo.php?workbook=18_15.xlsx&amp;sheet=U0&amp;row=3267&amp;col=6&amp;number=3.3&amp;sourceID=14","3.3")</f>
        <v>3.3</v>
      </c>
      <c r="G3267" s="4" t="str">
        <f>HYPERLINK("http://141.218.60.56/~jnz1568/getInfo.php?workbook=18_15.xlsx&amp;sheet=U0&amp;row=3267&amp;col=7&amp;number=0.727&amp;sourceID=14","0.727")</f>
        <v>0.727</v>
      </c>
    </row>
    <row r="3268" spans="1:7">
      <c r="A3268" s="3"/>
      <c r="B3268" s="3"/>
      <c r="C3268" s="3"/>
      <c r="D3268" s="3"/>
      <c r="E3268" s="3">
        <v>5</v>
      </c>
      <c r="F3268" s="4" t="str">
        <f>HYPERLINK("http://141.218.60.56/~jnz1568/getInfo.php?workbook=18_15.xlsx&amp;sheet=U0&amp;row=3268&amp;col=6&amp;number=3.4&amp;sourceID=14","3.4")</f>
        <v>3.4</v>
      </c>
      <c r="G3268" s="4" t="str">
        <f>HYPERLINK("http://141.218.60.56/~jnz1568/getInfo.php?workbook=18_15.xlsx&amp;sheet=U0&amp;row=3268&amp;col=7&amp;number=0.738&amp;sourceID=14","0.738")</f>
        <v>0.738</v>
      </c>
    </row>
    <row r="3269" spans="1:7">
      <c r="A3269" s="3"/>
      <c r="B3269" s="3"/>
      <c r="C3269" s="3"/>
      <c r="D3269" s="3"/>
      <c r="E3269" s="3">
        <v>6</v>
      </c>
      <c r="F3269" s="4" t="str">
        <f>HYPERLINK("http://141.218.60.56/~jnz1568/getInfo.php?workbook=18_15.xlsx&amp;sheet=U0&amp;row=3269&amp;col=6&amp;number=3.5&amp;sourceID=14","3.5")</f>
        <v>3.5</v>
      </c>
      <c r="G3269" s="4" t="str">
        <f>HYPERLINK("http://141.218.60.56/~jnz1568/getInfo.php?workbook=18_15.xlsx&amp;sheet=U0&amp;row=3269&amp;col=7&amp;number=0.751&amp;sourceID=14","0.751")</f>
        <v>0.751</v>
      </c>
    </row>
    <row r="3270" spans="1:7">
      <c r="A3270" s="3"/>
      <c r="B3270" s="3"/>
      <c r="C3270" s="3"/>
      <c r="D3270" s="3"/>
      <c r="E3270" s="3">
        <v>7</v>
      </c>
      <c r="F3270" s="4" t="str">
        <f>HYPERLINK("http://141.218.60.56/~jnz1568/getInfo.php?workbook=18_15.xlsx&amp;sheet=U0&amp;row=3270&amp;col=6&amp;number=3.6&amp;sourceID=14","3.6")</f>
        <v>3.6</v>
      </c>
      <c r="G3270" s="4" t="str">
        <f>HYPERLINK("http://141.218.60.56/~jnz1568/getInfo.php?workbook=18_15.xlsx&amp;sheet=U0&amp;row=3270&amp;col=7&amp;number=0.768&amp;sourceID=14","0.768")</f>
        <v>0.768</v>
      </c>
    </row>
    <row r="3271" spans="1:7">
      <c r="A3271" s="3"/>
      <c r="B3271" s="3"/>
      <c r="C3271" s="3"/>
      <c r="D3271" s="3"/>
      <c r="E3271" s="3">
        <v>8</v>
      </c>
      <c r="F3271" s="4" t="str">
        <f>HYPERLINK("http://141.218.60.56/~jnz1568/getInfo.php?workbook=18_15.xlsx&amp;sheet=U0&amp;row=3271&amp;col=6&amp;number=3.7&amp;sourceID=14","3.7")</f>
        <v>3.7</v>
      </c>
      <c r="G3271" s="4" t="str">
        <f>HYPERLINK("http://141.218.60.56/~jnz1568/getInfo.php?workbook=18_15.xlsx&amp;sheet=U0&amp;row=3271&amp;col=7&amp;number=0.79&amp;sourceID=14","0.79")</f>
        <v>0.79</v>
      </c>
    </row>
    <row r="3272" spans="1:7">
      <c r="A3272" s="3"/>
      <c r="B3272" s="3"/>
      <c r="C3272" s="3"/>
      <c r="D3272" s="3"/>
      <c r="E3272" s="3">
        <v>9</v>
      </c>
      <c r="F3272" s="4" t="str">
        <f>HYPERLINK("http://141.218.60.56/~jnz1568/getInfo.php?workbook=18_15.xlsx&amp;sheet=U0&amp;row=3272&amp;col=6&amp;number=3.8&amp;sourceID=14","3.8")</f>
        <v>3.8</v>
      </c>
      <c r="G3272" s="4" t="str">
        <f>HYPERLINK("http://141.218.60.56/~jnz1568/getInfo.php?workbook=18_15.xlsx&amp;sheet=U0&amp;row=3272&amp;col=7&amp;number=0.819&amp;sourceID=14","0.819")</f>
        <v>0.819</v>
      </c>
    </row>
    <row r="3273" spans="1:7">
      <c r="A3273" s="3"/>
      <c r="B3273" s="3"/>
      <c r="C3273" s="3"/>
      <c r="D3273" s="3"/>
      <c r="E3273" s="3">
        <v>10</v>
      </c>
      <c r="F3273" s="4" t="str">
        <f>HYPERLINK("http://141.218.60.56/~jnz1568/getInfo.php?workbook=18_15.xlsx&amp;sheet=U0&amp;row=3273&amp;col=6&amp;number=3.9&amp;sourceID=14","3.9")</f>
        <v>3.9</v>
      </c>
      <c r="G3273" s="4" t="str">
        <f>HYPERLINK("http://141.218.60.56/~jnz1568/getInfo.php?workbook=18_15.xlsx&amp;sheet=U0&amp;row=3273&amp;col=7&amp;number=0.856&amp;sourceID=14","0.856")</f>
        <v>0.856</v>
      </c>
    </row>
    <row r="3274" spans="1:7">
      <c r="A3274" s="3"/>
      <c r="B3274" s="3"/>
      <c r="C3274" s="3"/>
      <c r="D3274" s="3"/>
      <c r="E3274" s="3">
        <v>11</v>
      </c>
      <c r="F3274" s="4" t="str">
        <f>HYPERLINK("http://141.218.60.56/~jnz1568/getInfo.php?workbook=18_15.xlsx&amp;sheet=U0&amp;row=3274&amp;col=6&amp;number=4&amp;sourceID=14","4")</f>
        <v>4</v>
      </c>
      <c r="G3274" s="4" t="str">
        <f>HYPERLINK("http://141.218.60.56/~jnz1568/getInfo.php?workbook=18_15.xlsx&amp;sheet=U0&amp;row=3274&amp;col=7&amp;number=0.906&amp;sourceID=14","0.906")</f>
        <v>0.906</v>
      </c>
    </row>
    <row r="3275" spans="1:7">
      <c r="A3275" s="3"/>
      <c r="B3275" s="3"/>
      <c r="C3275" s="3"/>
      <c r="D3275" s="3"/>
      <c r="E3275" s="3">
        <v>12</v>
      </c>
      <c r="F3275" s="4" t="str">
        <f>HYPERLINK("http://141.218.60.56/~jnz1568/getInfo.php?workbook=18_15.xlsx&amp;sheet=U0&amp;row=3275&amp;col=6&amp;number=4.1&amp;sourceID=14","4.1")</f>
        <v>4.1</v>
      </c>
      <c r="G3275" s="4" t="str">
        <f>HYPERLINK("http://141.218.60.56/~jnz1568/getInfo.php?workbook=18_15.xlsx&amp;sheet=U0&amp;row=3275&amp;col=7&amp;number=0.968&amp;sourceID=14","0.968")</f>
        <v>0.968</v>
      </c>
    </row>
    <row r="3276" spans="1:7">
      <c r="A3276" s="3"/>
      <c r="B3276" s="3"/>
      <c r="C3276" s="3"/>
      <c r="D3276" s="3"/>
      <c r="E3276" s="3">
        <v>13</v>
      </c>
      <c r="F3276" s="4" t="str">
        <f>HYPERLINK("http://141.218.60.56/~jnz1568/getInfo.php?workbook=18_15.xlsx&amp;sheet=U0&amp;row=3276&amp;col=6&amp;number=4.2&amp;sourceID=14","4.2")</f>
        <v>4.2</v>
      </c>
      <c r="G3276" s="4" t="str">
        <f>HYPERLINK("http://141.218.60.56/~jnz1568/getInfo.php?workbook=18_15.xlsx&amp;sheet=U0&amp;row=3276&amp;col=7&amp;number=1.04&amp;sourceID=14","1.04")</f>
        <v>1.04</v>
      </c>
    </row>
    <row r="3277" spans="1:7">
      <c r="A3277" s="3"/>
      <c r="B3277" s="3"/>
      <c r="C3277" s="3"/>
      <c r="D3277" s="3"/>
      <c r="E3277" s="3">
        <v>14</v>
      </c>
      <c r="F3277" s="4" t="str">
        <f>HYPERLINK("http://141.218.60.56/~jnz1568/getInfo.php?workbook=18_15.xlsx&amp;sheet=U0&amp;row=3277&amp;col=6&amp;number=4.3&amp;sourceID=14","4.3")</f>
        <v>4.3</v>
      </c>
      <c r="G3277" s="4" t="str">
        <f>HYPERLINK("http://141.218.60.56/~jnz1568/getInfo.php?workbook=18_15.xlsx&amp;sheet=U0&amp;row=3277&amp;col=7&amp;number=1.11&amp;sourceID=14","1.11")</f>
        <v>1.11</v>
      </c>
    </row>
    <row r="3278" spans="1:7">
      <c r="A3278" s="3"/>
      <c r="B3278" s="3"/>
      <c r="C3278" s="3"/>
      <c r="D3278" s="3"/>
      <c r="E3278" s="3">
        <v>15</v>
      </c>
      <c r="F3278" s="4" t="str">
        <f>HYPERLINK("http://141.218.60.56/~jnz1568/getInfo.php?workbook=18_15.xlsx&amp;sheet=U0&amp;row=3278&amp;col=6&amp;number=4.4&amp;sourceID=14","4.4")</f>
        <v>4.4</v>
      </c>
      <c r="G3278" s="4" t="str">
        <f>HYPERLINK("http://141.218.60.56/~jnz1568/getInfo.php?workbook=18_15.xlsx&amp;sheet=U0&amp;row=3278&amp;col=7&amp;number=1.16&amp;sourceID=14","1.16")</f>
        <v>1.16</v>
      </c>
    </row>
    <row r="3279" spans="1:7">
      <c r="A3279" s="3"/>
      <c r="B3279" s="3"/>
      <c r="C3279" s="3"/>
      <c r="D3279" s="3"/>
      <c r="E3279" s="3">
        <v>16</v>
      </c>
      <c r="F3279" s="4" t="str">
        <f>HYPERLINK("http://141.218.60.56/~jnz1568/getInfo.php?workbook=18_15.xlsx&amp;sheet=U0&amp;row=3279&amp;col=6&amp;number=4.5&amp;sourceID=14","4.5")</f>
        <v>4.5</v>
      </c>
      <c r="G3279" s="4" t="str">
        <f>HYPERLINK("http://141.218.60.56/~jnz1568/getInfo.php?workbook=18_15.xlsx&amp;sheet=U0&amp;row=3279&amp;col=7&amp;number=1.2&amp;sourceID=14","1.2")</f>
        <v>1.2</v>
      </c>
    </row>
    <row r="3280" spans="1:7">
      <c r="A3280" s="3"/>
      <c r="B3280" s="3"/>
      <c r="C3280" s="3"/>
      <c r="D3280" s="3"/>
      <c r="E3280" s="3">
        <v>17</v>
      </c>
      <c r="F3280" s="4" t="str">
        <f>HYPERLINK("http://141.218.60.56/~jnz1568/getInfo.php?workbook=18_15.xlsx&amp;sheet=U0&amp;row=3280&amp;col=6&amp;number=4.6&amp;sourceID=14","4.6")</f>
        <v>4.6</v>
      </c>
      <c r="G3280" s="4" t="str">
        <f>HYPERLINK("http://141.218.60.56/~jnz1568/getInfo.php?workbook=18_15.xlsx&amp;sheet=U0&amp;row=3280&amp;col=7&amp;number=1.24&amp;sourceID=14","1.24")</f>
        <v>1.24</v>
      </c>
    </row>
    <row r="3281" spans="1:7">
      <c r="A3281" s="3"/>
      <c r="B3281" s="3"/>
      <c r="C3281" s="3"/>
      <c r="D3281" s="3"/>
      <c r="E3281" s="3">
        <v>18</v>
      </c>
      <c r="F3281" s="4" t="str">
        <f>HYPERLINK("http://141.218.60.56/~jnz1568/getInfo.php?workbook=18_15.xlsx&amp;sheet=U0&amp;row=3281&amp;col=6&amp;number=4.7&amp;sourceID=14","4.7")</f>
        <v>4.7</v>
      </c>
      <c r="G3281" s="4" t="str">
        <f>HYPERLINK("http://141.218.60.56/~jnz1568/getInfo.php?workbook=18_15.xlsx&amp;sheet=U0&amp;row=3281&amp;col=7&amp;number=1.3&amp;sourceID=14","1.3")</f>
        <v>1.3</v>
      </c>
    </row>
    <row r="3282" spans="1:7">
      <c r="A3282" s="3"/>
      <c r="B3282" s="3"/>
      <c r="C3282" s="3"/>
      <c r="D3282" s="3"/>
      <c r="E3282" s="3">
        <v>19</v>
      </c>
      <c r="F3282" s="4" t="str">
        <f>HYPERLINK("http://141.218.60.56/~jnz1568/getInfo.php?workbook=18_15.xlsx&amp;sheet=U0&amp;row=3282&amp;col=6&amp;number=4.8&amp;sourceID=14","4.8")</f>
        <v>4.8</v>
      </c>
      <c r="G3282" s="4" t="str">
        <f>HYPERLINK("http://141.218.60.56/~jnz1568/getInfo.php?workbook=18_15.xlsx&amp;sheet=U0&amp;row=3282&amp;col=7&amp;number=1.37&amp;sourceID=14","1.37")</f>
        <v>1.37</v>
      </c>
    </row>
    <row r="3283" spans="1:7">
      <c r="A3283" s="3"/>
      <c r="B3283" s="3"/>
      <c r="C3283" s="3"/>
      <c r="D3283" s="3"/>
      <c r="E3283" s="3">
        <v>20</v>
      </c>
      <c r="F3283" s="4" t="str">
        <f>HYPERLINK("http://141.218.60.56/~jnz1568/getInfo.php?workbook=18_15.xlsx&amp;sheet=U0&amp;row=3283&amp;col=6&amp;number=4.9&amp;sourceID=14","4.9")</f>
        <v>4.9</v>
      </c>
      <c r="G3283" s="4" t="str">
        <f>HYPERLINK("http://141.218.60.56/~jnz1568/getInfo.php?workbook=18_15.xlsx&amp;sheet=U0&amp;row=3283&amp;col=7&amp;number=1.42&amp;sourceID=14","1.42")</f>
        <v>1.42</v>
      </c>
    </row>
    <row r="3284" spans="1:7">
      <c r="A3284" s="3">
        <v>18</v>
      </c>
      <c r="B3284" s="3">
        <v>15</v>
      </c>
      <c r="C3284" s="3">
        <v>17</v>
      </c>
      <c r="D3284" s="3">
        <v>26</v>
      </c>
      <c r="E3284" s="3">
        <v>1</v>
      </c>
      <c r="F3284" s="4" t="str">
        <f>HYPERLINK("http://141.218.60.56/~jnz1568/getInfo.php?workbook=18_15.xlsx&amp;sheet=U0&amp;row=3284&amp;col=6&amp;number=3&amp;sourceID=14","3")</f>
        <v>3</v>
      </c>
      <c r="G3284" s="4" t="str">
        <f>HYPERLINK("http://141.218.60.56/~jnz1568/getInfo.php?workbook=18_15.xlsx&amp;sheet=U0&amp;row=3284&amp;col=7&amp;number=0.512&amp;sourceID=14","0.512")</f>
        <v>0.512</v>
      </c>
    </row>
    <row r="3285" spans="1:7">
      <c r="A3285" s="3"/>
      <c r="B3285" s="3"/>
      <c r="C3285" s="3"/>
      <c r="D3285" s="3"/>
      <c r="E3285" s="3">
        <v>2</v>
      </c>
      <c r="F3285" s="4" t="str">
        <f>HYPERLINK("http://141.218.60.56/~jnz1568/getInfo.php?workbook=18_15.xlsx&amp;sheet=U0&amp;row=3285&amp;col=6&amp;number=3.1&amp;sourceID=14","3.1")</f>
        <v>3.1</v>
      </c>
      <c r="G3285" s="4" t="str">
        <f>HYPERLINK("http://141.218.60.56/~jnz1568/getInfo.php?workbook=18_15.xlsx&amp;sheet=U0&amp;row=3285&amp;col=7&amp;number=0.508&amp;sourceID=14","0.508")</f>
        <v>0.508</v>
      </c>
    </row>
    <row r="3286" spans="1:7">
      <c r="A3286" s="3"/>
      <c r="B3286" s="3"/>
      <c r="C3286" s="3"/>
      <c r="D3286" s="3"/>
      <c r="E3286" s="3">
        <v>3</v>
      </c>
      <c r="F3286" s="4" t="str">
        <f>HYPERLINK("http://141.218.60.56/~jnz1568/getInfo.php?workbook=18_15.xlsx&amp;sheet=U0&amp;row=3286&amp;col=6&amp;number=3.2&amp;sourceID=14","3.2")</f>
        <v>3.2</v>
      </c>
      <c r="G3286" s="4" t="str">
        <f>HYPERLINK("http://141.218.60.56/~jnz1568/getInfo.php?workbook=18_15.xlsx&amp;sheet=U0&amp;row=3286&amp;col=7&amp;number=0.503&amp;sourceID=14","0.503")</f>
        <v>0.503</v>
      </c>
    </row>
    <row r="3287" spans="1:7">
      <c r="A3287" s="3"/>
      <c r="B3287" s="3"/>
      <c r="C3287" s="3"/>
      <c r="D3287" s="3"/>
      <c r="E3287" s="3">
        <v>4</v>
      </c>
      <c r="F3287" s="4" t="str">
        <f>HYPERLINK("http://141.218.60.56/~jnz1568/getInfo.php?workbook=18_15.xlsx&amp;sheet=U0&amp;row=3287&amp;col=6&amp;number=3.3&amp;sourceID=14","3.3")</f>
        <v>3.3</v>
      </c>
      <c r="G3287" s="4" t="str">
        <f>HYPERLINK("http://141.218.60.56/~jnz1568/getInfo.php?workbook=18_15.xlsx&amp;sheet=U0&amp;row=3287&amp;col=7&amp;number=0.497&amp;sourceID=14","0.497")</f>
        <v>0.497</v>
      </c>
    </row>
    <row r="3288" spans="1:7">
      <c r="A3288" s="3"/>
      <c r="B3288" s="3"/>
      <c r="C3288" s="3"/>
      <c r="D3288" s="3"/>
      <c r="E3288" s="3">
        <v>5</v>
      </c>
      <c r="F3288" s="4" t="str">
        <f>HYPERLINK("http://141.218.60.56/~jnz1568/getInfo.php?workbook=18_15.xlsx&amp;sheet=U0&amp;row=3288&amp;col=6&amp;number=3.4&amp;sourceID=14","3.4")</f>
        <v>3.4</v>
      </c>
      <c r="G3288" s="4" t="str">
        <f>HYPERLINK("http://141.218.60.56/~jnz1568/getInfo.php?workbook=18_15.xlsx&amp;sheet=U0&amp;row=3288&amp;col=7&amp;number=0.49&amp;sourceID=14","0.49")</f>
        <v>0.49</v>
      </c>
    </row>
    <row r="3289" spans="1:7">
      <c r="A3289" s="3"/>
      <c r="B3289" s="3"/>
      <c r="C3289" s="3"/>
      <c r="D3289" s="3"/>
      <c r="E3289" s="3">
        <v>6</v>
      </c>
      <c r="F3289" s="4" t="str">
        <f>HYPERLINK("http://141.218.60.56/~jnz1568/getInfo.php?workbook=18_15.xlsx&amp;sheet=U0&amp;row=3289&amp;col=6&amp;number=3.5&amp;sourceID=14","3.5")</f>
        <v>3.5</v>
      </c>
      <c r="G3289" s="4" t="str">
        <f>HYPERLINK("http://141.218.60.56/~jnz1568/getInfo.php?workbook=18_15.xlsx&amp;sheet=U0&amp;row=3289&amp;col=7&amp;number=0.481&amp;sourceID=14","0.481")</f>
        <v>0.481</v>
      </c>
    </row>
    <row r="3290" spans="1:7">
      <c r="A3290" s="3"/>
      <c r="B3290" s="3"/>
      <c r="C3290" s="3"/>
      <c r="D3290" s="3"/>
      <c r="E3290" s="3">
        <v>7</v>
      </c>
      <c r="F3290" s="4" t="str">
        <f>HYPERLINK("http://141.218.60.56/~jnz1568/getInfo.php?workbook=18_15.xlsx&amp;sheet=U0&amp;row=3290&amp;col=6&amp;number=3.6&amp;sourceID=14","3.6")</f>
        <v>3.6</v>
      </c>
      <c r="G3290" s="4" t="str">
        <f>HYPERLINK("http://141.218.60.56/~jnz1568/getInfo.php?workbook=18_15.xlsx&amp;sheet=U0&amp;row=3290&amp;col=7&amp;number=0.47&amp;sourceID=14","0.47")</f>
        <v>0.47</v>
      </c>
    </row>
    <row r="3291" spans="1:7">
      <c r="A3291" s="3"/>
      <c r="B3291" s="3"/>
      <c r="C3291" s="3"/>
      <c r="D3291" s="3"/>
      <c r="E3291" s="3">
        <v>8</v>
      </c>
      <c r="F3291" s="4" t="str">
        <f>HYPERLINK("http://141.218.60.56/~jnz1568/getInfo.php?workbook=18_15.xlsx&amp;sheet=U0&amp;row=3291&amp;col=6&amp;number=3.7&amp;sourceID=14","3.7")</f>
        <v>3.7</v>
      </c>
      <c r="G3291" s="4" t="str">
        <f>HYPERLINK("http://141.218.60.56/~jnz1568/getInfo.php?workbook=18_15.xlsx&amp;sheet=U0&amp;row=3291&amp;col=7&amp;number=0.457&amp;sourceID=14","0.457")</f>
        <v>0.457</v>
      </c>
    </row>
    <row r="3292" spans="1:7">
      <c r="A3292" s="3"/>
      <c r="B3292" s="3"/>
      <c r="C3292" s="3"/>
      <c r="D3292" s="3"/>
      <c r="E3292" s="3">
        <v>9</v>
      </c>
      <c r="F3292" s="4" t="str">
        <f>HYPERLINK("http://141.218.60.56/~jnz1568/getInfo.php?workbook=18_15.xlsx&amp;sheet=U0&amp;row=3292&amp;col=6&amp;number=3.8&amp;sourceID=14","3.8")</f>
        <v>3.8</v>
      </c>
      <c r="G3292" s="4" t="str">
        <f>HYPERLINK("http://141.218.60.56/~jnz1568/getInfo.php?workbook=18_15.xlsx&amp;sheet=U0&amp;row=3292&amp;col=7&amp;number=0.443&amp;sourceID=14","0.443")</f>
        <v>0.443</v>
      </c>
    </row>
    <row r="3293" spans="1:7">
      <c r="A3293" s="3"/>
      <c r="B3293" s="3"/>
      <c r="C3293" s="3"/>
      <c r="D3293" s="3"/>
      <c r="E3293" s="3">
        <v>10</v>
      </c>
      <c r="F3293" s="4" t="str">
        <f>HYPERLINK("http://141.218.60.56/~jnz1568/getInfo.php?workbook=18_15.xlsx&amp;sheet=U0&amp;row=3293&amp;col=6&amp;number=3.9&amp;sourceID=14","3.9")</f>
        <v>3.9</v>
      </c>
      <c r="G3293" s="4" t="str">
        <f>HYPERLINK("http://141.218.60.56/~jnz1568/getInfo.php?workbook=18_15.xlsx&amp;sheet=U0&amp;row=3293&amp;col=7&amp;number=0.427&amp;sourceID=14","0.427")</f>
        <v>0.427</v>
      </c>
    </row>
    <row r="3294" spans="1:7">
      <c r="A3294" s="3"/>
      <c r="B3294" s="3"/>
      <c r="C3294" s="3"/>
      <c r="D3294" s="3"/>
      <c r="E3294" s="3">
        <v>11</v>
      </c>
      <c r="F3294" s="4" t="str">
        <f>HYPERLINK("http://141.218.60.56/~jnz1568/getInfo.php?workbook=18_15.xlsx&amp;sheet=U0&amp;row=3294&amp;col=6&amp;number=4&amp;sourceID=14","4")</f>
        <v>4</v>
      </c>
      <c r="G3294" s="4" t="str">
        <f>HYPERLINK("http://141.218.60.56/~jnz1568/getInfo.php?workbook=18_15.xlsx&amp;sheet=U0&amp;row=3294&amp;col=7&amp;number=0.412&amp;sourceID=14","0.412")</f>
        <v>0.412</v>
      </c>
    </row>
    <row r="3295" spans="1:7">
      <c r="A3295" s="3"/>
      <c r="B3295" s="3"/>
      <c r="C3295" s="3"/>
      <c r="D3295" s="3"/>
      <c r="E3295" s="3">
        <v>12</v>
      </c>
      <c r="F3295" s="4" t="str">
        <f>HYPERLINK("http://141.218.60.56/~jnz1568/getInfo.php?workbook=18_15.xlsx&amp;sheet=U0&amp;row=3295&amp;col=6&amp;number=4.1&amp;sourceID=14","4.1")</f>
        <v>4.1</v>
      </c>
      <c r="G3295" s="4" t="str">
        <f>HYPERLINK("http://141.218.60.56/~jnz1568/getInfo.php?workbook=18_15.xlsx&amp;sheet=U0&amp;row=3295&amp;col=7&amp;number=0.399&amp;sourceID=14","0.399")</f>
        <v>0.399</v>
      </c>
    </row>
    <row r="3296" spans="1:7">
      <c r="A3296" s="3"/>
      <c r="B3296" s="3"/>
      <c r="C3296" s="3"/>
      <c r="D3296" s="3"/>
      <c r="E3296" s="3">
        <v>13</v>
      </c>
      <c r="F3296" s="4" t="str">
        <f>HYPERLINK("http://141.218.60.56/~jnz1568/getInfo.php?workbook=18_15.xlsx&amp;sheet=U0&amp;row=3296&amp;col=6&amp;number=4.2&amp;sourceID=14","4.2")</f>
        <v>4.2</v>
      </c>
      <c r="G3296" s="4" t="str">
        <f>HYPERLINK("http://141.218.60.56/~jnz1568/getInfo.php?workbook=18_15.xlsx&amp;sheet=U0&amp;row=3296&amp;col=7&amp;number=0.391&amp;sourceID=14","0.391")</f>
        <v>0.391</v>
      </c>
    </row>
    <row r="3297" spans="1:7">
      <c r="A3297" s="3"/>
      <c r="B3297" s="3"/>
      <c r="C3297" s="3"/>
      <c r="D3297" s="3"/>
      <c r="E3297" s="3">
        <v>14</v>
      </c>
      <c r="F3297" s="4" t="str">
        <f>HYPERLINK("http://141.218.60.56/~jnz1568/getInfo.php?workbook=18_15.xlsx&amp;sheet=U0&amp;row=3297&amp;col=6&amp;number=4.3&amp;sourceID=14","4.3")</f>
        <v>4.3</v>
      </c>
      <c r="G3297" s="4" t="str">
        <f>HYPERLINK("http://141.218.60.56/~jnz1568/getInfo.php?workbook=18_15.xlsx&amp;sheet=U0&amp;row=3297&amp;col=7&amp;number=0.389&amp;sourceID=14","0.389")</f>
        <v>0.389</v>
      </c>
    </row>
    <row r="3298" spans="1:7">
      <c r="A3298" s="3"/>
      <c r="B3298" s="3"/>
      <c r="C3298" s="3"/>
      <c r="D3298" s="3"/>
      <c r="E3298" s="3">
        <v>15</v>
      </c>
      <c r="F3298" s="4" t="str">
        <f>HYPERLINK("http://141.218.60.56/~jnz1568/getInfo.php?workbook=18_15.xlsx&amp;sheet=U0&amp;row=3298&amp;col=6&amp;number=4.4&amp;sourceID=14","4.4")</f>
        <v>4.4</v>
      </c>
      <c r="G3298" s="4" t="str">
        <f>HYPERLINK("http://141.218.60.56/~jnz1568/getInfo.php?workbook=18_15.xlsx&amp;sheet=U0&amp;row=3298&amp;col=7&amp;number=0.388&amp;sourceID=14","0.388")</f>
        <v>0.388</v>
      </c>
    </row>
    <row r="3299" spans="1:7">
      <c r="A3299" s="3"/>
      <c r="B3299" s="3"/>
      <c r="C3299" s="3"/>
      <c r="D3299" s="3"/>
      <c r="E3299" s="3">
        <v>16</v>
      </c>
      <c r="F3299" s="4" t="str">
        <f>HYPERLINK("http://141.218.60.56/~jnz1568/getInfo.php?workbook=18_15.xlsx&amp;sheet=U0&amp;row=3299&amp;col=6&amp;number=4.5&amp;sourceID=14","4.5")</f>
        <v>4.5</v>
      </c>
      <c r="G3299" s="4" t="str">
        <f>HYPERLINK("http://141.218.60.56/~jnz1568/getInfo.php?workbook=18_15.xlsx&amp;sheet=U0&amp;row=3299&amp;col=7&amp;number=0.381&amp;sourceID=14","0.381")</f>
        <v>0.381</v>
      </c>
    </row>
    <row r="3300" spans="1:7">
      <c r="A3300" s="3"/>
      <c r="B3300" s="3"/>
      <c r="C3300" s="3"/>
      <c r="D3300" s="3"/>
      <c r="E3300" s="3">
        <v>17</v>
      </c>
      <c r="F3300" s="4" t="str">
        <f>HYPERLINK("http://141.218.60.56/~jnz1568/getInfo.php?workbook=18_15.xlsx&amp;sheet=U0&amp;row=3300&amp;col=6&amp;number=4.6&amp;sourceID=14","4.6")</f>
        <v>4.6</v>
      </c>
      <c r="G3300" s="4" t="str">
        <f>HYPERLINK("http://141.218.60.56/~jnz1568/getInfo.php?workbook=18_15.xlsx&amp;sheet=U0&amp;row=3300&amp;col=7&amp;number=0.37&amp;sourceID=14","0.37")</f>
        <v>0.37</v>
      </c>
    </row>
    <row r="3301" spans="1:7">
      <c r="A3301" s="3"/>
      <c r="B3301" s="3"/>
      <c r="C3301" s="3"/>
      <c r="D3301" s="3"/>
      <c r="E3301" s="3">
        <v>18</v>
      </c>
      <c r="F3301" s="4" t="str">
        <f>HYPERLINK("http://141.218.60.56/~jnz1568/getInfo.php?workbook=18_15.xlsx&amp;sheet=U0&amp;row=3301&amp;col=6&amp;number=4.7&amp;sourceID=14","4.7")</f>
        <v>4.7</v>
      </c>
      <c r="G3301" s="4" t="str">
        <f>HYPERLINK("http://141.218.60.56/~jnz1568/getInfo.php?workbook=18_15.xlsx&amp;sheet=U0&amp;row=3301&amp;col=7&amp;number=0.358&amp;sourceID=14","0.358")</f>
        <v>0.358</v>
      </c>
    </row>
    <row r="3302" spans="1:7">
      <c r="A3302" s="3"/>
      <c r="B3302" s="3"/>
      <c r="C3302" s="3"/>
      <c r="D3302" s="3"/>
      <c r="E3302" s="3">
        <v>19</v>
      </c>
      <c r="F3302" s="4" t="str">
        <f>HYPERLINK("http://141.218.60.56/~jnz1568/getInfo.php?workbook=18_15.xlsx&amp;sheet=U0&amp;row=3302&amp;col=6&amp;number=4.8&amp;sourceID=14","4.8")</f>
        <v>4.8</v>
      </c>
      <c r="G3302" s="4" t="str">
        <f>HYPERLINK("http://141.218.60.56/~jnz1568/getInfo.php?workbook=18_15.xlsx&amp;sheet=U0&amp;row=3302&amp;col=7&amp;number=0.349&amp;sourceID=14","0.349")</f>
        <v>0.349</v>
      </c>
    </row>
    <row r="3303" spans="1:7">
      <c r="A3303" s="3"/>
      <c r="B3303" s="3"/>
      <c r="C3303" s="3"/>
      <c r="D3303" s="3"/>
      <c r="E3303" s="3">
        <v>20</v>
      </c>
      <c r="F3303" s="4" t="str">
        <f>HYPERLINK("http://141.218.60.56/~jnz1568/getInfo.php?workbook=18_15.xlsx&amp;sheet=U0&amp;row=3303&amp;col=6&amp;number=4.9&amp;sourceID=14","4.9")</f>
        <v>4.9</v>
      </c>
      <c r="G3303" s="4" t="str">
        <f>HYPERLINK("http://141.218.60.56/~jnz1568/getInfo.php?workbook=18_15.xlsx&amp;sheet=U0&amp;row=3303&amp;col=7&amp;number=0.341&amp;sourceID=14","0.341")</f>
        <v>0.341</v>
      </c>
    </row>
    <row r="3304" spans="1:7">
      <c r="A3304" s="3">
        <v>18</v>
      </c>
      <c r="B3304" s="3">
        <v>15</v>
      </c>
      <c r="C3304" s="3">
        <v>17</v>
      </c>
      <c r="D3304" s="3">
        <v>27</v>
      </c>
      <c r="E3304" s="3">
        <v>1</v>
      </c>
      <c r="F3304" s="4" t="str">
        <f>HYPERLINK("http://141.218.60.56/~jnz1568/getInfo.php?workbook=18_15.xlsx&amp;sheet=U0&amp;row=3304&amp;col=6&amp;number=3&amp;sourceID=14","3")</f>
        <v>3</v>
      </c>
      <c r="G3304" s="4" t="str">
        <f>HYPERLINK("http://141.218.60.56/~jnz1568/getInfo.php?workbook=18_15.xlsx&amp;sheet=U0&amp;row=3304&amp;col=7&amp;number=0.867&amp;sourceID=14","0.867")</f>
        <v>0.867</v>
      </c>
    </row>
    <row r="3305" spans="1:7">
      <c r="A3305" s="3"/>
      <c r="B3305" s="3"/>
      <c r="C3305" s="3"/>
      <c r="D3305" s="3"/>
      <c r="E3305" s="3">
        <v>2</v>
      </c>
      <c r="F3305" s="4" t="str">
        <f>HYPERLINK("http://141.218.60.56/~jnz1568/getInfo.php?workbook=18_15.xlsx&amp;sheet=U0&amp;row=3305&amp;col=6&amp;number=3.1&amp;sourceID=14","3.1")</f>
        <v>3.1</v>
      </c>
      <c r="G3305" s="4" t="str">
        <f>HYPERLINK("http://141.218.60.56/~jnz1568/getInfo.php?workbook=18_15.xlsx&amp;sheet=U0&amp;row=3305&amp;col=7&amp;number=0.863&amp;sourceID=14","0.863")</f>
        <v>0.863</v>
      </c>
    </row>
    <row r="3306" spans="1:7">
      <c r="A3306" s="3"/>
      <c r="B3306" s="3"/>
      <c r="C3306" s="3"/>
      <c r="D3306" s="3"/>
      <c r="E3306" s="3">
        <v>3</v>
      </c>
      <c r="F3306" s="4" t="str">
        <f>HYPERLINK("http://141.218.60.56/~jnz1568/getInfo.php?workbook=18_15.xlsx&amp;sheet=U0&amp;row=3306&amp;col=6&amp;number=3.2&amp;sourceID=14","3.2")</f>
        <v>3.2</v>
      </c>
      <c r="G3306" s="4" t="str">
        <f>HYPERLINK("http://141.218.60.56/~jnz1568/getInfo.php?workbook=18_15.xlsx&amp;sheet=U0&amp;row=3306&amp;col=7&amp;number=0.859&amp;sourceID=14","0.859")</f>
        <v>0.859</v>
      </c>
    </row>
    <row r="3307" spans="1:7">
      <c r="A3307" s="3"/>
      <c r="B3307" s="3"/>
      <c r="C3307" s="3"/>
      <c r="D3307" s="3"/>
      <c r="E3307" s="3">
        <v>4</v>
      </c>
      <c r="F3307" s="4" t="str">
        <f>HYPERLINK("http://141.218.60.56/~jnz1568/getInfo.php?workbook=18_15.xlsx&amp;sheet=U0&amp;row=3307&amp;col=6&amp;number=3.3&amp;sourceID=14","3.3")</f>
        <v>3.3</v>
      </c>
      <c r="G3307" s="4" t="str">
        <f>HYPERLINK("http://141.218.60.56/~jnz1568/getInfo.php?workbook=18_15.xlsx&amp;sheet=U0&amp;row=3307&amp;col=7&amp;number=0.854&amp;sourceID=14","0.854")</f>
        <v>0.854</v>
      </c>
    </row>
    <row r="3308" spans="1:7">
      <c r="A3308" s="3"/>
      <c r="B3308" s="3"/>
      <c r="C3308" s="3"/>
      <c r="D3308" s="3"/>
      <c r="E3308" s="3">
        <v>5</v>
      </c>
      <c r="F3308" s="4" t="str">
        <f>HYPERLINK("http://141.218.60.56/~jnz1568/getInfo.php?workbook=18_15.xlsx&amp;sheet=U0&amp;row=3308&amp;col=6&amp;number=3.4&amp;sourceID=14","3.4")</f>
        <v>3.4</v>
      </c>
      <c r="G3308" s="4" t="str">
        <f>HYPERLINK("http://141.218.60.56/~jnz1568/getInfo.php?workbook=18_15.xlsx&amp;sheet=U0&amp;row=3308&amp;col=7&amp;number=0.848&amp;sourceID=14","0.848")</f>
        <v>0.848</v>
      </c>
    </row>
    <row r="3309" spans="1:7">
      <c r="A3309" s="3"/>
      <c r="B3309" s="3"/>
      <c r="C3309" s="3"/>
      <c r="D3309" s="3"/>
      <c r="E3309" s="3">
        <v>6</v>
      </c>
      <c r="F3309" s="4" t="str">
        <f>HYPERLINK("http://141.218.60.56/~jnz1568/getInfo.php?workbook=18_15.xlsx&amp;sheet=U0&amp;row=3309&amp;col=6&amp;number=3.5&amp;sourceID=14","3.5")</f>
        <v>3.5</v>
      </c>
      <c r="G3309" s="4" t="str">
        <f>HYPERLINK("http://141.218.60.56/~jnz1568/getInfo.php?workbook=18_15.xlsx&amp;sheet=U0&amp;row=3309&amp;col=7&amp;number=0.841&amp;sourceID=14","0.841")</f>
        <v>0.841</v>
      </c>
    </row>
    <row r="3310" spans="1:7">
      <c r="A3310" s="3"/>
      <c r="B3310" s="3"/>
      <c r="C3310" s="3"/>
      <c r="D3310" s="3"/>
      <c r="E3310" s="3">
        <v>7</v>
      </c>
      <c r="F3310" s="4" t="str">
        <f>HYPERLINK("http://141.218.60.56/~jnz1568/getInfo.php?workbook=18_15.xlsx&amp;sheet=U0&amp;row=3310&amp;col=6&amp;number=3.6&amp;sourceID=14","3.6")</f>
        <v>3.6</v>
      </c>
      <c r="G3310" s="4" t="str">
        <f>HYPERLINK("http://141.218.60.56/~jnz1568/getInfo.php?workbook=18_15.xlsx&amp;sheet=U0&amp;row=3310&amp;col=7&amp;number=0.831&amp;sourceID=14","0.831")</f>
        <v>0.831</v>
      </c>
    </row>
    <row r="3311" spans="1:7">
      <c r="A3311" s="3"/>
      <c r="B3311" s="3"/>
      <c r="C3311" s="3"/>
      <c r="D3311" s="3"/>
      <c r="E3311" s="3">
        <v>8</v>
      </c>
      <c r="F3311" s="4" t="str">
        <f>HYPERLINK("http://141.218.60.56/~jnz1568/getInfo.php?workbook=18_15.xlsx&amp;sheet=U0&amp;row=3311&amp;col=6&amp;number=3.7&amp;sourceID=14","3.7")</f>
        <v>3.7</v>
      </c>
      <c r="G3311" s="4" t="str">
        <f>HYPERLINK("http://141.218.60.56/~jnz1568/getInfo.php?workbook=18_15.xlsx&amp;sheet=U0&amp;row=3311&amp;col=7&amp;number=0.821&amp;sourceID=14","0.821")</f>
        <v>0.821</v>
      </c>
    </row>
    <row r="3312" spans="1:7">
      <c r="A3312" s="3"/>
      <c r="B3312" s="3"/>
      <c r="C3312" s="3"/>
      <c r="D3312" s="3"/>
      <c r="E3312" s="3">
        <v>9</v>
      </c>
      <c r="F3312" s="4" t="str">
        <f>HYPERLINK("http://141.218.60.56/~jnz1568/getInfo.php?workbook=18_15.xlsx&amp;sheet=U0&amp;row=3312&amp;col=6&amp;number=3.8&amp;sourceID=14","3.8")</f>
        <v>3.8</v>
      </c>
      <c r="G3312" s="4" t="str">
        <f>HYPERLINK("http://141.218.60.56/~jnz1568/getInfo.php?workbook=18_15.xlsx&amp;sheet=U0&amp;row=3312&amp;col=7&amp;number=0.809&amp;sourceID=14","0.809")</f>
        <v>0.809</v>
      </c>
    </row>
    <row r="3313" spans="1:7">
      <c r="A3313" s="3"/>
      <c r="B3313" s="3"/>
      <c r="C3313" s="3"/>
      <c r="D3313" s="3"/>
      <c r="E3313" s="3">
        <v>10</v>
      </c>
      <c r="F3313" s="4" t="str">
        <f>HYPERLINK("http://141.218.60.56/~jnz1568/getInfo.php?workbook=18_15.xlsx&amp;sheet=U0&amp;row=3313&amp;col=6&amp;number=3.9&amp;sourceID=14","3.9")</f>
        <v>3.9</v>
      </c>
      <c r="G3313" s="4" t="str">
        <f>HYPERLINK("http://141.218.60.56/~jnz1568/getInfo.php?workbook=18_15.xlsx&amp;sheet=U0&amp;row=3313&amp;col=7&amp;number=0.796&amp;sourceID=14","0.796")</f>
        <v>0.796</v>
      </c>
    </row>
    <row r="3314" spans="1:7">
      <c r="A3314" s="3"/>
      <c r="B3314" s="3"/>
      <c r="C3314" s="3"/>
      <c r="D3314" s="3"/>
      <c r="E3314" s="3">
        <v>11</v>
      </c>
      <c r="F3314" s="4" t="str">
        <f>HYPERLINK("http://141.218.60.56/~jnz1568/getInfo.php?workbook=18_15.xlsx&amp;sheet=U0&amp;row=3314&amp;col=6&amp;number=4&amp;sourceID=14","4")</f>
        <v>4</v>
      </c>
      <c r="G3314" s="4" t="str">
        <f>HYPERLINK("http://141.218.60.56/~jnz1568/getInfo.php?workbook=18_15.xlsx&amp;sheet=U0&amp;row=3314&amp;col=7&amp;number=0.783&amp;sourceID=14","0.783")</f>
        <v>0.783</v>
      </c>
    </row>
    <row r="3315" spans="1:7">
      <c r="A3315" s="3"/>
      <c r="B3315" s="3"/>
      <c r="C3315" s="3"/>
      <c r="D3315" s="3"/>
      <c r="E3315" s="3">
        <v>12</v>
      </c>
      <c r="F3315" s="4" t="str">
        <f>HYPERLINK("http://141.218.60.56/~jnz1568/getInfo.php?workbook=18_15.xlsx&amp;sheet=U0&amp;row=3315&amp;col=6&amp;number=4.1&amp;sourceID=14","4.1")</f>
        <v>4.1</v>
      </c>
      <c r="G3315" s="4" t="str">
        <f>HYPERLINK("http://141.218.60.56/~jnz1568/getInfo.php?workbook=18_15.xlsx&amp;sheet=U0&amp;row=3315&amp;col=7&amp;number=0.773&amp;sourceID=14","0.773")</f>
        <v>0.773</v>
      </c>
    </row>
    <row r="3316" spans="1:7">
      <c r="A3316" s="3"/>
      <c r="B3316" s="3"/>
      <c r="C3316" s="3"/>
      <c r="D3316" s="3"/>
      <c r="E3316" s="3">
        <v>13</v>
      </c>
      <c r="F3316" s="4" t="str">
        <f>HYPERLINK("http://141.218.60.56/~jnz1568/getInfo.php?workbook=18_15.xlsx&amp;sheet=U0&amp;row=3316&amp;col=6&amp;number=4.2&amp;sourceID=14","4.2")</f>
        <v>4.2</v>
      </c>
      <c r="G3316" s="4" t="str">
        <f>HYPERLINK("http://141.218.60.56/~jnz1568/getInfo.php?workbook=18_15.xlsx&amp;sheet=U0&amp;row=3316&amp;col=7&amp;number=0.768&amp;sourceID=14","0.768")</f>
        <v>0.768</v>
      </c>
    </row>
    <row r="3317" spans="1:7">
      <c r="A3317" s="3"/>
      <c r="B3317" s="3"/>
      <c r="C3317" s="3"/>
      <c r="D3317" s="3"/>
      <c r="E3317" s="3">
        <v>14</v>
      </c>
      <c r="F3317" s="4" t="str">
        <f>HYPERLINK("http://141.218.60.56/~jnz1568/getInfo.php?workbook=18_15.xlsx&amp;sheet=U0&amp;row=3317&amp;col=6&amp;number=4.3&amp;sourceID=14","4.3")</f>
        <v>4.3</v>
      </c>
      <c r="G3317" s="4" t="str">
        <f>HYPERLINK("http://141.218.60.56/~jnz1568/getInfo.php?workbook=18_15.xlsx&amp;sheet=U0&amp;row=3317&amp;col=7&amp;number=0.765&amp;sourceID=14","0.765")</f>
        <v>0.765</v>
      </c>
    </row>
    <row r="3318" spans="1:7">
      <c r="A3318" s="3"/>
      <c r="B3318" s="3"/>
      <c r="C3318" s="3"/>
      <c r="D3318" s="3"/>
      <c r="E3318" s="3">
        <v>15</v>
      </c>
      <c r="F3318" s="4" t="str">
        <f>HYPERLINK("http://141.218.60.56/~jnz1568/getInfo.php?workbook=18_15.xlsx&amp;sheet=U0&amp;row=3318&amp;col=6&amp;number=4.4&amp;sourceID=14","4.4")</f>
        <v>4.4</v>
      </c>
      <c r="G3318" s="4" t="str">
        <f>HYPERLINK("http://141.218.60.56/~jnz1568/getInfo.php?workbook=18_15.xlsx&amp;sheet=U0&amp;row=3318&amp;col=7&amp;number=0.759&amp;sourceID=14","0.759")</f>
        <v>0.759</v>
      </c>
    </row>
    <row r="3319" spans="1:7">
      <c r="A3319" s="3"/>
      <c r="B3319" s="3"/>
      <c r="C3319" s="3"/>
      <c r="D3319" s="3"/>
      <c r="E3319" s="3">
        <v>16</v>
      </c>
      <c r="F3319" s="4" t="str">
        <f>HYPERLINK("http://141.218.60.56/~jnz1568/getInfo.php?workbook=18_15.xlsx&amp;sheet=U0&amp;row=3319&amp;col=6&amp;number=4.5&amp;sourceID=14","4.5")</f>
        <v>4.5</v>
      </c>
      <c r="G3319" s="4" t="str">
        <f>HYPERLINK("http://141.218.60.56/~jnz1568/getInfo.php?workbook=18_15.xlsx&amp;sheet=U0&amp;row=3319&amp;col=7&amp;number=0.741&amp;sourceID=14","0.741")</f>
        <v>0.741</v>
      </c>
    </row>
    <row r="3320" spans="1:7">
      <c r="A3320" s="3"/>
      <c r="B3320" s="3"/>
      <c r="C3320" s="3"/>
      <c r="D3320" s="3"/>
      <c r="E3320" s="3">
        <v>17</v>
      </c>
      <c r="F3320" s="4" t="str">
        <f>HYPERLINK("http://141.218.60.56/~jnz1568/getInfo.php?workbook=18_15.xlsx&amp;sheet=U0&amp;row=3320&amp;col=6&amp;number=4.6&amp;sourceID=14","4.6")</f>
        <v>4.6</v>
      </c>
      <c r="G3320" s="4" t="str">
        <f>HYPERLINK("http://141.218.60.56/~jnz1568/getInfo.php?workbook=18_15.xlsx&amp;sheet=U0&amp;row=3320&amp;col=7&amp;number=0.713&amp;sourceID=14","0.713")</f>
        <v>0.713</v>
      </c>
    </row>
    <row r="3321" spans="1:7">
      <c r="A3321" s="3"/>
      <c r="B3321" s="3"/>
      <c r="C3321" s="3"/>
      <c r="D3321" s="3"/>
      <c r="E3321" s="3">
        <v>18</v>
      </c>
      <c r="F3321" s="4" t="str">
        <f>HYPERLINK("http://141.218.60.56/~jnz1568/getInfo.php?workbook=18_15.xlsx&amp;sheet=U0&amp;row=3321&amp;col=6&amp;number=4.7&amp;sourceID=14","4.7")</f>
        <v>4.7</v>
      </c>
      <c r="G3321" s="4" t="str">
        <f>HYPERLINK("http://141.218.60.56/~jnz1568/getInfo.php?workbook=18_15.xlsx&amp;sheet=U0&amp;row=3321&amp;col=7&amp;number=0.688&amp;sourceID=14","0.688")</f>
        <v>0.688</v>
      </c>
    </row>
    <row r="3322" spans="1:7">
      <c r="A3322" s="3"/>
      <c r="B3322" s="3"/>
      <c r="C3322" s="3"/>
      <c r="D3322" s="3"/>
      <c r="E3322" s="3">
        <v>19</v>
      </c>
      <c r="F3322" s="4" t="str">
        <f>HYPERLINK("http://141.218.60.56/~jnz1568/getInfo.php?workbook=18_15.xlsx&amp;sheet=U0&amp;row=3322&amp;col=6&amp;number=4.8&amp;sourceID=14","4.8")</f>
        <v>4.8</v>
      </c>
      <c r="G3322" s="4" t="str">
        <f>HYPERLINK("http://141.218.60.56/~jnz1568/getInfo.php?workbook=18_15.xlsx&amp;sheet=U0&amp;row=3322&amp;col=7&amp;number=0.674&amp;sourceID=14","0.674")</f>
        <v>0.674</v>
      </c>
    </row>
    <row r="3323" spans="1:7">
      <c r="A3323" s="3"/>
      <c r="B3323" s="3"/>
      <c r="C3323" s="3"/>
      <c r="D3323" s="3"/>
      <c r="E3323" s="3">
        <v>20</v>
      </c>
      <c r="F3323" s="4" t="str">
        <f>HYPERLINK("http://141.218.60.56/~jnz1568/getInfo.php?workbook=18_15.xlsx&amp;sheet=U0&amp;row=3323&amp;col=6&amp;number=4.9&amp;sourceID=14","4.9")</f>
        <v>4.9</v>
      </c>
      <c r="G3323" s="4" t="str">
        <f>HYPERLINK("http://141.218.60.56/~jnz1568/getInfo.php?workbook=18_15.xlsx&amp;sheet=U0&amp;row=3323&amp;col=7&amp;number=0.663&amp;sourceID=14","0.663")</f>
        <v>0.663</v>
      </c>
    </row>
    <row r="3324" spans="1:7">
      <c r="A3324" s="3">
        <v>18</v>
      </c>
      <c r="B3324" s="3">
        <v>15</v>
      </c>
      <c r="C3324" s="3">
        <v>17</v>
      </c>
      <c r="D3324" s="3">
        <v>28</v>
      </c>
      <c r="E3324" s="3">
        <v>1</v>
      </c>
      <c r="F3324" s="4" t="str">
        <f>HYPERLINK("http://141.218.60.56/~jnz1568/getInfo.php?workbook=18_15.xlsx&amp;sheet=U0&amp;row=3324&amp;col=6&amp;number=3&amp;sourceID=14","3")</f>
        <v>3</v>
      </c>
      <c r="G3324" s="4" t="str">
        <f>HYPERLINK("http://141.218.60.56/~jnz1568/getInfo.php?workbook=18_15.xlsx&amp;sheet=U0&amp;row=3324&amp;col=7&amp;number=1.57&amp;sourceID=14","1.57")</f>
        <v>1.57</v>
      </c>
    </row>
    <row r="3325" spans="1:7">
      <c r="A3325" s="3"/>
      <c r="B3325" s="3"/>
      <c r="C3325" s="3"/>
      <c r="D3325" s="3"/>
      <c r="E3325" s="3">
        <v>2</v>
      </c>
      <c r="F3325" s="4" t="str">
        <f>HYPERLINK("http://141.218.60.56/~jnz1568/getInfo.php?workbook=18_15.xlsx&amp;sheet=U0&amp;row=3325&amp;col=6&amp;number=3.1&amp;sourceID=14","3.1")</f>
        <v>3.1</v>
      </c>
      <c r="G3325" s="4" t="str">
        <f>HYPERLINK("http://141.218.60.56/~jnz1568/getInfo.php?workbook=18_15.xlsx&amp;sheet=U0&amp;row=3325&amp;col=7&amp;number=1.57&amp;sourceID=14","1.57")</f>
        <v>1.57</v>
      </c>
    </row>
    <row r="3326" spans="1:7">
      <c r="A3326" s="3"/>
      <c r="B3326" s="3"/>
      <c r="C3326" s="3"/>
      <c r="D3326" s="3"/>
      <c r="E3326" s="3">
        <v>3</v>
      </c>
      <c r="F3326" s="4" t="str">
        <f>HYPERLINK("http://141.218.60.56/~jnz1568/getInfo.php?workbook=18_15.xlsx&amp;sheet=U0&amp;row=3326&amp;col=6&amp;number=3.2&amp;sourceID=14","3.2")</f>
        <v>3.2</v>
      </c>
      <c r="G3326" s="4" t="str">
        <f>HYPERLINK("http://141.218.60.56/~jnz1568/getInfo.php?workbook=18_15.xlsx&amp;sheet=U0&amp;row=3326&amp;col=7&amp;number=1.57&amp;sourceID=14","1.57")</f>
        <v>1.57</v>
      </c>
    </row>
    <row r="3327" spans="1:7">
      <c r="A3327" s="3"/>
      <c r="B3327" s="3"/>
      <c r="C3327" s="3"/>
      <c r="D3327" s="3"/>
      <c r="E3327" s="3">
        <v>4</v>
      </c>
      <c r="F3327" s="4" t="str">
        <f>HYPERLINK("http://141.218.60.56/~jnz1568/getInfo.php?workbook=18_15.xlsx&amp;sheet=U0&amp;row=3327&amp;col=6&amp;number=3.3&amp;sourceID=14","3.3")</f>
        <v>3.3</v>
      </c>
      <c r="G3327" s="4" t="str">
        <f>HYPERLINK("http://141.218.60.56/~jnz1568/getInfo.php?workbook=18_15.xlsx&amp;sheet=U0&amp;row=3327&amp;col=7&amp;number=1.57&amp;sourceID=14","1.57")</f>
        <v>1.57</v>
      </c>
    </row>
    <row r="3328" spans="1:7">
      <c r="A3328" s="3"/>
      <c r="B3328" s="3"/>
      <c r="C3328" s="3"/>
      <c r="D3328" s="3"/>
      <c r="E3328" s="3">
        <v>5</v>
      </c>
      <c r="F3328" s="4" t="str">
        <f>HYPERLINK("http://141.218.60.56/~jnz1568/getInfo.php?workbook=18_15.xlsx&amp;sheet=U0&amp;row=3328&amp;col=6&amp;number=3.4&amp;sourceID=14","3.4")</f>
        <v>3.4</v>
      </c>
      <c r="G3328" s="4" t="str">
        <f>HYPERLINK("http://141.218.60.56/~jnz1568/getInfo.php?workbook=18_15.xlsx&amp;sheet=U0&amp;row=3328&amp;col=7&amp;number=1.57&amp;sourceID=14","1.57")</f>
        <v>1.57</v>
      </c>
    </row>
    <row r="3329" spans="1:7">
      <c r="A3329" s="3"/>
      <c r="B3329" s="3"/>
      <c r="C3329" s="3"/>
      <c r="D3329" s="3"/>
      <c r="E3329" s="3">
        <v>6</v>
      </c>
      <c r="F3329" s="4" t="str">
        <f>HYPERLINK("http://141.218.60.56/~jnz1568/getInfo.php?workbook=18_15.xlsx&amp;sheet=U0&amp;row=3329&amp;col=6&amp;number=3.5&amp;sourceID=14","3.5")</f>
        <v>3.5</v>
      </c>
      <c r="G3329" s="4" t="str">
        <f>HYPERLINK("http://141.218.60.56/~jnz1568/getInfo.php?workbook=18_15.xlsx&amp;sheet=U0&amp;row=3329&amp;col=7&amp;number=1.57&amp;sourceID=14","1.57")</f>
        <v>1.57</v>
      </c>
    </row>
    <row r="3330" spans="1:7">
      <c r="A3330" s="3"/>
      <c r="B3330" s="3"/>
      <c r="C3330" s="3"/>
      <c r="D3330" s="3"/>
      <c r="E3330" s="3">
        <v>7</v>
      </c>
      <c r="F3330" s="4" t="str">
        <f>HYPERLINK("http://141.218.60.56/~jnz1568/getInfo.php?workbook=18_15.xlsx&amp;sheet=U0&amp;row=3330&amp;col=6&amp;number=3.6&amp;sourceID=14","3.6")</f>
        <v>3.6</v>
      </c>
      <c r="G3330" s="4" t="str">
        <f>HYPERLINK("http://141.218.60.56/~jnz1568/getInfo.php?workbook=18_15.xlsx&amp;sheet=U0&amp;row=3330&amp;col=7&amp;number=1.57&amp;sourceID=14","1.57")</f>
        <v>1.57</v>
      </c>
    </row>
    <row r="3331" spans="1:7">
      <c r="A3331" s="3"/>
      <c r="B3331" s="3"/>
      <c r="C3331" s="3"/>
      <c r="D3331" s="3"/>
      <c r="E3331" s="3">
        <v>8</v>
      </c>
      <c r="F3331" s="4" t="str">
        <f>HYPERLINK("http://141.218.60.56/~jnz1568/getInfo.php?workbook=18_15.xlsx&amp;sheet=U0&amp;row=3331&amp;col=6&amp;number=3.7&amp;sourceID=14","3.7")</f>
        <v>3.7</v>
      </c>
      <c r="G3331" s="4" t="str">
        <f>HYPERLINK("http://141.218.60.56/~jnz1568/getInfo.php?workbook=18_15.xlsx&amp;sheet=U0&amp;row=3331&amp;col=7&amp;number=1.57&amp;sourceID=14","1.57")</f>
        <v>1.57</v>
      </c>
    </row>
    <row r="3332" spans="1:7">
      <c r="A3332" s="3"/>
      <c r="B3332" s="3"/>
      <c r="C3332" s="3"/>
      <c r="D3332" s="3"/>
      <c r="E3332" s="3">
        <v>9</v>
      </c>
      <c r="F3332" s="4" t="str">
        <f>HYPERLINK("http://141.218.60.56/~jnz1568/getInfo.php?workbook=18_15.xlsx&amp;sheet=U0&amp;row=3332&amp;col=6&amp;number=3.8&amp;sourceID=14","3.8")</f>
        <v>3.8</v>
      </c>
      <c r="G3332" s="4" t="str">
        <f>HYPERLINK("http://141.218.60.56/~jnz1568/getInfo.php?workbook=18_15.xlsx&amp;sheet=U0&amp;row=3332&amp;col=7&amp;number=1.57&amp;sourceID=14","1.57")</f>
        <v>1.57</v>
      </c>
    </row>
    <row r="3333" spans="1:7">
      <c r="A3333" s="3"/>
      <c r="B3333" s="3"/>
      <c r="C3333" s="3"/>
      <c r="D3333" s="3"/>
      <c r="E3333" s="3">
        <v>10</v>
      </c>
      <c r="F3333" s="4" t="str">
        <f>HYPERLINK("http://141.218.60.56/~jnz1568/getInfo.php?workbook=18_15.xlsx&amp;sheet=U0&amp;row=3333&amp;col=6&amp;number=3.9&amp;sourceID=14","3.9")</f>
        <v>3.9</v>
      </c>
      <c r="G3333" s="4" t="str">
        <f>HYPERLINK("http://141.218.60.56/~jnz1568/getInfo.php?workbook=18_15.xlsx&amp;sheet=U0&amp;row=3333&amp;col=7&amp;number=1.56&amp;sourceID=14","1.56")</f>
        <v>1.56</v>
      </c>
    </row>
    <row r="3334" spans="1:7">
      <c r="A3334" s="3"/>
      <c r="B3334" s="3"/>
      <c r="C3334" s="3"/>
      <c r="D3334" s="3"/>
      <c r="E3334" s="3">
        <v>11</v>
      </c>
      <c r="F3334" s="4" t="str">
        <f>HYPERLINK("http://141.218.60.56/~jnz1568/getInfo.php?workbook=18_15.xlsx&amp;sheet=U0&amp;row=3334&amp;col=6&amp;number=4&amp;sourceID=14","4")</f>
        <v>4</v>
      </c>
      <c r="G3334" s="4" t="str">
        <f>HYPERLINK("http://141.218.60.56/~jnz1568/getInfo.php?workbook=18_15.xlsx&amp;sheet=U0&amp;row=3334&amp;col=7&amp;number=1.55&amp;sourceID=14","1.55")</f>
        <v>1.55</v>
      </c>
    </row>
    <row r="3335" spans="1:7">
      <c r="A3335" s="3"/>
      <c r="B3335" s="3"/>
      <c r="C3335" s="3"/>
      <c r="D3335" s="3"/>
      <c r="E3335" s="3">
        <v>12</v>
      </c>
      <c r="F3335" s="4" t="str">
        <f>HYPERLINK("http://141.218.60.56/~jnz1568/getInfo.php?workbook=18_15.xlsx&amp;sheet=U0&amp;row=3335&amp;col=6&amp;number=4.1&amp;sourceID=14","4.1")</f>
        <v>4.1</v>
      </c>
      <c r="G3335" s="4" t="str">
        <f>HYPERLINK("http://141.218.60.56/~jnz1568/getInfo.php?workbook=18_15.xlsx&amp;sheet=U0&amp;row=3335&amp;col=7&amp;number=1.54&amp;sourceID=14","1.54")</f>
        <v>1.54</v>
      </c>
    </row>
    <row r="3336" spans="1:7">
      <c r="A3336" s="3"/>
      <c r="B3336" s="3"/>
      <c r="C3336" s="3"/>
      <c r="D3336" s="3"/>
      <c r="E3336" s="3">
        <v>13</v>
      </c>
      <c r="F3336" s="4" t="str">
        <f>HYPERLINK("http://141.218.60.56/~jnz1568/getInfo.php?workbook=18_15.xlsx&amp;sheet=U0&amp;row=3336&amp;col=6&amp;number=4.2&amp;sourceID=14","4.2")</f>
        <v>4.2</v>
      </c>
      <c r="G3336" s="4" t="str">
        <f>HYPERLINK("http://141.218.60.56/~jnz1568/getInfo.php?workbook=18_15.xlsx&amp;sheet=U0&amp;row=3336&amp;col=7&amp;number=1.52&amp;sourceID=14","1.52")</f>
        <v>1.52</v>
      </c>
    </row>
    <row r="3337" spans="1:7">
      <c r="A3337" s="3"/>
      <c r="B3337" s="3"/>
      <c r="C3337" s="3"/>
      <c r="D3337" s="3"/>
      <c r="E3337" s="3">
        <v>14</v>
      </c>
      <c r="F3337" s="4" t="str">
        <f>HYPERLINK("http://141.218.60.56/~jnz1568/getInfo.php?workbook=18_15.xlsx&amp;sheet=U0&amp;row=3337&amp;col=6&amp;number=4.3&amp;sourceID=14","4.3")</f>
        <v>4.3</v>
      </c>
      <c r="G3337" s="4" t="str">
        <f>HYPERLINK("http://141.218.60.56/~jnz1568/getInfo.php?workbook=18_15.xlsx&amp;sheet=U0&amp;row=3337&amp;col=7&amp;number=1.5&amp;sourceID=14","1.5")</f>
        <v>1.5</v>
      </c>
    </row>
    <row r="3338" spans="1:7">
      <c r="A3338" s="3"/>
      <c r="B3338" s="3"/>
      <c r="C3338" s="3"/>
      <c r="D3338" s="3"/>
      <c r="E3338" s="3">
        <v>15</v>
      </c>
      <c r="F3338" s="4" t="str">
        <f>HYPERLINK("http://141.218.60.56/~jnz1568/getInfo.php?workbook=18_15.xlsx&amp;sheet=U0&amp;row=3338&amp;col=6&amp;number=4.4&amp;sourceID=14","4.4")</f>
        <v>4.4</v>
      </c>
      <c r="G3338" s="4" t="str">
        <f>HYPERLINK("http://141.218.60.56/~jnz1568/getInfo.php?workbook=18_15.xlsx&amp;sheet=U0&amp;row=3338&amp;col=7&amp;number=1.47&amp;sourceID=14","1.47")</f>
        <v>1.47</v>
      </c>
    </row>
    <row r="3339" spans="1:7">
      <c r="A3339" s="3"/>
      <c r="B3339" s="3"/>
      <c r="C3339" s="3"/>
      <c r="D3339" s="3"/>
      <c r="E3339" s="3">
        <v>16</v>
      </c>
      <c r="F3339" s="4" t="str">
        <f>HYPERLINK("http://141.218.60.56/~jnz1568/getInfo.php?workbook=18_15.xlsx&amp;sheet=U0&amp;row=3339&amp;col=6&amp;number=4.5&amp;sourceID=14","4.5")</f>
        <v>4.5</v>
      </c>
      <c r="G3339" s="4" t="str">
        <f>HYPERLINK("http://141.218.60.56/~jnz1568/getInfo.php?workbook=18_15.xlsx&amp;sheet=U0&amp;row=3339&amp;col=7&amp;number=1.46&amp;sourceID=14","1.46")</f>
        <v>1.46</v>
      </c>
    </row>
    <row r="3340" spans="1:7">
      <c r="A3340" s="3"/>
      <c r="B3340" s="3"/>
      <c r="C3340" s="3"/>
      <c r="D3340" s="3"/>
      <c r="E3340" s="3">
        <v>17</v>
      </c>
      <c r="F3340" s="4" t="str">
        <f>HYPERLINK("http://141.218.60.56/~jnz1568/getInfo.php?workbook=18_15.xlsx&amp;sheet=U0&amp;row=3340&amp;col=6&amp;number=4.6&amp;sourceID=14","4.6")</f>
        <v>4.6</v>
      </c>
      <c r="G3340" s="4" t="str">
        <f>HYPERLINK("http://141.218.60.56/~jnz1568/getInfo.php?workbook=18_15.xlsx&amp;sheet=U0&amp;row=3340&amp;col=7&amp;number=1.46&amp;sourceID=14","1.46")</f>
        <v>1.46</v>
      </c>
    </row>
    <row r="3341" spans="1:7">
      <c r="A3341" s="3"/>
      <c r="B3341" s="3"/>
      <c r="C3341" s="3"/>
      <c r="D3341" s="3"/>
      <c r="E3341" s="3">
        <v>18</v>
      </c>
      <c r="F3341" s="4" t="str">
        <f>HYPERLINK("http://141.218.60.56/~jnz1568/getInfo.php?workbook=18_15.xlsx&amp;sheet=U0&amp;row=3341&amp;col=6&amp;number=4.7&amp;sourceID=14","4.7")</f>
        <v>4.7</v>
      </c>
      <c r="G3341" s="4" t="str">
        <f>HYPERLINK("http://141.218.60.56/~jnz1568/getInfo.php?workbook=18_15.xlsx&amp;sheet=U0&amp;row=3341&amp;col=7&amp;number=1.45&amp;sourceID=14","1.45")</f>
        <v>1.45</v>
      </c>
    </row>
    <row r="3342" spans="1:7">
      <c r="A3342" s="3"/>
      <c r="B3342" s="3"/>
      <c r="C3342" s="3"/>
      <c r="D3342" s="3"/>
      <c r="E3342" s="3">
        <v>19</v>
      </c>
      <c r="F3342" s="4" t="str">
        <f>HYPERLINK("http://141.218.60.56/~jnz1568/getInfo.php?workbook=18_15.xlsx&amp;sheet=U0&amp;row=3342&amp;col=6&amp;number=4.8&amp;sourceID=14","4.8")</f>
        <v>4.8</v>
      </c>
      <c r="G3342" s="4" t="str">
        <f>HYPERLINK("http://141.218.60.56/~jnz1568/getInfo.php?workbook=18_15.xlsx&amp;sheet=U0&amp;row=3342&amp;col=7&amp;number=1.45&amp;sourceID=14","1.45")</f>
        <v>1.45</v>
      </c>
    </row>
    <row r="3343" spans="1:7">
      <c r="A3343" s="3"/>
      <c r="B3343" s="3"/>
      <c r="C3343" s="3"/>
      <c r="D3343" s="3"/>
      <c r="E3343" s="3">
        <v>20</v>
      </c>
      <c r="F3343" s="4" t="str">
        <f>HYPERLINK("http://141.218.60.56/~jnz1568/getInfo.php?workbook=18_15.xlsx&amp;sheet=U0&amp;row=3343&amp;col=6&amp;number=4.9&amp;sourceID=14","4.9")</f>
        <v>4.9</v>
      </c>
      <c r="G3343" s="4" t="str">
        <f>HYPERLINK("http://141.218.60.56/~jnz1568/getInfo.php?workbook=18_15.xlsx&amp;sheet=U0&amp;row=3343&amp;col=7&amp;number=1.44&amp;sourceID=14","1.44")</f>
        <v>1.44</v>
      </c>
    </row>
    <row r="3344" spans="1:7">
      <c r="A3344" s="3">
        <v>18</v>
      </c>
      <c r="B3344" s="3">
        <v>15</v>
      </c>
      <c r="C3344" s="3">
        <v>17</v>
      </c>
      <c r="D3344" s="3">
        <v>29</v>
      </c>
      <c r="E3344" s="3">
        <v>1</v>
      </c>
      <c r="F3344" s="4" t="str">
        <f>HYPERLINK("http://141.218.60.56/~jnz1568/getInfo.php?workbook=18_15.xlsx&amp;sheet=U0&amp;row=3344&amp;col=6&amp;number=3&amp;sourceID=14","3")</f>
        <v>3</v>
      </c>
      <c r="G3344" s="4" t="str">
        <f>HYPERLINK("http://141.218.60.56/~jnz1568/getInfo.php?workbook=18_15.xlsx&amp;sheet=U0&amp;row=3344&amp;col=7&amp;number=0.407&amp;sourceID=14","0.407")</f>
        <v>0.407</v>
      </c>
    </row>
    <row r="3345" spans="1:7">
      <c r="A3345" s="3"/>
      <c r="B3345" s="3"/>
      <c r="C3345" s="3"/>
      <c r="D3345" s="3"/>
      <c r="E3345" s="3">
        <v>2</v>
      </c>
      <c r="F3345" s="4" t="str">
        <f>HYPERLINK("http://141.218.60.56/~jnz1568/getInfo.php?workbook=18_15.xlsx&amp;sheet=U0&amp;row=3345&amp;col=6&amp;number=3.1&amp;sourceID=14","3.1")</f>
        <v>3.1</v>
      </c>
      <c r="G3345" s="4" t="str">
        <f>HYPERLINK("http://141.218.60.56/~jnz1568/getInfo.php?workbook=18_15.xlsx&amp;sheet=U0&amp;row=3345&amp;col=7&amp;number=0.402&amp;sourceID=14","0.402")</f>
        <v>0.402</v>
      </c>
    </row>
    <row r="3346" spans="1:7">
      <c r="A3346" s="3"/>
      <c r="B3346" s="3"/>
      <c r="C3346" s="3"/>
      <c r="D3346" s="3"/>
      <c r="E3346" s="3">
        <v>3</v>
      </c>
      <c r="F3346" s="4" t="str">
        <f>HYPERLINK("http://141.218.60.56/~jnz1568/getInfo.php?workbook=18_15.xlsx&amp;sheet=U0&amp;row=3346&amp;col=6&amp;number=3.2&amp;sourceID=14","3.2")</f>
        <v>3.2</v>
      </c>
      <c r="G3346" s="4" t="str">
        <f>HYPERLINK("http://141.218.60.56/~jnz1568/getInfo.php?workbook=18_15.xlsx&amp;sheet=U0&amp;row=3346&amp;col=7&amp;number=0.397&amp;sourceID=14","0.397")</f>
        <v>0.397</v>
      </c>
    </row>
    <row r="3347" spans="1:7">
      <c r="A3347" s="3"/>
      <c r="B3347" s="3"/>
      <c r="C3347" s="3"/>
      <c r="D3347" s="3"/>
      <c r="E3347" s="3">
        <v>4</v>
      </c>
      <c r="F3347" s="4" t="str">
        <f>HYPERLINK("http://141.218.60.56/~jnz1568/getInfo.php?workbook=18_15.xlsx&amp;sheet=U0&amp;row=3347&amp;col=6&amp;number=3.3&amp;sourceID=14","3.3")</f>
        <v>3.3</v>
      </c>
      <c r="G3347" s="4" t="str">
        <f>HYPERLINK("http://141.218.60.56/~jnz1568/getInfo.php?workbook=18_15.xlsx&amp;sheet=U0&amp;row=3347&amp;col=7&amp;number=0.39&amp;sourceID=14","0.39")</f>
        <v>0.39</v>
      </c>
    </row>
    <row r="3348" spans="1:7">
      <c r="A3348" s="3"/>
      <c r="B3348" s="3"/>
      <c r="C3348" s="3"/>
      <c r="D3348" s="3"/>
      <c r="E3348" s="3">
        <v>5</v>
      </c>
      <c r="F3348" s="4" t="str">
        <f>HYPERLINK("http://141.218.60.56/~jnz1568/getInfo.php?workbook=18_15.xlsx&amp;sheet=U0&amp;row=3348&amp;col=6&amp;number=3.4&amp;sourceID=14","3.4")</f>
        <v>3.4</v>
      </c>
      <c r="G3348" s="4" t="str">
        <f>HYPERLINK("http://141.218.60.56/~jnz1568/getInfo.php?workbook=18_15.xlsx&amp;sheet=U0&amp;row=3348&amp;col=7&amp;number=0.381&amp;sourceID=14","0.381")</f>
        <v>0.381</v>
      </c>
    </row>
    <row r="3349" spans="1:7">
      <c r="A3349" s="3"/>
      <c r="B3349" s="3"/>
      <c r="C3349" s="3"/>
      <c r="D3349" s="3"/>
      <c r="E3349" s="3">
        <v>6</v>
      </c>
      <c r="F3349" s="4" t="str">
        <f>HYPERLINK("http://141.218.60.56/~jnz1568/getInfo.php?workbook=18_15.xlsx&amp;sheet=U0&amp;row=3349&amp;col=6&amp;number=3.5&amp;sourceID=14","3.5")</f>
        <v>3.5</v>
      </c>
      <c r="G3349" s="4" t="str">
        <f>HYPERLINK("http://141.218.60.56/~jnz1568/getInfo.php?workbook=18_15.xlsx&amp;sheet=U0&amp;row=3349&amp;col=7&amp;number=0.371&amp;sourceID=14","0.371")</f>
        <v>0.371</v>
      </c>
    </row>
    <row r="3350" spans="1:7">
      <c r="A3350" s="3"/>
      <c r="B3350" s="3"/>
      <c r="C3350" s="3"/>
      <c r="D3350" s="3"/>
      <c r="E3350" s="3">
        <v>7</v>
      </c>
      <c r="F3350" s="4" t="str">
        <f>HYPERLINK("http://141.218.60.56/~jnz1568/getInfo.php?workbook=18_15.xlsx&amp;sheet=U0&amp;row=3350&amp;col=6&amp;number=3.6&amp;sourceID=14","3.6")</f>
        <v>3.6</v>
      </c>
      <c r="G3350" s="4" t="str">
        <f>HYPERLINK("http://141.218.60.56/~jnz1568/getInfo.php?workbook=18_15.xlsx&amp;sheet=U0&amp;row=3350&amp;col=7&amp;number=0.358&amp;sourceID=14","0.358")</f>
        <v>0.358</v>
      </c>
    </row>
    <row r="3351" spans="1:7">
      <c r="A3351" s="3"/>
      <c r="B3351" s="3"/>
      <c r="C3351" s="3"/>
      <c r="D3351" s="3"/>
      <c r="E3351" s="3">
        <v>8</v>
      </c>
      <c r="F3351" s="4" t="str">
        <f>HYPERLINK("http://141.218.60.56/~jnz1568/getInfo.php?workbook=18_15.xlsx&amp;sheet=U0&amp;row=3351&amp;col=6&amp;number=3.7&amp;sourceID=14","3.7")</f>
        <v>3.7</v>
      </c>
      <c r="G3351" s="4" t="str">
        <f>HYPERLINK("http://141.218.60.56/~jnz1568/getInfo.php?workbook=18_15.xlsx&amp;sheet=U0&amp;row=3351&amp;col=7&amp;number=0.343&amp;sourceID=14","0.343")</f>
        <v>0.343</v>
      </c>
    </row>
    <row r="3352" spans="1:7">
      <c r="A3352" s="3"/>
      <c r="B3352" s="3"/>
      <c r="C3352" s="3"/>
      <c r="D3352" s="3"/>
      <c r="E3352" s="3">
        <v>9</v>
      </c>
      <c r="F3352" s="4" t="str">
        <f>HYPERLINK("http://141.218.60.56/~jnz1568/getInfo.php?workbook=18_15.xlsx&amp;sheet=U0&amp;row=3352&amp;col=6&amp;number=3.8&amp;sourceID=14","3.8")</f>
        <v>3.8</v>
      </c>
      <c r="G3352" s="4" t="str">
        <f>HYPERLINK("http://141.218.60.56/~jnz1568/getInfo.php?workbook=18_15.xlsx&amp;sheet=U0&amp;row=3352&amp;col=7&amp;number=0.326&amp;sourceID=14","0.326")</f>
        <v>0.326</v>
      </c>
    </row>
    <row r="3353" spans="1:7">
      <c r="A3353" s="3"/>
      <c r="B3353" s="3"/>
      <c r="C3353" s="3"/>
      <c r="D3353" s="3"/>
      <c r="E3353" s="3">
        <v>10</v>
      </c>
      <c r="F3353" s="4" t="str">
        <f>HYPERLINK("http://141.218.60.56/~jnz1568/getInfo.php?workbook=18_15.xlsx&amp;sheet=U0&amp;row=3353&amp;col=6&amp;number=3.9&amp;sourceID=14","3.9")</f>
        <v>3.9</v>
      </c>
      <c r="G3353" s="4" t="str">
        <f>HYPERLINK("http://141.218.60.56/~jnz1568/getInfo.php?workbook=18_15.xlsx&amp;sheet=U0&amp;row=3353&amp;col=7&amp;number=0.306&amp;sourceID=14","0.306")</f>
        <v>0.306</v>
      </c>
    </row>
    <row r="3354" spans="1:7">
      <c r="A3354" s="3"/>
      <c r="B3354" s="3"/>
      <c r="C3354" s="3"/>
      <c r="D3354" s="3"/>
      <c r="E3354" s="3">
        <v>11</v>
      </c>
      <c r="F3354" s="4" t="str">
        <f>HYPERLINK("http://141.218.60.56/~jnz1568/getInfo.php?workbook=18_15.xlsx&amp;sheet=U0&amp;row=3354&amp;col=6&amp;number=4&amp;sourceID=14","4")</f>
        <v>4</v>
      </c>
      <c r="G3354" s="4" t="str">
        <f>HYPERLINK("http://141.218.60.56/~jnz1568/getInfo.php?workbook=18_15.xlsx&amp;sheet=U0&amp;row=3354&amp;col=7&amp;number=0.285&amp;sourceID=14","0.285")</f>
        <v>0.285</v>
      </c>
    </row>
    <row r="3355" spans="1:7">
      <c r="A3355" s="3"/>
      <c r="B3355" s="3"/>
      <c r="C3355" s="3"/>
      <c r="D3355" s="3"/>
      <c r="E3355" s="3">
        <v>12</v>
      </c>
      <c r="F3355" s="4" t="str">
        <f>HYPERLINK("http://141.218.60.56/~jnz1568/getInfo.php?workbook=18_15.xlsx&amp;sheet=U0&amp;row=3355&amp;col=6&amp;number=4.1&amp;sourceID=14","4.1")</f>
        <v>4.1</v>
      </c>
      <c r="G3355" s="4" t="str">
        <f>HYPERLINK("http://141.218.60.56/~jnz1568/getInfo.php?workbook=18_15.xlsx&amp;sheet=U0&amp;row=3355&amp;col=7&amp;number=0.266&amp;sourceID=14","0.266")</f>
        <v>0.266</v>
      </c>
    </row>
    <row r="3356" spans="1:7">
      <c r="A3356" s="3"/>
      <c r="B3356" s="3"/>
      <c r="C3356" s="3"/>
      <c r="D3356" s="3"/>
      <c r="E3356" s="3">
        <v>13</v>
      </c>
      <c r="F3356" s="4" t="str">
        <f>HYPERLINK("http://141.218.60.56/~jnz1568/getInfo.php?workbook=18_15.xlsx&amp;sheet=U0&amp;row=3356&amp;col=6&amp;number=4.2&amp;sourceID=14","4.2")</f>
        <v>4.2</v>
      </c>
      <c r="G3356" s="4" t="str">
        <f>HYPERLINK("http://141.218.60.56/~jnz1568/getInfo.php?workbook=18_15.xlsx&amp;sheet=U0&amp;row=3356&amp;col=7&amp;number=0.251&amp;sourceID=14","0.251")</f>
        <v>0.251</v>
      </c>
    </row>
    <row r="3357" spans="1:7">
      <c r="A3357" s="3"/>
      <c r="B3357" s="3"/>
      <c r="C3357" s="3"/>
      <c r="D3357" s="3"/>
      <c r="E3357" s="3">
        <v>14</v>
      </c>
      <c r="F3357" s="4" t="str">
        <f>HYPERLINK("http://141.218.60.56/~jnz1568/getInfo.php?workbook=18_15.xlsx&amp;sheet=U0&amp;row=3357&amp;col=6&amp;number=4.3&amp;sourceID=14","4.3")</f>
        <v>4.3</v>
      </c>
      <c r="G3357" s="4" t="str">
        <f>HYPERLINK("http://141.218.60.56/~jnz1568/getInfo.php?workbook=18_15.xlsx&amp;sheet=U0&amp;row=3357&amp;col=7&amp;number=0.241&amp;sourceID=14","0.241")</f>
        <v>0.241</v>
      </c>
    </row>
    <row r="3358" spans="1:7">
      <c r="A3358" s="3"/>
      <c r="B3358" s="3"/>
      <c r="C3358" s="3"/>
      <c r="D3358" s="3"/>
      <c r="E3358" s="3">
        <v>15</v>
      </c>
      <c r="F3358" s="4" t="str">
        <f>HYPERLINK("http://141.218.60.56/~jnz1568/getInfo.php?workbook=18_15.xlsx&amp;sheet=U0&amp;row=3358&amp;col=6&amp;number=4.4&amp;sourceID=14","4.4")</f>
        <v>4.4</v>
      </c>
      <c r="G3358" s="4" t="str">
        <f>HYPERLINK("http://141.218.60.56/~jnz1568/getInfo.php?workbook=18_15.xlsx&amp;sheet=U0&amp;row=3358&amp;col=7&amp;number=0.234&amp;sourceID=14","0.234")</f>
        <v>0.234</v>
      </c>
    </row>
    <row r="3359" spans="1:7">
      <c r="A3359" s="3"/>
      <c r="B3359" s="3"/>
      <c r="C3359" s="3"/>
      <c r="D3359" s="3"/>
      <c r="E3359" s="3">
        <v>16</v>
      </c>
      <c r="F3359" s="4" t="str">
        <f>HYPERLINK("http://141.218.60.56/~jnz1568/getInfo.php?workbook=18_15.xlsx&amp;sheet=U0&amp;row=3359&amp;col=6&amp;number=4.5&amp;sourceID=14","4.5")</f>
        <v>4.5</v>
      </c>
      <c r="G3359" s="4" t="str">
        <f>HYPERLINK("http://141.218.60.56/~jnz1568/getInfo.php?workbook=18_15.xlsx&amp;sheet=U0&amp;row=3359&amp;col=7&amp;number=0.226&amp;sourceID=14","0.226")</f>
        <v>0.226</v>
      </c>
    </row>
    <row r="3360" spans="1:7">
      <c r="A3360" s="3"/>
      <c r="B3360" s="3"/>
      <c r="C3360" s="3"/>
      <c r="D3360" s="3"/>
      <c r="E3360" s="3">
        <v>17</v>
      </c>
      <c r="F3360" s="4" t="str">
        <f>HYPERLINK("http://141.218.60.56/~jnz1568/getInfo.php?workbook=18_15.xlsx&amp;sheet=U0&amp;row=3360&amp;col=6&amp;number=4.6&amp;sourceID=14","4.6")</f>
        <v>4.6</v>
      </c>
      <c r="G3360" s="4" t="str">
        <f>HYPERLINK("http://141.218.60.56/~jnz1568/getInfo.php?workbook=18_15.xlsx&amp;sheet=U0&amp;row=3360&amp;col=7&amp;number=0.214&amp;sourceID=14","0.214")</f>
        <v>0.214</v>
      </c>
    </row>
    <row r="3361" spans="1:7">
      <c r="A3361" s="3"/>
      <c r="B3361" s="3"/>
      <c r="C3361" s="3"/>
      <c r="D3361" s="3"/>
      <c r="E3361" s="3">
        <v>18</v>
      </c>
      <c r="F3361" s="4" t="str">
        <f>HYPERLINK("http://141.218.60.56/~jnz1568/getInfo.php?workbook=18_15.xlsx&amp;sheet=U0&amp;row=3361&amp;col=6&amp;number=4.7&amp;sourceID=14","4.7")</f>
        <v>4.7</v>
      </c>
      <c r="G3361" s="4" t="str">
        <f>HYPERLINK("http://141.218.60.56/~jnz1568/getInfo.php?workbook=18_15.xlsx&amp;sheet=U0&amp;row=3361&amp;col=7&amp;number=0.201&amp;sourceID=14","0.201")</f>
        <v>0.201</v>
      </c>
    </row>
    <row r="3362" spans="1:7">
      <c r="A3362" s="3"/>
      <c r="B3362" s="3"/>
      <c r="C3362" s="3"/>
      <c r="D3362" s="3"/>
      <c r="E3362" s="3">
        <v>19</v>
      </c>
      <c r="F3362" s="4" t="str">
        <f>HYPERLINK("http://141.218.60.56/~jnz1568/getInfo.php?workbook=18_15.xlsx&amp;sheet=U0&amp;row=3362&amp;col=6&amp;number=4.8&amp;sourceID=14","4.8")</f>
        <v>4.8</v>
      </c>
      <c r="G3362" s="4" t="str">
        <f>HYPERLINK("http://141.218.60.56/~jnz1568/getInfo.php?workbook=18_15.xlsx&amp;sheet=U0&amp;row=3362&amp;col=7&amp;number=0.194&amp;sourceID=14","0.194")</f>
        <v>0.194</v>
      </c>
    </row>
    <row r="3363" spans="1:7">
      <c r="A3363" s="3"/>
      <c r="B3363" s="3"/>
      <c r="C3363" s="3"/>
      <c r="D3363" s="3"/>
      <c r="E3363" s="3">
        <v>20</v>
      </c>
      <c r="F3363" s="4" t="str">
        <f>HYPERLINK("http://141.218.60.56/~jnz1568/getInfo.php?workbook=18_15.xlsx&amp;sheet=U0&amp;row=3363&amp;col=6&amp;number=4.9&amp;sourceID=14","4.9")</f>
        <v>4.9</v>
      </c>
      <c r="G3363" s="4" t="str">
        <f>HYPERLINK("http://141.218.60.56/~jnz1568/getInfo.php?workbook=18_15.xlsx&amp;sheet=U0&amp;row=3363&amp;col=7&amp;number=0.189&amp;sourceID=14","0.189")</f>
        <v>0.189</v>
      </c>
    </row>
    <row r="3364" spans="1:7">
      <c r="A3364" s="3">
        <v>18</v>
      </c>
      <c r="B3364" s="3">
        <v>15</v>
      </c>
      <c r="C3364" s="3">
        <v>17</v>
      </c>
      <c r="D3364" s="3">
        <v>30</v>
      </c>
      <c r="E3364" s="3">
        <v>1</v>
      </c>
      <c r="F3364" s="4" t="str">
        <f>HYPERLINK("http://141.218.60.56/~jnz1568/getInfo.php?workbook=18_15.xlsx&amp;sheet=U0&amp;row=3364&amp;col=6&amp;number=3&amp;sourceID=14","3")</f>
        <v>3</v>
      </c>
      <c r="G3364" s="4" t="str">
        <f>HYPERLINK("http://141.218.60.56/~jnz1568/getInfo.php?workbook=18_15.xlsx&amp;sheet=U0&amp;row=3364&amp;col=7&amp;number=1&amp;sourceID=14","1")</f>
        <v>1</v>
      </c>
    </row>
    <row r="3365" spans="1:7">
      <c r="A3365" s="3"/>
      <c r="B3365" s="3"/>
      <c r="C3365" s="3"/>
      <c r="D3365" s="3"/>
      <c r="E3365" s="3">
        <v>2</v>
      </c>
      <c r="F3365" s="4" t="str">
        <f>HYPERLINK("http://141.218.60.56/~jnz1568/getInfo.php?workbook=18_15.xlsx&amp;sheet=U0&amp;row=3365&amp;col=6&amp;number=3.1&amp;sourceID=14","3.1")</f>
        <v>3.1</v>
      </c>
      <c r="G3365" s="4" t="str">
        <f>HYPERLINK("http://141.218.60.56/~jnz1568/getInfo.php?workbook=18_15.xlsx&amp;sheet=U0&amp;row=3365&amp;col=7&amp;number=0.989&amp;sourceID=14","0.989")</f>
        <v>0.989</v>
      </c>
    </row>
    <row r="3366" spans="1:7">
      <c r="A3366" s="3"/>
      <c r="B3366" s="3"/>
      <c r="C3366" s="3"/>
      <c r="D3366" s="3"/>
      <c r="E3366" s="3">
        <v>3</v>
      </c>
      <c r="F3366" s="4" t="str">
        <f>HYPERLINK("http://141.218.60.56/~jnz1568/getInfo.php?workbook=18_15.xlsx&amp;sheet=U0&amp;row=3366&amp;col=6&amp;number=3.2&amp;sourceID=14","3.2")</f>
        <v>3.2</v>
      </c>
      <c r="G3366" s="4" t="str">
        <f>HYPERLINK("http://141.218.60.56/~jnz1568/getInfo.php?workbook=18_15.xlsx&amp;sheet=U0&amp;row=3366&amp;col=7&amp;number=0.976&amp;sourceID=14","0.976")</f>
        <v>0.976</v>
      </c>
    </row>
    <row r="3367" spans="1:7">
      <c r="A3367" s="3"/>
      <c r="B3367" s="3"/>
      <c r="C3367" s="3"/>
      <c r="D3367" s="3"/>
      <c r="E3367" s="3">
        <v>4</v>
      </c>
      <c r="F3367" s="4" t="str">
        <f>HYPERLINK("http://141.218.60.56/~jnz1568/getInfo.php?workbook=18_15.xlsx&amp;sheet=U0&amp;row=3367&amp;col=6&amp;number=3.3&amp;sourceID=14","3.3")</f>
        <v>3.3</v>
      </c>
      <c r="G3367" s="4" t="str">
        <f>HYPERLINK("http://141.218.60.56/~jnz1568/getInfo.php?workbook=18_15.xlsx&amp;sheet=U0&amp;row=3367&amp;col=7&amp;number=0.959&amp;sourceID=14","0.959")</f>
        <v>0.959</v>
      </c>
    </row>
    <row r="3368" spans="1:7">
      <c r="A3368" s="3"/>
      <c r="B3368" s="3"/>
      <c r="C3368" s="3"/>
      <c r="D3368" s="3"/>
      <c r="E3368" s="3">
        <v>5</v>
      </c>
      <c r="F3368" s="4" t="str">
        <f>HYPERLINK("http://141.218.60.56/~jnz1568/getInfo.php?workbook=18_15.xlsx&amp;sheet=U0&amp;row=3368&amp;col=6&amp;number=3.4&amp;sourceID=14","3.4")</f>
        <v>3.4</v>
      </c>
      <c r="G3368" s="4" t="str">
        <f>HYPERLINK("http://141.218.60.56/~jnz1568/getInfo.php?workbook=18_15.xlsx&amp;sheet=U0&amp;row=3368&amp;col=7&amp;number=0.939&amp;sourceID=14","0.939")</f>
        <v>0.939</v>
      </c>
    </row>
    <row r="3369" spans="1:7">
      <c r="A3369" s="3"/>
      <c r="B3369" s="3"/>
      <c r="C3369" s="3"/>
      <c r="D3369" s="3"/>
      <c r="E3369" s="3">
        <v>6</v>
      </c>
      <c r="F3369" s="4" t="str">
        <f>HYPERLINK("http://141.218.60.56/~jnz1568/getInfo.php?workbook=18_15.xlsx&amp;sheet=U0&amp;row=3369&amp;col=6&amp;number=3.5&amp;sourceID=14","3.5")</f>
        <v>3.5</v>
      </c>
      <c r="G3369" s="4" t="str">
        <f>HYPERLINK("http://141.218.60.56/~jnz1568/getInfo.php?workbook=18_15.xlsx&amp;sheet=U0&amp;row=3369&amp;col=7&amp;number=0.914&amp;sourceID=14","0.914")</f>
        <v>0.914</v>
      </c>
    </row>
    <row r="3370" spans="1:7">
      <c r="A3370" s="3"/>
      <c r="B3370" s="3"/>
      <c r="C3370" s="3"/>
      <c r="D3370" s="3"/>
      <c r="E3370" s="3">
        <v>7</v>
      </c>
      <c r="F3370" s="4" t="str">
        <f>HYPERLINK("http://141.218.60.56/~jnz1568/getInfo.php?workbook=18_15.xlsx&amp;sheet=U0&amp;row=3370&amp;col=6&amp;number=3.6&amp;sourceID=14","3.6")</f>
        <v>3.6</v>
      </c>
      <c r="G3370" s="4" t="str">
        <f>HYPERLINK("http://141.218.60.56/~jnz1568/getInfo.php?workbook=18_15.xlsx&amp;sheet=U0&amp;row=3370&amp;col=7&amp;number=0.883&amp;sourceID=14","0.883")</f>
        <v>0.883</v>
      </c>
    </row>
    <row r="3371" spans="1:7">
      <c r="A3371" s="3"/>
      <c r="B3371" s="3"/>
      <c r="C3371" s="3"/>
      <c r="D3371" s="3"/>
      <c r="E3371" s="3">
        <v>8</v>
      </c>
      <c r="F3371" s="4" t="str">
        <f>HYPERLINK("http://141.218.60.56/~jnz1568/getInfo.php?workbook=18_15.xlsx&amp;sheet=U0&amp;row=3371&amp;col=6&amp;number=3.7&amp;sourceID=14","3.7")</f>
        <v>3.7</v>
      </c>
      <c r="G3371" s="4" t="str">
        <f>HYPERLINK("http://141.218.60.56/~jnz1568/getInfo.php?workbook=18_15.xlsx&amp;sheet=U0&amp;row=3371&amp;col=7&amp;number=0.846&amp;sourceID=14","0.846")</f>
        <v>0.846</v>
      </c>
    </row>
    <row r="3372" spans="1:7">
      <c r="A3372" s="3"/>
      <c r="B3372" s="3"/>
      <c r="C3372" s="3"/>
      <c r="D3372" s="3"/>
      <c r="E3372" s="3">
        <v>9</v>
      </c>
      <c r="F3372" s="4" t="str">
        <f>HYPERLINK("http://141.218.60.56/~jnz1568/getInfo.php?workbook=18_15.xlsx&amp;sheet=U0&amp;row=3372&amp;col=6&amp;number=3.8&amp;sourceID=14","3.8")</f>
        <v>3.8</v>
      </c>
      <c r="G3372" s="4" t="str">
        <f>HYPERLINK("http://141.218.60.56/~jnz1568/getInfo.php?workbook=18_15.xlsx&amp;sheet=U0&amp;row=3372&amp;col=7&amp;number=0.803&amp;sourceID=14","0.803")</f>
        <v>0.803</v>
      </c>
    </row>
    <row r="3373" spans="1:7">
      <c r="A3373" s="3"/>
      <c r="B3373" s="3"/>
      <c r="C3373" s="3"/>
      <c r="D3373" s="3"/>
      <c r="E3373" s="3">
        <v>10</v>
      </c>
      <c r="F3373" s="4" t="str">
        <f>HYPERLINK("http://141.218.60.56/~jnz1568/getInfo.php?workbook=18_15.xlsx&amp;sheet=U0&amp;row=3373&amp;col=6&amp;number=3.9&amp;sourceID=14","3.9")</f>
        <v>3.9</v>
      </c>
      <c r="G3373" s="4" t="str">
        <f>HYPERLINK("http://141.218.60.56/~jnz1568/getInfo.php?workbook=18_15.xlsx&amp;sheet=U0&amp;row=3373&amp;col=7&amp;number=0.754&amp;sourceID=14","0.754")</f>
        <v>0.754</v>
      </c>
    </row>
    <row r="3374" spans="1:7">
      <c r="A3374" s="3"/>
      <c r="B3374" s="3"/>
      <c r="C3374" s="3"/>
      <c r="D3374" s="3"/>
      <c r="E3374" s="3">
        <v>11</v>
      </c>
      <c r="F3374" s="4" t="str">
        <f>HYPERLINK("http://141.218.60.56/~jnz1568/getInfo.php?workbook=18_15.xlsx&amp;sheet=U0&amp;row=3374&amp;col=6&amp;number=4&amp;sourceID=14","4")</f>
        <v>4</v>
      </c>
      <c r="G3374" s="4" t="str">
        <f>HYPERLINK("http://141.218.60.56/~jnz1568/getInfo.php?workbook=18_15.xlsx&amp;sheet=U0&amp;row=3374&amp;col=7&amp;number=0.702&amp;sourceID=14","0.702")</f>
        <v>0.702</v>
      </c>
    </row>
    <row r="3375" spans="1:7">
      <c r="A3375" s="3"/>
      <c r="B3375" s="3"/>
      <c r="C3375" s="3"/>
      <c r="D3375" s="3"/>
      <c r="E3375" s="3">
        <v>12</v>
      </c>
      <c r="F3375" s="4" t="str">
        <f>HYPERLINK("http://141.218.60.56/~jnz1568/getInfo.php?workbook=18_15.xlsx&amp;sheet=U0&amp;row=3375&amp;col=6&amp;number=4.1&amp;sourceID=14","4.1")</f>
        <v>4.1</v>
      </c>
      <c r="G3375" s="4" t="str">
        <f>HYPERLINK("http://141.218.60.56/~jnz1568/getInfo.php?workbook=18_15.xlsx&amp;sheet=U0&amp;row=3375&amp;col=7&amp;number=0.651&amp;sourceID=14","0.651")</f>
        <v>0.651</v>
      </c>
    </row>
    <row r="3376" spans="1:7">
      <c r="A3376" s="3"/>
      <c r="B3376" s="3"/>
      <c r="C3376" s="3"/>
      <c r="D3376" s="3"/>
      <c r="E3376" s="3">
        <v>13</v>
      </c>
      <c r="F3376" s="4" t="str">
        <f>HYPERLINK("http://141.218.60.56/~jnz1568/getInfo.php?workbook=18_15.xlsx&amp;sheet=U0&amp;row=3376&amp;col=6&amp;number=4.2&amp;sourceID=14","4.2")</f>
        <v>4.2</v>
      </c>
      <c r="G3376" s="4" t="str">
        <f>HYPERLINK("http://141.218.60.56/~jnz1568/getInfo.php?workbook=18_15.xlsx&amp;sheet=U0&amp;row=3376&amp;col=7&amp;number=0.607&amp;sourceID=14","0.607")</f>
        <v>0.607</v>
      </c>
    </row>
    <row r="3377" spans="1:7">
      <c r="A3377" s="3"/>
      <c r="B3377" s="3"/>
      <c r="C3377" s="3"/>
      <c r="D3377" s="3"/>
      <c r="E3377" s="3">
        <v>14</v>
      </c>
      <c r="F3377" s="4" t="str">
        <f>HYPERLINK("http://141.218.60.56/~jnz1568/getInfo.php?workbook=18_15.xlsx&amp;sheet=U0&amp;row=3377&amp;col=6&amp;number=4.3&amp;sourceID=14","4.3")</f>
        <v>4.3</v>
      </c>
      <c r="G3377" s="4" t="str">
        <f>HYPERLINK("http://141.218.60.56/~jnz1568/getInfo.php?workbook=18_15.xlsx&amp;sheet=U0&amp;row=3377&amp;col=7&amp;number=0.574&amp;sourceID=14","0.574")</f>
        <v>0.574</v>
      </c>
    </row>
    <row r="3378" spans="1:7">
      <c r="A3378" s="3"/>
      <c r="B3378" s="3"/>
      <c r="C3378" s="3"/>
      <c r="D3378" s="3"/>
      <c r="E3378" s="3">
        <v>15</v>
      </c>
      <c r="F3378" s="4" t="str">
        <f>HYPERLINK("http://141.218.60.56/~jnz1568/getInfo.php?workbook=18_15.xlsx&amp;sheet=U0&amp;row=3378&amp;col=6&amp;number=4.4&amp;sourceID=14","4.4")</f>
        <v>4.4</v>
      </c>
      <c r="G3378" s="4" t="str">
        <f>HYPERLINK("http://141.218.60.56/~jnz1568/getInfo.php?workbook=18_15.xlsx&amp;sheet=U0&amp;row=3378&amp;col=7&amp;number=0.548&amp;sourceID=14","0.548")</f>
        <v>0.548</v>
      </c>
    </row>
    <row r="3379" spans="1:7">
      <c r="A3379" s="3"/>
      <c r="B3379" s="3"/>
      <c r="C3379" s="3"/>
      <c r="D3379" s="3"/>
      <c r="E3379" s="3">
        <v>16</v>
      </c>
      <c r="F3379" s="4" t="str">
        <f>HYPERLINK("http://141.218.60.56/~jnz1568/getInfo.php?workbook=18_15.xlsx&amp;sheet=U0&amp;row=3379&amp;col=6&amp;number=4.5&amp;sourceID=14","4.5")</f>
        <v>4.5</v>
      </c>
      <c r="G3379" s="4" t="str">
        <f>HYPERLINK("http://141.218.60.56/~jnz1568/getInfo.php?workbook=18_15.xlsx&amp;sheet=U0&amp;row=3379&amp;col=7&amp;number=0.521&amp;sourceID=14","0.521")</f>
        <v>0.521</v>
      </c>
    </row>
    <row r="3380" spans="1:7">
      <c r="A3380" s="3"/>
      <c r="B3380" s="3"/>
      <c r="C3380" s="3"/>
      <c r="D3380" s="3"/>
      <c r="E3380" s="3">
        <v>17</v>
      </c>
      <c r="F3380" s="4" t="str">
        <f>HYPERLINK("http://141.218.60.56/~jnz1568/getInfo.php?workbook=18_15.xlsx&amp;sheet=U0&amp;row=3380&amp;col=6&amp;number=4.6&amp;sourceID=14","4.6")</f>
        <v>4.6</v>
      </c>
      <c r="G3380" s="4" t="str">
        <f>HYPERLINK("http://141.218.60.56/~jnz1568/getInfo.php?workbook=18_15.xlsx&amp;sheet=U0&amp;row=3380&amp;col=7&amp;number=0.488&amp;sourceID=14","0.488")</f>
        <v>0.488</v>
      </c>
    </row>
    <row r="3381" spans="1:7">
      <c r="A3381" s="3"/>
      <c r="B3381" s="3"/>
      <c r="C3381" s="3"/>
      <c r="D3381" s="3"/>
      <c r="E3381" s="3">
        <v>18</v>
      </c>
      <c r="F3381" s="4" t="str">
        <f>HYPERLINK("http://141.218.60.56/~jnz1568/getInfo.php?workbook=18_15.xlsx&amp;sheet=U0&amp;row=3381&amp;col=6&amp;number=4.7&amp;sourceID=14","4.7")</f>
        <v>4.7</v>
      </c>
      <c r="G3381" s="4" t="str">
        <f>HYPERLINK("http://141.218.60.56/~jnz1568/getInfo.php?workbook=18_15.xlsx&amp;sheet=U0&amp;row=3381&amp;col=7&amp;number=0.455&amp;sourceID=14","0.455")</f>
        <v>0.455</v>
      </c>
    </row>
    <row r="3382" spans="1:7">
      <c r="A3382" s="3"/>
      <c r="B3382" s="3"/>
      <c r="C3382" s="3"/>
      <c r="D3382" s="3"/>
      <c r="E3382" s="3">
        <v>19</v>
      </c>
      <c r="F3382" s="4" t="str">
        <f>HYPERLINK("http://141.218.60.56/~jnz1568/getInfo.php?workbook=18_15.xlsx&amp;sheet=U0&amp;row=3382&amp;col=6&amp;number=4.8&amp;sourceID=14","4.8")</f>
        <v>4.8</v>
      </c>
      <c r="G3382" s="4" t="str">
        <f>HYPERLINK("http://141.218.60.56/~jnz1568/getInfo.php?workbook=18_15.xlsx&amp;sheet=U0&amp;row=3382&amp;col=7&amp;number=0.432&amp;sourceID=14","0.432")</f>
        <v>0.432</v>
      </c>
    </row>
    <row r="3383" spans="1:7">
      <c r="A3383" s="3"/>
      <c r="B3383" s="3"/>
      <c r="C3383" s="3"/>
      <c r="D3383" s="3"/>
      <c r="E3383" s="3">
        <v>20</v>
      </c>
      <c r="F3383" s="4" t="str">
        <f>HYPERLINK("http://141.218.60.56/~jnz1568/getInfo.php?workbook=18_15.xlsx&amp;sheet=U0&amp;row=3383&amp;col=6&amp;number=4.9&amp;sourceID=14","4.9")</f>
        <v>4.9</v>
      </c>
      <c r="G3383" s="4" t="str">
        <f>HYPERLINK("http://141.218.60.56/~jnz1568/getInfo.php?workbook=18_15.xlsx&amp;sheet=U0&amp;row=3383&amp;col=7&amp;number=0.415&amp;sourceID=14","0.415")</f>
        <v>0.415</v>
      </c>
    </row>
    <row r="3384" spans="1:7">
      <c r="A3384" s="3">
        <v>18</v>
      </c>
      <c r="B3384" s="3">
        <v>15</v>
      </c>
      <c r="C3384" s="3">
        <v>18</v>
      </c>
      <c r="D3384" s="3">
        <v>25</v>
      </c>
      <c r="E3384" s="3">
        <v>1</v>
      </c>
      <c r="F3384" s="4" t="str">
        <f>HYPERLINK("http://141.218.60.56/~jnz1568/getInfo.php?workbook=18_15.xlsx&amp;sheet=U0&amp;row=3384&amp;col=6&amp;number=3&amp;sourceID=14","3")</f>
        <v>3</v>
      </c>
      <c r="G3384" s="4" t="str">
        <f>HYPERLINK("http://141.218.60.56/~jnz1568/getInfo.php?workbook=18_15.xlsx&amp;sheet=U0&amp;row=3384&amp;col=7&amp;number=0.0178&amp;sourceID=14","0.0178")</f>
        <v>0.0178</v>
      </c>
    </row>
    <row r="3385" spans="1:7">
      <c r="A3385" s="3"/>
      <c r="B3385" s="3"/>
      <c r="C3385" s="3"/>
      <c r="D3385" s="3"/>
      <c r="E3385" s="3">
        <v>2</v>
      </c>
      <c r="F3385" s="4" t="str">
        <f>HYPERLINK("http://141.218.60.56/~jnz1568/getInfo.php?workbook=18_15.xlsx&amp;sheet=U0&amp;row=3385&amp;col=6&amp;number=3.1&amp;sourceID=14","3.1")</f>
        <v>3.1</v>
      </c>
      <c r="G3385" s="4" t="str">
        <f>HYPERLINK("http://141.218.60.56/~jnz1568/getInfo.php?workbook=18_15.xlsx&amp;sheet=U0&amp;row=3385&amp;col=7&amp;number=0.0179&amp;sourceID=14","0.0179")</f>
        <v>0.0179</v>
      </c>
    </row>
    <row r="3386" spans="1:7">
      <c r="A3386" s="3"/>
      <c r="B3386" s="3"/>
      <c r="C3386" s="3"/>
      <c r="D3386" s="3"/>
      <c r="E3386" s="3">
        <v>3</v>
      </c>
      <c r="F3386" s="4" t="str">
        <f>HYPERLINK("http://141.218.60.56/~jnz1568/getInfo.php?workbook=18_15.xlsx&amp;sheet=U0&amp;row=3386&amp;col=6&amp;number=3.2&amp;sourceID=14","3.2")</f>
        <v>3.2</v>
      </c>
      <c r="G3386" s="4" t="str">
        <f>HYPERLINK("http://141.218.60.56/~jnz1568/getInfo.php?workbook=18_15.xlsx&amp;sheet=U0&amp;row=3386&amp;col=7&amp;number=0.018&amp;sourceID=14","0.018")</f>
        <v>0.018</v>
      </c>
    </row>
    <row r="3387" spans="1:7">
      <c r="A3387" s="3"/>
      <c r="B3387" s="3"/>
      <c r="C3387" s="3"/>
      <c r="D3387" s="3"/>
      <c r="E3387" s="3">
        <v>4</v>
      </c>
      <c r="F3387" s="4" t="str">
        <f>HYPERLINK("http://141.218.60.56/~jnz1568/getInfo.php?workbook=18_15.xlsx&amp;sheet=U0&amp;row=3387&amp;col=6&amp;number=3.3&amp;sourceID=14","3.3")</f>
        <v>3.3</v>
      </c>
      <c r="G3387" s="4" t="str">
        <f>HYPERLINK("http://141.218.60.56/~jnz1568/getInfo.php?workbook=18_15.xlsx&amp;sheet=U0&amp;row=3387&amp;col=7&amp;number=0.0181&amp;sourceID=14","0.0181")</f>
        <v>0.0181</v>
      </c>
    </row>
    <row r="3388" spans="1:7">
      <c r="A3388" s="3"/>
      <c r="B3388" s="3"/>
      <c r="C3388" s="3"/>
      <c r="D3388" s="3"/>
      <c r="E3388" s="3">
        <v>5</v>
      </c>
      <c r="F3388" s="4" t="str">
        <f>HYPERLINK("http://141.218.60.56/~jnz1568/getInfo.php?workbook=18_15.xlsx&amp;sheet=U0&amp;row=3388&amp;col=6&amp;number=3.4&amp;sourceID=14","3.4")</f>
        <v>3.4</v>
      </c>
      <c r="G3388" s="4" t="str">
        <f>HYPERLINK("http://141.218.60.56/~jnz1568/getInfo.php?workbook=18_15.xlsx&amp;sheet=U0&amp;row=3388&amp;col=7&amp;number=0.0183&amp;sourceID=14","0.0183")</f>
        <v>0.0183</v>
      </c>
    </row>
    <row r="3389" spans="1:7">
      <c r="A3389" s="3"/>
      <c r="B3389" s="3"/>
      <c r="C3389" s="3"/>
      <c r="D3389" s="3"/>
      <c r="E3389" s="3">
        <v>6</v>
      </c>
      <c r="F3389" s="4" t="str">
        <f>HYPERLINK("http://141.218.60.56/~jnz1568/getInfo.php?workbook=18_15.xlsx&amp;sheet=U0&amp;row=3389&amp;col=6&amp;number=3.5&amp;sourceID=14","3.5")</f>
        <v>3.5</v>
      </c>
      <c r="G3389" s="4" t="str">
        <f>HYPERLINK("http://141.218.60.56/~jnz1568/getInfo.php?workbook=18_15.xlsx&amp;sheet=U0&amp;row=3389&amp;col=7&amp;number=0.0185&amp;sourceID=14","0.0185")</f>
        <v>0.0185</v>
      </c>
    </row>
    <row r="3390" spans="1:7">
      <c r="A3390" s="3"/>
      <c r="B3390" s="3"/>
      <c r="C3390" s="3"/>
      <c r="D3390" s="3"/>
      <c r="E3390" s="3">
        <v>7</v>
      </c>
      <c r="F3390" s="4" t="str">
        <f>HYPERLINK("http://141.218.60.56/~jnz1568/getInfo.php?workbook=18_15.xlsx&amp;sheet=U0&amp;row=3390&amp;col=6&amp;number=3.6&amp;sourceID=14","3.6")</f>
        <v>3.6</v>
      </c>
      <c r="G3390" s="4" t="str">
        <f>HYPERLINK("http://141.218.60.56/~jnz1568/getInfo.php?workbook=18_15.xlsx&amp;sheet=U0&amp;row=3390&amp;col=7&amp;number=0.0188&amp;sourceID=14","0.0188")</f>
        <v>0.0188</v>
      </c>
    </row>
    <row r="3391" spans="1:7">
      <c r="A3391" s="3"/>
      <c r="B3391" s="3"/>
      <c r="C3391" s="3"/>
      <c r="D3391" s="3"/>
      <c r="E3391" s="3">
        <v>8</v>
      </c>
      <c r="F3391" s="4" t="str">
        <f>HYPERLINK("http://141.218.60.56/~jnz1568/getInfo.php?workbook=18_15.xlsx&amp;sheet=U0&amp;row=3391&amp;col=6&amp;number=3.7&amp;sourceID=14","3.7")</f>
        <v>3.7</v>
      </c>
      <c r="G3391" s="4" t="str">
        <f>HYPERLINK("http://141.218.60.56/~jnz1568/getInfo.php?workbook=18_15.xlsx&amp;sheet=U0&amp;row=3391&amp;col=7&amp;number=0.0191&amp;sourceID=14","0.0191")</f>
        <v>0.0191</v>
      </c>
    </row>
    <row r="3392" spans="1:7">
      <c r="A3392" s="3"/>
      <c r="B3392" s="3"/>
      <c r="C3392" s="3"/>
      <c r="D3392" s="3"/>
      <c r="E3392" s="3">
        <v>9</v>
      </c>
      <c r="F3392" s="4" t="str">
        <f>HYPERLINK("http://141.218.60.56/~jnz1568/getInfo.php?workbook=18_15.xlsx&amp;sheet=U0&amp;row=3392&amp;col=6&amp;number=3.8&amp;sourceID=14","3.8")</f>
        <v>3.8</v>
      </c>
      <c r="G3392" s="4" t="str">
        <f>HYPERLINK("http://141.218.60.56/~jnz1568/getInfo.php?workbook=18_15.xlsx&amp;sheet=U0&amp;row=3392&amp;col=7&amp;number=0.0195&amp;sourceID=14","0.0195")</f>
        <v>0.0195</v>
      </c>
    </row>
    <row r="3393" spans="1:7">
      <c r="A3393" s="3"/>
      <c r="B3393" s="3"/>
      <c r="C3393" s="3"/>
      <c r="D3393" s="3"/>
      <c r="E3393" s="3">
        <v>10</v>
      </c>
      <c r="F3393" s="4" t="str">
        <f>HYPERLINK("http://141.218.60.56/~jnz1568/getInfo.php?workbook=18_15.xlsx&amp;sheet=U0&amp;row=3393&amp;col=6&amp;number=3.9&amp;sourceID=14","3.9")</f>
        <v>3.9</v>
      </c>
      <c r="G3393" s="4" t="str">
        <f>HYPERLINK("http://141.218.60.56/~jnz1568/getInfo.php?workbook=18_15.xlsx&amp;sheet=U0&amp;row=3393&amp;col=7&amp;number=0.02&amp;sourceID=14","0.02")</f>
        <v>0.02</v>
      </c>
    </row>
    <row r="3394" spans="1:7">
      <c r="A3394" s="3"/>
      <c r="B3394" s="3"/>
      <c r="C3394" s="3"/>
      <c r="D3394" s="3"/>
      <c r="E3394" s="3">
        <v>11</v>
      </c>
      <c r="F3394" s="4" t="str">
        <f>HYPERLINK("http://141.218.60.56/~jnz1568/getInfo.php?workbook=18_15.xlsx&amp;sheet=U0&amp;row=3394&amp;col=6&amp;number=4&amp;sourceID=14","4")</f>
        <v>4</v>
      </c>
      <c r="G3394" s="4" t="str">
        <f>HYPERLINK("http://141.218.60.56/~jnz1568/getInfo.php?workbook=18_15.xlsx&amp;sheet=U0&amp;row=3394&amp;col=7&amp;number=0.0206&amp;sourceID=14","0.0206")</f>
        <v>0.0206</v>
      </c>
    </row>
    <row r="3395" spans="1:7">
      <c r="A3395" s="3"/>
      <c r="B3395" s="3"/>
      <c r="C3395" s="3"/>
      <c r="D3395" s="3"/>
      <c r="E3395" s="3">
        <v>12</v>
      </c>
      <c r="F3395" s="4" t="str">
        <f>HYPERLINK("http://141.218.60.56/~jnz1568/getInfo.php?workbook=18_15.xlsx&amp;sheet=U0&amp;row=3395&amp;col=6&amp;number=4.1&amp;sourceID=14","4.1")</f>
        <v>4.1</v>
      </c>
      <c r="G3395" s="4" t="str">
        <f>HYPERLINK("http://141.218.60.56/~jnz1568/getInfo.php?workbook=18_15.xlsx&amp;sheet=U0&amp;row=3395&amp;col=7&amp;number=0.0214&amp;sourceID=14","0.0214")</f>
        <v>0.0214</v>
      </c>
    </row>
    <row r="3396" spans="1:7">
      <c r="A3396" s="3"/>
      <c r="B3396" s="3"/>
      <c r="C3396" s="3"/>
      <c r="D3396" s="3"/>
      <c r="E3396" s="3">
        <v>13</v>
      </c>
      <c r="F3396" s="4" t="str">
        <f>HYPERLINK("http://141.218.60.56/~jnz1568/getInfo.php?workbook=18_15.xlsx&amp;sheet=U0&amp;row=3396&amp;col=6&amp;number=4.2&amp;sourceID=14","4.2")</f>
        <v>4.2</v>
      </c>
      <c r="G3396" s="4" t="str">
        <f>HYPERLINK("http://141.218.60.56/~jnz1568/getInfo.php?workbook=18_15.xlsx&amp;sheet=U0&amp;row=3396&amp;col=7&amp;number=0.0223&amp;sourceID=14","0.0223")</f>
        <v>0.0223</v>
      </c>
    </row>
    <row r="3397" spans="1:7">
      <c r="A3397" s="3"/>
      <c r="B3397" s="3"/>
      <c r="C3397" s="3"/>
      <c r="D3397" s="3"/>
      <c r="E3397" s="3">
        <v>14</v>
      </c>
      <c r="F3397" s="4" t="str">
        <f>HYPERLINK("http://141.218.60.56/~jnz1568/getInfo.php?workbook=18_15.xlsx&amp;sheet=U0&amp;row=3397&amp;col=6&amp;number=4.3&amp;sourceID=14","4.3")</f>
        <v>4.3</v>
      </c>
      <c r="G3397" s="4" t="str">
        <f>HYPERLINK("http://141.218.60.56/~jnz1568/getInfo.php?workbook=18_15.xlsx&amp;sheet=U0&amp;row=3397&amp;col=7&amp;number=0.0235&amp;sourceID=14","0.0235")</f>
        <v>0.0235</v>
      </c>
    </row>
    <row r="3398" spans="1:7">
      <c r="A3398" s="3"/>
      <c r="B3398" s="3"/>
      <c r="C3398" s="3"/>
      <c r="D3398" s="3"/>
      <c r="E3398" s="3">
        <v>15</v>
      </c>
      <c r="F3398" s="4" t="str">
        <f>HYPERLINK("http://141.218.60.56/~jnz1568/getInfo.php?workbook=18_15.xlsx&amp;sheet=U0&amp;row=3398&amp;col=6&amp;number=4.4&amp;sourceID=14","4.4")</f>
        <v>4.4</v>
      </c>
      <c r="G3398" s="4" t="str">
        <f>HYPERLINK("http://141.218.60.56/~jnz1568/getInfo.php?workbook=18_15.xlsx&amp;sheet=U0&amp;row=3398&amp;col=7&amp;number=0.0247&amp;sourceID=14","0.0247")</f>
        <v>0.0247</v>
      </c>
    </row>
    <row r="3399" spans="1:7">
      <c r="A3399" s="3"/>
      <c r="B3399" s="3"/>
      <c r="C3399" s="3"/>
      <c r="D3399" s="3"/>
      <c r="E3399" s="3">
        <v>16</v>
      </c>
      <c r="F3399" s="4" t="str">
        <f>HYPERLINK("http://141.218.60.56/~jnz1568/getInfo.php?workbook=18_15.xlsx&amp;sheet=U0&amp;row=3399&amp;col=6&amp;number=4.5&amp;sourceID=14","4.5")</f>
        <v>4.5</v>
      </c>
      <c r="G3399" s="4" t="str">
        <f>HYPERLINK("http://141.218.60.56/~jnz1568/getInfo.php?workbook=18_15.xlsx&amp;sheet=U0&amp;row=3399&amp;col=7&amp;number=0.0259&amp;sourceID=14","0.0259")</f>
        <v>0.0259</v>
      </c>
    </row>
    <row r="3400" spans="1:7">
      <c r="A3400" s="3"/>
      <c r="B3400" s="3"/>
      <c r="C3400" s="3"/>
      <c r="D3400" s="3"/>
      <c r="E3400" s="3">
        <v>17</v>
      </c>
      <c r="F3400" s="4" t="str">
        <f>HYPERLINK("http://141.218.60.56/~jnz1568/getInfo.php?workbook=18_15.xlsx&amp;sheet=U0&amp;row=3400&amp;col=6&amp;number=4.6&amp;sourceID=14","4.6")</f>
        <v>4.6</v>
      </c>
      <c r="G3400" s="4" t="str">
        <f>HYPERLINK("http://141.218.60.56/~jnz1568/getInfo.php?workbook=18_15.xlsx&amp;sheet=U0&amp;row=3400&amp;col=7&amp;number=0.0268&amp;sourceID=14","0.0268")</f>
        <v>0.0268</v>
      </c>
    </row>
    <row r="3401" spans="1:7">
      <c r="A3401" s="3"/>
      <c r="B3401" s="3"/>
      <c r="C3401" s="3"/>
      <c r="D3401" s="3"/>
      <c r="E3401" s="3">
        <v>18</v>
      </c>
      <c r="F3401" s="4" t="str">
        <f>HYPERLINK("http://141.218.60.56/~jnz1568/getInfo.php?workbook=18_15.xlsx&amp;sheet=U0&amp;row=3401&amp;col=6&amp;number=4.7&amp;sourceID=14","4.7")</f>
        <v>4.7</v>
      </c>
      <c r="G3401" s="4" t="str">
        <f>HYPERLINK("http://141.218.60.56/~jnz1568/getInfo.php?workbook=18_15.xlsx&amp;sheet=U0&amp;row=3401&amp;col=7&amp;number=0.0275&amp;sourceID=14","0.0275")</f>
        <v>0.0275</v>
      </c>
    </row>
    <row r="3402" spans="1:7">
      <c r="A3402" s="3"/>
      <c r="B3402" s="3"/>
      <c r="C3402" s="3"/>
      <c r="D3402" s="3"/>
      <c r="E3402" s="3">
        <v>19</v>
      </c>
      <c r="F3402" s="4" t="str">
        <f>HYPERLINK("http://141.218.60.56/~jnz1568/getInfo.php?workbook=18_15.xlsx&amp;sheet=U0&amp;row=3402&amp;col=6&amp;number=4.8&amp;sourceID=14","4.8")</f>
        <v>4.8</v>
      </c>
      <c r="G3402" s="4" t="str">
        <f>HYPERLINK("http://141.218.60.56/~jnz1568/getInfo.php?workbook=18_15.xlsx&amp;sheet=U0&amp;row=3402&amp;col=7&amp;number=0.0282&amp;sourceID=14","0.0282")</f>
        <v>0.0282</v>
      </c>
    </row>
    <row r="3403" spans="1:7">
      <c r="A3403" s="3"/>
      <c r="B3403" s="3"/>
      <c r="C3403" s="3"/>
      <c r="D3403" s="3"/>
      <c r="E3403" s="3">
        <v>20</v>
      </c>
      <c r="F3403" s="4" t="str">
        <f>HYPERLINK("http://141.218.60.56/~jnz1568/getInfo.php?workbook=18_15.xlsx&amp;sheet=U0&amp;row=3403&amp;col=6&amp;number=4.9&amp;sourceID=14","4.9")</f>
        <v>4.9</v>
      </c>
      <c r="G3403" s="4" t="str">
        <f>HYPERLINK("http://141.218.60.56/~jnz1568/getInfo.php?workbook=18_15.xlsx&amp;sheet=U0&amp;row=3403&amp;col=7&amp;number=0.0289&amp;sourceID=14","0.0289")</f>
        <v>0.0289</v>
      </c>
    </row>
    <row r="3404" spans="1:7">
      <c r="A3404" s="3">
        <v>18</v>
      </c>
      <c r="B3404" s="3">
        <v>15</v>
      </c>
      <c r="C3404" s="3">
        <v>19</v>
      </c>
      <c r="D3404" s="3">
        <v>25</v>
      </c>
      <c r="E3404" s="3">
        <v>1</v>
      </c>
      <c r="F3404" s="4" t="str">
        <f>HYPERLINK("http://141.218.60.56/~jnz1568/getInfo.php?workbook=18_15.xlsx&amp;sheet=U0&amp;row=3404&amp;col=6&amp;number=3&amp;sourceID=14","3")</f>
        <v>3</v>
      </c>
      <c r="G3404" s="4" t="str">
        <f>HYPERLINK("http://141.218.60.56/~jnz1568/getInfo.php?workbook=18_15.xlsx&amp;sheet=U0&amp;row=3404&amp;col=7&amp;number=0.0708&amp;sourceID=14","0.0708")</f>
        <v>0.0708</v>
      </c>
    </row>
    <row r="3405" spans="1:7">
      <c r="A3405" s="3"/>
      <c r="B3405" s="3"/>
      <c r="C3405" s="3"/>
      <c r="D3405" s="3"/>
      <c r="E3405" s="3">
        <v>2</v>
      </c>
      <c r="F3405" s="4" t="str">
        <f>HYPERLINK("http://141.218.60.56/~jnz1568/getInfo.php?workbook=18_15.xlsx&amp;sheet=U0&amp;row=3405&amp;col=6&amp;number=3.1&amp;sourceID=14","3.1")</f>
        <v>3.1</v>
      </c>
      <c r="G3405" s="4" t="str">
        <f>HYPERLINK("http://141.218.60.56/~jnz1568/getInfo.php?workbook=18_15.xlsx&amp;sheet=U0&amp;row=3405&amp;col=7&amp;number=0.0707&amp;sourceID=14","0.0707")</f>
        <v>0.0707</v>
      </c>
    </row>
    <row r="3406" spans="1:7">
      <c r="A3406" s="3"/>
      <c r="B3406" s="3"/>
      <c r="C3406" s="3"/>
      <c r="D3406" s="3"/>
      <c r="E3406" s="3">
        <v>3</v>
      </c>
      <c r="F3406" s="4" t="str">
        <f>HYPERLINK("http://141.218.60.56/~jnz1568/getInfo.php?workbook=18_15.xlsx&amp;sheet=U0&amp;row=3406&amp;col=6&amp;number=3.2&amp;sourceID=14","3.2")</f>
        <v>3.2</v>
      </c>
      <c r="G3406" s="4" t="str">
        <f>HYPERLINK("http://141.218.60.56/~jnz1568/getInfo.php?workbook=18_15.xlsx&amp;sheet=U0&amp;row=3406&amp;col=7&amp;number=0.0707&amp;sourceID=14","0.0707")</f>
        <v>0.0707</v>
      </c>
    </row>
    <row r="3407" spans="1:7">
      <c r="A3407" s="3"/>
      <c r="B3407" s="3"/>
      <c r="C3407" s="3"/>
      <c r="D3407" s="3"/>
      <c r="E3407" s="3">
        <v>4</v>
      </c>
      <c r="F3407" s="4" t="str">
        <f>HYPERLINK("http://141.218.60.56/~jnz1568/getInfo.php?workbook=18_15.xlsx&amp;sheet=U0&amp;row=3407&amp;col=6&amp;number=3.3&amp;sourceID=14","3.3")</f>
        <v>3.3</v>
      </c>
      <c r="G3407" s="4" t="str">
        <f>HYPERLINK("http://141.218.60.56/~jnz1568/getInfo.php?workbook=18_15.xlsx&amp;sheet=U0&amp;row=3407&amp;col=7&amp;number=0.0707&amp;sourceID=14","0.0707")</f>
        <v>0.0707</v>
      </c>
    </row>
    <row r="3408" spans="1:7">
      <c r="A3408" s="3"/>
      <c r="B3408" s="3"/>
      <c r="C3408" s="3"/>
      <c r="D3408" s="3"/>
      <c r="E3408" s="3">
        <v>5</v>
      </c>
      <c r="F3408" s="4" t="str">
        <f>HYPERLINK("http://141.218.60.56/~jnz1568/getInfo.php?workbook=18_15.xlsx&amp;sheet=U0&amp;row=3408&amp;col=6&amp;number=3.4&amp;sourceID=14","3.4")</f>
        <v>3.4</v>
      </c>
      <c r="G3408" s="4" t="str">
        <f>HYPERLINK("http://141.218.60.56/~jnz1568/getInfo.php?workbook=18_15.xlsx&amp;sheet=U0&amp;row=3408&amp;col=7&amp;number=0.0706&amp;sourceID=14","0.0706")</f>
        <v>0.0706</v>
      </c>
    </row>
    <row r="3409" spans="1:7">
      <c r="A3409" s="3"/>
      <c r="B3409" s="3"/>
      <c r="C3409" s="3"/>
      <c r="D3409" s="3"/>
      <c r="E3409" s="3">
        <v>6</v>
      </c>
      <c r="F3409" s="4" t="str">
        <f>HYPERLINK("http://141.218.60.56/~jnz1568/getInfo.php?workbook=18_15.xlsx&amp;sheet=U0&amp;row=3409&amp;col=6&amp;number=3.5&amp;sourceID=14","3.5")</f>
        <v>3.5</v>
      </c>
      <c r="G3409" s="4" t="str">
        <f>HYPERLINK("http://141.218.60.56/~jnz1568/getInfo.php?workbook=18_15.xlsx&amp;sheet=U0&amp;row=3409&amp;col=7&amp;number=0.0706&amp;sourceID=14","0.0706")</f>
        <v>0.0706</v>
      </c>
    </row>
    <row r="3410" spans="1:7">
      <c r="A3410" s="3"/>
      <c r="B3410" s="3"/>
      <c r="C3410" s="3"/>
      <c r="D3410" s="3"/>
      <c r="E3410" s="3">
        <v>7</v>
      </c>
      <c r="F3410" s="4" t="str">
        <f>HYPERLINK("http://141.218.60.56/~jnz1568/getInfo.php?workbook=18_15.xlsx&amp;sheet=U0&amp;row=3410&amp;col=6&amp;number=3.6&amp;sourceID=14","3.6")</f>
        <v>3.6</v>
      </c>
      <c r="G3410" s="4" t="str">
        <f>HYPERLINK("http://141.218.60.56/~jnz1568/getInfo.php?workbook=18_15.xlsx&amp;sheet=U0&amp;row=3410&amp;col=7&amp;number=0.0706&amp;sourceID=14","0.0706")</f>
        <v>0.0706</v>
      </c>
    </row>
    <row r="3411" spans="1:7">
      <c r="A3411" s="3"/>
      <c r="B3411" s="3"/>
      <c r="C3411" s="3"/>
      <c r="D3411" s="3"/>
      <c r="E3411" s="3">
        <v>8</v>
      </c>
      <c r="F3411" s="4" t="str">
        <f>HYPERLINK("http://141.218.60.56/~jnz1568/getInfo.php?workbook=18_15.xlsx&amp;sheet=U0&amp;row=3411&amp;col=6&amp;number=3.7&amp;sourceID=14","3.7")</f>
        <v>3.7</v>
      </c>
      <c r="G3411" s="4" t="str">
        <f>HYPERLINK("http://141.218.60.56/~jnz1568/getInfo.php?workbook=18_15.xlsx&amp;sheet=U0&amp;row=3411&amp;col=7&amp;number=0.0707&amp;sourceID=14","0.0707")</f>
        <v>0.0707</v>
      </c>
    </row>
    <row r="3412" spans="1:7">
      <c r="A3412" s="3"/>
      <c r="B3412" s="3"/>
      <c r="C3412" s="3"/>
      <c r="D3412" s="3"/>
      <c r="E3412" s="3">
        <v>9</v>
      </c>
      <c r="F3412" s="4" t="str">
        <f>HYPERLINK("http://141.218.60.56/~jnz1568/getInfo.php?workbook=18_15.xlsx&amp;sheet=U0&amp;row=3412&amp;col=6&amp;number=3.8&amp;sourceID=14","3.8")</f>
        <v>3.8</v>
      </c>
      <c r="G3412" s="4" t="str">
        <f>HYPERLINK("http://141.218.60.56/~jnz1568/getInfo.php?workbook=18_15.xlsx&amp;sheet=U0&amp;row=3412&amp;col=7&amp;number=0.0709&amp;sourceID=14","0.0709")</f>
        <v>0.0709</v>
      </c>
    </row>
    <row r="3413" spans="1:7">
      <c r="A3413" s="3"/>
      <c r="B3413" s="3"/>
      <c r="C3413" s="3"/>
      <c r="D3413" s="3"/>
      <c r="E3413" s="3">
        <v>10</v>
      </c>
      <c r="F3413" s="4" t="str">
        <f>HYPERLINK("http://141.218.60.56/~jnz1568/getInfo.php?workbook=18_15.xlsx&amp;sheet=U0&amp;row=3413&amp;col=6&amp;number=3.9&amp;sourceID=14","3.9")</f>
        <v>3.9</v>
      </c>
      <c r="G3413" s="4" t="str">
        <f>HYPERLINK("http://141.218.60.56/~jnz1568/getInfo.php?workbook=18_15.xlsx&amp;sheet=U0&amp;row=3413&amp;col=7&amp;number=0.0713&amp;sourceID=14","0.0713")</f>
        <v>0.0713</v>
      </c>
    </row>
    <row r="3414" spans="1:7">
      <c r="A3414" s="3"/>
      <c r="B3414" s="3"/>
      <c r="C3414" s="3"/>
      <c r="D3414" s="3"/>
      <c r="E3414" s="3">
        <v>11</v>
      </c>
      <c r="F3414" s="4" t="str">
        <f>HYPERLINK("http://141.218.60.56/~jnz1568/getInfo.php?workbook=18_15.xlsx&amp;sheet=U0&amp;row=3414&amp;col=6&amp;number=4&amp;sourceID=14","4")</f>
        <v>4</v>
      </c>
      <c r="G3414" s="4" t="str">
        <f>HYPERLINK("http://141.218.60.56/~jnz1568/getInfo.php?workbook=18_15.xlsx&amp;sheet=U0&amp;row=3414&amp;col=7&amp;number=0.0722&amp;sourceID=14","0.0722")</f>
        <v>0.0722</v>
      </c>
    </row>
    <row r="3415" spans="1:7">
      <c r="A3415" s="3"/>
      <c r="B3415" s="3"/>
      <c r="C3415" s="3"/>
      <c r="D3415" s="3"/>
      <c r="E3415" s="3">
        <v>12</v>
      </c>
      <c r="F3415" s="4" t="str">
        <f>HYPERLINK("http://141.218.60.56/~jnz1568/getInfo.php?workbook=18_15.xlsx&amp;sheet=U0&amp;row=3415&amp;col=6&amp;number=4.1&amp;sourceID=14","4.1")</f>
        <v>4.1</v>
      </c>
      <c r="G3415" s="4" t="str">
        <f>HYPERLINK("http://141.218.60.56/~jnz1568/getInfo.php?workbook=18_15.xlsx&amp;sheet=U0&amp;row=3415&amp;col=7&amp;number=0.074&amp;sourceID=14","0.074")</f>
        <v>0.074</v>
      </c>
    </row>
    <row r="3416" spans="1:7">
      <c r="A3416" s="3"/>
      <c r="B3416" s="3"/>
      <c r="C3416" s="3"/>
      <c r="D3416" s="3"/>
      <c r="E3416" s="3">
        <v>13</v>
      </c>
      <c r="F3416" s="4" t="str">
        <f>HYPERLINK("http://141.218.60.56/~jnz1568/getInfo.php?workbook=18_15.xlsx&amp;sheet=U0&amp;row=3416&amp;col=6&amp;number=4.2&amp;sourceID=14","4.2")</f>
        <v>4.2</v>
      </c>
      <c r="G3416" s="4" t="str">
        <f>HYPERLINK("http://141.218.60.56/~jnz1568/getInfo.php?workbook=18_15.xlsx&amp;sheet=U0&amp;row=3416&amp;col=7&amp;number=0.0772&amp;sourceID=14","0.0772")</f>
        <v>0.0772</v>
      </c>
    </row>
    <row r="3417" spans="1:7">
      <c r="A3417" s="3"/>
      <c r="B3417" s="3"/>
      <c r="C3417" s="3"/>
      <c r="D3417" s="3"/>
      <c r="E3417" s="3">
        <v>14</v>
      </c>
      <c r="F3417" s="4" t="str">
        <f>HYPERLINK("http://141.218.60.56/~jnz1568/getInfo.php?workbook=18_15.xlsx&amp;sheet=U0&amp;row=3417&amp;col=6&amp;number=4.3&amp;sourceID=14","4.3")</f>
        <v>4.3</v>
      </c>
      <c r="G3417" s="4" t="str">
        <f>HYPERLINK("http://141.218.60.56/~jnz1568/getInfo.php?workbook=18_15.xlsx&amp;sheet=U0&amp;row=3417&amp;col=7&amp;number=0.0819&amp;sourceID=14","0.0819")</f>
        <v>0.0819</v>
      </c>
    </row>
    <row r="3418" spans="1:7">
      <c r="A3418" s="3"/>
      <c r="B3418" s="3"/>
      <c r="C3418" s="3"/>
      <c r="D3418" s="3"/>
      <c r="E3418" s="3">
        <v>15</v>
      </c>
      <c r="F3418" s="4" t="str">
        <f>HYPERLINK("http://141.218.60.56/~jnz1568/getInfo.php?workbook=18_15.xlsx&amp;sheet=U0&amp;row=3418&amp;col=6&amp;number=4.4&amp;sourceID=14","4.4")</f>
        <v>4.4</v>
      </c>
      <c r="G3418" s="4" t="str">
        <f>HYPERLINK("http://141.218.60.56/~jnz1568/getInfo.php?workbook=18_15.xlsx&amp;sheet=U0&amp;row=3418&amp;col=7&amp;number=0.0878&amp;sourceID=14","0.0878")</f>
        <v>0.0878</v>
      </c>
    </row>
    <row r="3419" spans="1:7">
      <c r="A3419" s="3"/>
      <c r="B3419" s="3"/>
      <c r="C3419" s="3"/>
      <c r="D3419" s="3"/>
      <c r="E3419" s="3">
        <v>16</v>
      </c>
      <c r="F3419" s="4" t="str">
        <f>HYPERLINK("http://141.218.60.56/~jnz1568/getInfo.php?workbook=18_15.xlsx&amp;sheet=U0&amp;row=3419&amp;col=6&amp;number=4.5&amp;sourceID=14","4.5")</f>
        <v>4.5</v>
      </c>
      <c r="G3419" s="4" t="str">
        <f>HYPERLINK("http://141.218.60.56/~jnz1568/getInfo.php?workbook=18_15.xlsx&amp;sheet=U0&amp;row=3419&amp;col=7&amp;number=0.0939&amp;sourceID=14","0.0939")</f>
        <v>0.0939</v>
      </c>
    </row>
    <row r="3420" spans="1:7">
      <c r="A3420" s="3"/>
      <c r="B3420" s="3"/>
      <c r="C3420" s="3"/>
      <c r="D3420" s="3"/>
      <c r="E3420" s="3">
        <v>17</v>
      </c>
      <c r="F3420" s="4" t="str">
        <f>HYPERLINK("http://141.218.60.56/~jnz1568/getInfo.php?workbook=18_15.xlsx&amp;sheet=U0&amp;row=3420&amp;col=6&amp;number=4.6&amp;sourceID=14","4.6")</f>
        <v>4.6</v>
      </c>
      <c r="G3420" s="4" t="str">
        <f>HYPERLINK("http://141.218.60.56/~jnz1568/getInfo.php?workbook=18_15.xlsx&amp;sheet=U0&amp;row=3420&amp;col=7&amp;number=0.0998&amp;sourceID=14","0.0998")</f>
        <v>0.0998</v>
      </c>
    </row>
    <row r="3421" spans="1:7">
      <c r="A3421" s="3"/>
      <c r="B3421" s="3"/>
      <c r="C3421" s="3"/>
      <c r="D3421" s="3"/>
      <c r="E3421" s="3">
        <v>18</v>
      </c>
      <c r="F3421" s="4" t="str">
        <f>HYPERLINK("http://141.218.60.56/~jnz1568/getInfo.php?workbook=18_15.xlsx&amp;sheet=U0&amp;row=3421&amp;col=6&amp;number=4.7&amp;sourceID=14","4.7")</f>
        <v>4.7</v>
      </c>
      <c r="G3421" s="4" t="str">
        <f>HYPERLINK("http://141.218.60.56/~jnz1568/getInfo.php?workbook=18_15.xlsx&amp;sheet=U0&amp;row=3421&amp;col=7&amp;number=0.106&amp;sourceID=14","0.106")</f>
        <v>0.106</v>
      </c>
    </row>
    <row r="3422" spans="1:7">
      <c r="A3422" s="3"/>
      <c r="B3422" s="3"/>
      <c r="C3422" s="3"/>
      <c r="D3422" s="3"/>
      <c r="E3422" s="3">
        <v>19</v>
      </c>
      <c r="F3422" s="4" t="str">
        <f>HYPERLINK("http://141.218.60.56/~jnz1568/getInfo.php?workbook=18_15.xlsx&amp;sheet=U0&amp;row=3422&amp;col=6&amp;number=4.8&amp;sourceID=14","4.8")</f>
        <v>4.8</v>
      </c>
      <c r="G3422" s="4" t="str">
        <f>HYPERLINK("http://141.218.60.56/~jnz1568/getInfo.php?workbook=18_15.xlsx&amp;sheet=U0&amp;row=3422&amp;col=7&amp;number=0.114&amp;sourceID=14","0.114")</f>
        <v>0.114</v>
      </c>
    </row>
    <row r="3423" spans="1:7">
      <c r="A3423" s="3"/>
      <c r="B3423" s="3"/>
      <c r="C3423" s="3"/>
      <c r="D3423" s="3"/>
      <c r="E3423" s="3">
        <v>20</v>
      </c>
      <c r="F3423" s="4" t="str">
        <f>HYPERLINK("http://141.218.60.56/~jnz1568/getInfo.php?workbook=18_15.xlsx&amp;sheet=U0&amp;row=3423&amp;col=6&amp;number=4.9&amp;sourceID=14","4.9")</f>
        <v>4.9</v>
      </c>
      <c r="G3423" s="4" t="str">
        <f>HYPERLINK("http://141.218.60.56/~jnz1568/getInfo.php?workbook=18_15.xlsx&amp;sheet=U0&amp;row=3423&amp;col=7&amp;number=0.122&amp;sourceID=14","0.122")</f>
        <v>0.122</v>
      </c>
    </row>
    <row r="3424" spans="1:7">
      <c r="A3424" s="3">
        <v>18</v>
      </c>
      <c r="B3424" s="3">
        <v>15</v>
      </c>
      <c r="C3424" s="3">
        <v>20</v>
      </c>
      <c r="D3424" s="3">
        <v>25</v>
      </c>
      <c r="E3424" s="3">
        <v>1</v>
      </c>
      <c r="F3424" s="4" t="str">
        <f>HYPERLINK("http://141.218.60.56/~jnz1568/getInfo.php?workbook=18_15.xlsx&amp;sheet=U0&amp;row=3424&amp;col=6&amp;number=3&amp;sourceID=14","3")</f>
        <v>3</v>
      </c>
      <c r="G3424" s="4" t="str">
        <f>HYPERLINK("http://141.218.60.56/~jnz1568/getInfo.php?workbook=18_15.xlsx&amp;sheet=U0&amp;row=3424&amp;col=7&amp;number=0.198&amp;sourceID=14","0.198")</f>
        <v>0.198</v>
      </c>
    </row>
    <row r="3425" spans="1:7">
      <c r="A3425" s="3"/>
      <c r="B3425" s="3"/>
      <c r="C3425" s="3"/>
      <c r="D3425" s="3"/>
      <c r="E3425" s="3">
        <v>2</v>
      </c>
      <c r="F3425" s="4" t="str">
        <f>HYPERLINK("http://141.218.60.56/~jnz1568/getInfo.php?workbook=18_15.xlsx&amp;sheet=U0&amp;row=3425&amp;col=6&amp;number=3.1&amp;sourceID=14","3.1")</f>
        <v>3.1</v>
      </c>
      <c r="G3425" s="4" t="str">
        <f>HYPERLINK("http://141.218.60.56/~jnz1568/getInfo.php?workbook=18_15.xlsx&amp;sheet=U0&amp;row=3425&amp;col=7&amp;number=0.197&amp;sourceID=14","0.197")</f>
        <v>0.197</v>
      </c>
    </row>
    <row r="3426" spans="1:7">
      <c r="A3426" s="3"/>
      <c r="B3426" s="3"/>
      <c r="C3426" s="3"/>
      <c r="D3426" s="3"/>
      <c r="E3426" s="3">
        <v>3</v>
      </c>
      <c r="F3426" s="4" t="str">
        <f>HYPERLINK("http://141.218.60.56/~jnz1568/getInfo.php?workbook=18_15.xlsx&amp;sheet=U0&amp;row=3426&amp;col=6&amp;number=3.2&amp;sourceID=14","3.2")</f>
        <v>3.2</v>
      </c>
      <c r="G3426" s="4" t="str">
        <f>HYPERLINK("http://141.218.60.56/~jnz1568/getInfo.php?workbook=18_15.xlsx&amp;sheet=U0&amp;row=3426&amp;col=7&amp;number=0.196&amp;sourceID=14","0.196")</f>
        <v>0.196</v>
      </c>
    </row>
    <row r="3427" spans="1:7">
      <c r="A3427" s="3"/>
      <c r="B3427" s="3"/>
      <c r="C3427" s="3"/>
      <c r="D3427" s="3"/>
      <c r="E3427" s="3">
        <v>4</v>
      </c>
      <c r="F3427" s="4" t="str">
        <f>HYPERLINK("http://141.218.60.56/~jnz1568/getInfo.php?workbook=18_15.xlsx&amp;sheet=U0&amp;row=3427&amp;col=6&amp;number=3.3&amp;sourceID=14","3.3")</f>
        <v>3.3</v>
      </c>
      <c r="G3427" s="4" t="str">
        <f>HYPERLINK("http://141.218.60.56/~jnz1568/getInfo.php?workbook=18_15.xlsx&amp;sheet=U0&amp;row=3427&amp;col=7&amp;number=0.195&amp;sourceID=14","0.195")</f>
        <v>0.195</v>
      </c>
    </row>
    <row r="3428" spans="1:7">
      <c r="A3428" s="3"/>
      <c r="B3428" s="3"/>
      <c r="C3428" s="3"/>
      <c r="D3428" s="3"/>
      <c r="E3428" s="3">
        <v>5</v>
      </c>
      <c r="F3428" s="4" t="str">
        <f>HYPERLINK("http://141.218.60.56/~jnz1568/getInfo.php?workbook=18_15.xlsx&amp;sheet=U0&amp;row=3428&amp;col=6&amp;number=3.4&amp;sourceID=14","3.4")</f>
        <v>3.4</v>
      </c>
      <c r="G3428" s="4" t="str">
        <f>HYPERLINK("http://141.218.60.56/~jnz1568/getInfo.php?workbook=18_15.xlsx&amp;sheet=U0&amp;row=3428&amp;col=7&amp;number=0.193&amp;sourceID=14","0.193")</f>
        <v>0.193</v>
      </c>
    </row>
    <row r="3429" spans="1:7">
      <c r="A3429" s="3"/>
      <c r="B3429" s="3"/>
      <c r="C3429" s="3"/>
      <c r="D3429" s="3"/>
      <c r="E3429" s="3">
        <v>6</v>
      </c>
      <c r="F3429" s="4" t="str">
        <f>HYPERLINK("http://141.218.60.56/~jnz1568/getInfo.php?workbook=18_15.xlsx&amp;sheet=U0&amp;row=3429&amp;col=6&amp;number=3.5&amp;sourceID=14","3.5")</f>
        <v>3.5</v>
      </c>
      <c r="G3429" s="4" t="str">
        <f>HYPERLINK("http://141.218.60.56/~jnz1568/getInfo.php?workbook=18_15.xlsx&amp;sheet=U0&amp;row=3429&amp;col=7&amp;number=0.191&amp;sourceID=14","0.191")</f>
        <v>0.191</v>
      </c>
    </row>
    <row r="3430" spans="1:7">
      <c r="A3430" s="3"/>
      <c r="B3430" s="3"/>
      <c r="C3430" s="3"/>
      <c r="D3430" s="3"/>
      <c r="E3430" s="3">
        <v>7</v>
      </c>
      <c r="F3430" s="4" t="str">
        <f>HYPERLINK("http://141.218.60.56/~jnz1568/getInfo.php?workbook=18_15.xlsx&amp;sheet=U0&amp;row=3430&amp;col=6&amp;number=3.6&amp;sourceID=14","3.6")</f>
        <v>3.6</v>
      </c>
      <c r="G3430" s="4" t="str">
        <f>HYPERLINK("http://141.218.60.56/~jnz1568/getInfo.php?workbook=18_15.xlsx&amp;sheet=U0&amp;row=3430&amp;col=7&amp;number=0.189&amp;sourceID=14","0.189")</f>
        <v>0.189</v>
      </c>
    </row>
    <row r="3431" spans="1:7">
      <c r="A3431" s="3"/>
      <c r="B3431" s="3"/>
      <c r="C3431" s="3"/>
      <c r="D3431" s="3"/>
      <c r="E3431" s="3">
        <v>8</v>
      </c>
      <c r="F3431" s="4" t="str">
        <f>HYPERLINK("http://141.218.60.56/~jnz1568/getInfo.php?workbook=18_15.xlsx&amp;sheet=U0&amp;row=3431&amp;col=6&amp;number=3.7&amp;sourceID=14","3.7")</f>
        <v>3.7</v>
      </c>
      <c r="G3431" s="4" t="str">
        <f>HYPERLINK("http://141.218.60.56/~jnz1568/getInfo.php?workbook=18_15.xlsx&amp;sheet=U0&amp;row=3431&amp;col=7&amp;number=0.186&amp;sourceID=14","0.186")</f>
        <v>0.186</v>
      </c>
    </row>
    <row r="3432" spans="1:7">
      <c r="A3432" s="3"/>
      <c r="B3432" s="3"/>
      <c r="C3432" s="3"/>
      <c r="D3432" s="3"/>
      <c r="E3432" s="3">
        <v>9</v>
      </c>
      <c r="F3432" s="4" t="str">
        <f>HYPERLINK("http://141.218.60.56/~jnz1568/getInfo.php?workbook=18_15.xlsx&amp;sheet=U0&amp;row=3432&amp;col=6&amp;number=3.8&amp;sourceID=14","3.8")</f>
        <v>3.8</v>
      </c>
      <c r="G3432" s="4" t="str">
        <f>HYPERLINK("http://141.218.60.56/~jnz1568/getInfo.php?workbook=18_15.xlsx&amp;sheet=U0&amp;row=3432&amp;col=7&amp;number=0.184&amp;sourceID=14","0.184")</f>
        <v>0.184</v>
      </c>
    </row>
    <row r="3433" spans="1:7">
      <c r="A3433" s="3"/>
      <c r="B3433" s="3"/>
      <c r="C3433" s="3"/>
      <c r="D3433" s="3"/>
      <c r="E3433" s="3">
        <v>10</v>
      </c>
      <c r="F3433" s="4" t="str">
        <f>HYPERLINK("http://141.218.60.56/~jnz1568/getInfo.php?workbook=18_15.xlsx&amp;sheet=U0&amp;row=3433&amp;col=6&amp;number=3.9&amp;sourceID=14","3.9")</f>
        <v>3.9</v>
      </c>
      <c r="G3433" s="4" t="str">
        <f>HYPERLINK("http://141.218.60.56/~jnz1568/getInfo.php?workbook=18_15.xlsx&amp;sheet=U0&amp;row=3433&amp;col=7&amp;number=0.183&amp;sourceID=14","0.183")</f>
        <v>0.183</v>
      </c>
    </row>
    <row r="3434" spans="1:7">
      <c r="A3434" s="3"/>
      <c r="B3434" s="3"/>
      <c r="C3434" s="3"/>
      <c r="D3434" s="3"/>
      <c r="E3434" s="3">
        <v>11</v>
      </c>
      <c r="F3434" s="4" t="str">
        <f>HYPERLINK("http://141.218.60.56/~jnz1568/getInfo.php?workbook=18_15.xlsx&amp;sheet=U0&amp;row=3434&amp;col=6&amp;number=4&amp;sourceID=14","4")</f>
        <v>4</v>
      </c>
      <c r="G3434" s="4" t="str">
        <f>HYPERLINK("http://141.218.60.56/~jnz1568/getInfo.php?workbook=18_15.xlsx&amp;sheet=U0&amp;row=3434&amp;col=7&amp;number=0.185&amp;sourceID=14","0.185")</f>
        <v>0.185</v>
      </c>
    </row>
    <row r="3435" spans="1:7">
      <c r="A3435" s="3"/>
      <c r="B3435" s="3"/>
      <c r="C3435" s="3"/>
      <c r="D3435" s="3"/>
      <c r="E3435" s="3">
        <v>12</v>
      </c>
      <c r="F3435" s="4" t="str">
        <f>HYPERLINK("http://141.218.60.56/~jnz1568/getInfo.php?workbook=18_15.xlsx&amp;sheet=U0&amp;row=3435&amp;col=6&amp;number=4.1&amp;sourceID=14","4.1")</f>
        <v>4.1</v>
      </c>
      <c r="G3435" s="4" t="str">
        <f>HYPERLINK("http://141.218.60.56/~jnz1568/getInfo.php?workbook=18_15.xlsx&amp;sheet=U0&amp;row=3435&amp;col=7&amp;number=0.19&amp;sourceID=14","0.19")</f>
        <v>0.19</v>
      </c>
    </row>
    <row r="3436" spans="1:7">
      <c r="A3436" s="3"/>
      <c r="B3436" s="3"/>
      <c r="C3436" s="3"/>
      <c r="D3436" s="3"/>
      <c r="E3436" s="3">
        <v>13</v>
      </c>
      <c r="F3436" s="4" t="str">
        <f>HYPERLINK("http://141.218.60.56/~jnz1568/getInfo.php?workbook=18_15.xlsx&amp;sheet=U0&amp;row=3436&amp;col=6&amp;number=4.2&amp;sourceID=14","4.2")</f>
        <v>4.2</v>
      </c>
      <c r="G3436" s="4" t="str">
        <f>HYPERLINK("http://141.218.60.56/~jnz1568/getInfo.php?workbook=18_15.xlsx&amp;sheet=U0&amp;row=3436&amp;col=7&amp;number=0.198&amp;sourceID=14","0.198")</f>
        <v>0.198</v>
      </c>
    </row>
    <row r="3437" spans="1:7">
      <c r="A3437" s="3"/>
      <c r="B3437" s="3"/>
      <c r="C3437" s="3"/>
      <c r="D3437" s="3"/>
      <c r="E3437" s="3">
        <v>14</v>
      </c>
      <c r="F3437" s="4" t="str">
        <f>HYPERLINK("http://141.218.60.56/~jnz1568/getInfo.php?workbook=18_15.xlsx&amp;sheet=U0&amp;row=3437&amp;col=6&amp;number=4.3&amp;sourceID=14","4.3")</f>
        <v>4.3</v>
      </c>
      <c r="G3437" s="4" t="str">
        <f>HYPERLINK("http://141.218.60.56/~jnz1568/getInfo.php?workbook=18_15.xlsx&amp;sheet=U0&amp;row=3437&amp;col=7&amp;number=0.21&amp;sourceID=14","0.21")</f>
        <v>0.21</v>
      </c>
    </row>
    <row r="3438" spans="1:7">
      <c r="A3438" s="3"/>
      <c r="B3438" s="3"/>
      <c r="C3438" s="3"/>
      <c r="D3438" s="3"/>
      <c r="E3438" s="3">
        <v>15</v>
      </c>
      <c r="F3438" s="4" t="str">
        <f>HYPERLINK("http://141.218.60.56/~jnz1568/getInfo.php?workbook=18_15.xlsx&amp;sheet=U0&amp;row=3438&amp;col=6&amp;number=4.4&amp;sourceID=14","4.4")</f>
        <v>4.4</v>
      </c>
      <c r="G3438" s="4" t="str">
        <f>HYPERLINK("http://141.218.60.56/~jnz1568/getInfo.php?workbook=18_15.xlsx&amp;sheet=U0&amp;row=3438&amp;col=7&amp;number=0.224&amp;sourceID=14","0.224")</f>
        <v>0.224</v>
      </c>
    </row>
    <row r="3439" spans="1:7">
      <c r="A3439" s="3"/>
      <c r="B3439" s="3"/>
      <c r="C3439" s="3"/>
      <c r="D3439" s="3"/>
      <c r="E3439" s="3">
        <v>16</v>
      </c>
      <c r="F3439" s="4" t="str">
        <f>HYPERLINK("http://141.218.60.56/~jnz1568/getInfo.php?workbook=18_15.xlsx&amp;sheet=U0&amp;row=3439&amp;col=6&amp;number=4.5&amp;sourceID=14","4.5")</f>
        <v>4.5</v>
      </c>
      <c r="G3439" s="4" t="str">
        <f>HYPERLINK("http://141.218.60.56/~jnz1568/getInfo.php?workbook=18_15.xlsx&amp;sheet=U0&amp;row=3439&amp;col=7&amp;number=0.238&amp;sourceID=14","0.238")</f>
        <v>0.238</v>
      </c>
    </row>
    <row r="3440" spans="1:7">
      <c r="A3440" s="3"/>
      <c r="B3440" s="3"/>
      <c r="C3440" s="3"/>
      <c r="D3440" s="3"/>
      <c r="E3440" s="3">
        <v>17</v>
      </c>
      <c r="F3440" s="4" t="str">
        <f>HYPERLINK("http://141.218.60.56/~jnz1568/getInfo.php?workbook=18_15.xlsx&amp;sheet=U0&amp;row=3440&amp;col=6&amp;number=4.6&amp;sourceID=14","4.6")</f>
        <v>4.6</v>
      </c>
      <c r="G3440" s="4" t="str">
        <f>HYPERLINK("http://141.218.60.56/~jnz1568/getInfo.php?workbook=18_15.xlsx&amp;sheet=U0&amp;row=3440&amp;col=7&amp;number=0.253&amp;sourceID=14","0.253")</f>
        <v>0.253</v>
      </c>
    </row>
    <row r="3441" spans="1:7">
      <c r="A3441" s="3"/>
      <c r="B3441" s="3"/>
      <c r="C3441" s="3"/>
      <c r="D3441" s="3"/>
      <c r="E3441" s="3">
        <v>18</v>
      </c>
      <c r="F3441" s="4" t="str">
        <f>HYPERLINK("http://141.218.60.56/~jnz1568/getInfo.php?workbook=18_15.xlsx&amp;sheet=U0&amp;row=3441&amp;col=6&amp;number=4.7&amp;sourceID=14","4.7")</f>
        <v>4.7</v>
      </c>
      <c r="G3441" s="4" t="str">
        <f>HYPERLINK("http://141.218.60.56/~jnz1568/getInfo.php?workbook=18_15.xlsx&amp;sheet=U0&amp;row=3441&amp;col=7&amp;number=0.268&amp;sourceID=14","0.268")</f>
        <v>0.268</v>
      </c>
    </row>
    <row r="3442" spans="1:7">
      <c r="A3442" s="3"/>
      <c r="B3442" s="3"/>
      <c r="C3442" s="3"/>
      <c r="D3442" s="3"/>
      <c r="E3442" s="3">
        <v>19</v>
      </c>
      <c r="F3442" s="4" t="str">
        <f>HYPERLINK("http://141.218.60.56/~jnz1568/getInfo.php?workbook=18_15.xlsx&amp;sheet=U0&amp;row=3442&amp;col=6&amp;number=4.8&amp;sourceID=14","4.8")</f>
        <v>4.8</v>
      </c>
      <c r="G3442" s="4" t="str">
        <f>HYPERLINK("http://141.218.60.56/~jnz1568/getInfo.php?workbook=18_15.xlsx&amp;sheet=U0&amp;row=3442&amp;col=7&amp;number=0.284&amp;sourceID=14","0.284")</f>
        <v>0.284</v>
      </c>
    </row>
    <row r="3443" spans="1:7">
      <c r="A3443" s="3"/>
      <c r="B3443" s="3"/>
      <c r="C3443" s="3"/>
      <c r="D3443" s="3"/>
      <c r="E3443" s="3">
        <v>20</v>
      </c>
      <c r="F3443" s="4" t="str">
        <f>HYPERLINK("http://141.218.60.56/~jnz1568/getInfo.php?workbook=18_15.xlsx&amp;sheet=U0&amp;row=3443&amp;col=6&amp;number=4.9&amp;sourceID=14","4.9")</f>
        <v>4.9</v>
      </c>
      <c r="G3443" s="4" t="str">
        <f>HYPERLINK("http://141.218.60.56/~jnz1568/getInfo.php?workbook=18_15.xlsx&amp;sheet=U0&amp;row=3443&amp;col=7&amp;number=0.297&amp;sourceID=14","0.297")</f>
        <v>0.297</v>
      </c>
    </row>
    <row r="3444" spans="1:7">
      <c r="A3444" s="3">
        <v>18</v>
      </c>
      <c r="B3444" s="3">
        <v>15</v>
      </c>
      <c r="C3444" s="3">
        <v>21</v>
      </c>
      <c r="D3444" s="3">
        <v>25</v>
      </c>
      <c r="E3444" s="3">
        <v>1</v>
      </c>
      <c r="F3444" s="4" t="str">
        <f>HYPERLINK("http://141.218.60.56/~jnz1568/getInfo.php?workbook=18_15.xlsx&amp;sheet=U0&amp;row=3444&amp;col=6&amp;number=3&amp;sourceID=14","3")</f>
        <v>3</v>
      </c>
      <c r="G3444" s="4" t="str">
        <f>HYPERLINK("http://141.218.60.56/~jnz1568/getInfo.php?workbook=18_15.xlsx&amp;sheet=U0&amp;row=3444&amp;col=7&amp;number=0.434&amp;sourceID=14","0.434")</f>
        <v>0.434</v>
      </c>
    </row>
    <row r="3445" spans="1:7">
      <c r="A3445" s="3"/>
      <c r="B3445" s="3"/>
      <c r="C3445" s="3"/>
      <c r="D3445" s="3"/>
      <c r="E3445" s="3">
        <v>2</v>
      </c>
      <c r="F3445" s="4" t="str">
        <f>HYPERLINK("http://141.218.60.56/~jnz1568/getInfo.php?workbook=18_15.xlsx&amp;sheet=U0&amp;row=3445&amp;col=6&amp;number=3.1&amp;sourceID=14","3.1")</f>
        <v>3.1</v>
      </c>
      <c r="G3445" s="4" t="str">
        <f>HYPERLINK("http://141.218.60.56/~jnz1568/getInfo.php?workbook=18_15.xlsx&amp;sheet=U0&amp;row=3445&amp;col=7&amp;number=0.431&amp;sourceID=14","0.431")</f>
        <v>0.431</v>
      </c>
    </row>
    <row r="3446" spans="1:7">
      <c r="A3446" s="3"/>
      <c r="B3446" s="3"/>
      <c r="C3446" s="3"/>
      <c r="D3446" s="3"/>
      <c r="E3446" s="3">
        <v>3</v>
      </c>
      <c r="F3446" s="4" t="str">
        <f>HYPERLINK("http://141.218.60.56/~jnz1568/getInfo.php?workbook=18_15.xlsx&amp;sheet=U0&amp;row=3446&amp;col=6&amp;number=3.2&amp;sourceID=14","3.2")</f>
        <v>3.2</v>
      </c>
      <c r="G3446" s="4" t="str">
        <f>HYPERLINK("http://141.218.60.56/~jnz1568/getInfo.php?workbook=18_15.xlsx&amp;sheet=U0&amp;row=3446&amp;col=7&amp;number=0.428&amp;sourceID=14","0.428")</f>
        <v>0.428</v>
      </c>
    </row>
    <row r="3447" spans="1:7">
      <c r="A3447" s="3"/>
      <c r="B3447" s="3"/>
      <c r="C3447" s="3"/>
      <c r="D3447" s="3"/>
      <c r="E3447" s="3">
        <v>4</v>
      </c>
      <c r="F3447" s="4" t="str">
        <f>HYPERLINK("http://141.218.60.56/~jnz1568/getInfo.php?workbook=18_15.xlsx&amp;sheet=U0&amp;row=3447&amp;col=6&amp;number=3.3&amp;sourceID=14","3.3")</f>
        <v>3.3</v>
      </c>
      <c r="G3447" s="4" t="str">
        <f>HYPERLINK("http://141.218.60.56/~jnz1568/getInfo.php?workbook=18_15.xlsx&amp;sheet=U0&amp;row=3447&amp;col=7&amp;number=0.424&amp;sourceID=14","0.424")</f>
        <v>0.424</v>
      </c>
    </row>
    <row r="3448" spans="1:7">
      <c r="A3448" s="3"/>
      <c r="B3448" s="3"/>
      <c r="C3448" s="3"/>
      <c r="D3448" s="3"/>
      <c r="E3448" s="3">
        <v>5</v>
      </c>
      <c r="F3448" s="4" t="str">
        <f>HYPERLINK("http://141.218.60.56/~jnz1568/getInfo.php?workbook=18_15.xlsx&amp;sheet=U0&amp;row=3448&amp;col=6&amp;number=3.4&amp;sourceID=14","3.4")</f>
        <v>3.4</v>
      </c>
      <c r="G3448" s="4" t="str">
        <f>HYPERLINK("http://141.218.60.56/~jnz1568/getInfo.php?workbook=18_15.xlsx&amp;sheet=U0&amp;row=3448&amp;col=7&amp;number=0.419&amp;sourceID=14","0.419")</f>
        <v>0.419</v>
      </c>
    </row>
    <row r="3449" spans="1:7">
      <c r="A3449" s="3"/>
      <c r="B3449" s="3"/>
      <c r="C3449" s="3"/>
      <c r="D3449" s="3"/>
      <c r="E3449" s="3">
        <v>6</v>
      </c>
      <c r="F3449" s="4" t="str">
        <f>HYPERLINK("http://141.218.60.56/~jnz1568/getInfo.php?workbook=18_15.xlsx&amp;sheet=U0&amp;row=3449&amp;col=6&amp;number=3.5&amp;sourceID=14","3.5")</f>
        <v>3.5</v>
      </c>
      <c r="G3449" s="4" t="str">
        <f>HYPERLINK("http://141.218.60.56/~jnz1568/getInfo.php?workbook=18_15.xlsx&amp;sheet=U0&amp;row=3449&amp;col=7&amp;number=0.413&amp;sourceID=14","0.413")</f>
        <v>0.413</v>
      </c>
    </row>
    <row r="3450" spans="1:7">
      <c r="A3450" s="3"/>
      <c r="B3450" s="3"/>
      <c r="C3450" s="3"/>
      <c r="D3450" s="3"/>
      <c r="E3450" s="3">
        <v>7</v>
      </c>
      <c r="F3450" s="4" t="str">
        <f>HYPERLINK("http://141.218.60.56/~jnz1568/getInfo.php?workbook=18_15.xlsx&amp;sheet=U0&amp;row=3450&amp;col=6&amp;number=3.6&amp;sourceID=14","3.6")</f>
        <v>3.6</v>
      </c>
      <c r="G3450" s="4" t="str">
        <f>HYPERLINK("http://141.218.60.56/~jnz1568/getInfo.php?workbook=18_15.xlsx&amp;sheet=U0&amp;row=3450&amp;col=7&amp;number=0.406&amp;sourceID=14","0.406")</f>
        <v>0.406</v>
      </c>
    </row>
    <row r="3451" spans="1:7">
      <c r="A3451" s="3"/>
      <c r="B3451" s="3"/>
      <c r="C3451" s="3"/>
      <c r="D3451" s="3"/>
      <c r="E3451" s="3">
        <v>8</v>
      </c>
      <c r="F3451" s="4" t="str">
        <f>HYPERLINK("http://141.218.60.56/~jnz1568/getInfo.php?workbook=18_15.xlsx&amp;sheet=U0&amp;row=3451&amp;col=6&amp;number=3.7&amp;sourceID=14","3.7")</f>
        <v>3.7</v>
      </c>
      <c r="G3451" s="4" t="str">
        <f>HYPERLINK("http://141.218.60.56/~jnz1568/getInfo.php?workbook=18_15.xlsx&amp;sheet=U0&amp;row=3451&amp;col=7&amp;number=0.4&amp;sourceID=14","0.4")</f>
        <v>0.4</v>
      </c>
    </row>
    <row r="3452" spans="1:7">
      <c r="A3452" s="3"/>
      <c r="B3452" s="3"/>
      <c r="C3452" s="3"/>
      <c r="D3452" s="3"/>
      <c r="E3452" s="3">
        <v>9</v>
      </c>
      <c r="F3452" s="4" t="str">
        <f>HYPERLINK("http://141.218.60.56/~jnz1568/getInfo.php?workbook=18_15.xlsx&amp;sheet=U0&amp;row=3452&amp;col=6&amp;number=3.8&amp;sourceID=14","3.8")</f>
        <v>3.8</v>
      </c>
      <c r="G3452" s="4" t="str">
        <f>HYPERLINK("http://141.218.60.56/~jnz1568/getInfo.php?workbook=18_15.xlsx&amp;sheet=U0&amp;row=3452&amp;col=7&amp;number=0.394&amp;sourceID=14","0.394")</f>
        <v>0.394</v>
      </c>
    </row>
    <row r="3453" spans="1:7">
      <c r="A3453" s="3"/>
      <c r="B3453" s="3"/>
      <c r="C3453" s="3"/>
      <c r="D3453" s="3"/>
      <c r="E3453" s="3">
        <v>10</v>
      </c>
      <c r="F3453" s="4" t="str">
        <f>HYPERLINK("http://141.218.60.56/~jnz1568/getInfo.php?workbook=18_15.xlsx&amp;sheet=U0&amp;row=3453&amp;col=6&amp;number=3.9&amp;sourceID=14","3.9")</f>
        <v>3.9</v>
      </c>
      <c r="G3453" s="4" t="str">
        <f>HYPERLINK("http://141.218.60.56/~jnz1568/getInfo.php?workbook=18_15.xlsx&amp;sheet=U0&amp;row=3453&amp;col=7&amp;number=0.39&amp;sourceID=14","0.39")</f>
        <v>0.39</v>
      </c>
    </row>
    <row r="3454" spans="1:7">
      <c r="A3454" s="3"/>
      <c r="B3454" s="3"/>
      <c r="C3454" s="3"/>
      <c r="D3454" s="3"/>
      <c r="E3454" s="3">
        <v>11</v>
      </c>
      <c r="F3454" s="4" t="str">
        <f>HYPERLINK("http://141.218.60.56/~jnz1568/getInfo.php?workbook=18_15.xlsx&amp;sheet=U0&amp;row=3454&amp;col=6&amp;number=4&amp;sourceID=14","4")</f>
        <v>4</v>
      </c>
      <c r="G3454" s="4" t="str">
        <f>HYPERLINK("http://141.218.60.56/~jnz1568/getInfo.php?workbook=18_15.xlsx&amp;sheet=U0&amp;row=3454&amp;col=7&amp;number=0.39&amp;sourceID=14","0.39")</f>
        <v>0.39</v>
      </c>
    </row>
    <row r="3455" spans="1:7">
      <c r="A3455" s="3"/>
      <c r="B3455" s="3"/>
      <c r="C3455" s="3"/>
      <c r="D3455" s="3"/>
      <c r="E3455" s="3">
        <v>12</v>
      </c>
      <c r="F3455" s="4" t="str">
        <f>HYPERLINK("http://141.218.60.56/~jnz1568/getInfo.php?workbook=18_15.xlsx&amp;sheet=U0&amp;row=3455&amp;col=6&amp;number=4.1&amp;sourceID=14","4.1")</f>
        <v>4.1</v>
      </c>
      <c r="G3455" s="4" t="str">
        <f>HYPERLINK("http://141.218.60.56/~jnz1568/getInfo.php?workbook=18_15.xlsx&amp;sheet=U0&amp;row=3455&amp;col=7&amp;number=0.395&amp;sourceID=14","0.395")</f>
        <v>0.395</v>
      </c>
    </row>
    <row r="3456" spans="1:7">
      <c r="A3456" s="3"/>
      <c r="B3456" s="3"/>
      <c r="C3456" s="3"/>
      <c r="D3456" s="3"/>
      <c r="E3456" s="3">
        <v>13</v>
      </c>
      <c r="F3456" s="4" t="str">
        <f>HYPERLINK("http://141.218.60.56/~jnz1568/getInfo.php?workbook=18_15.xlsx&amp;sheet=U0&amp;row=3456&amp;col=6&amp;number=4.2&amp;sourceID=14","4.2")</f>
        <v>4.2</v>
      </c>
      <c r="G3456" s="4" t="str">
        <f>HYPERLINK("http://141.218.60.56/~jnz1568/getInfo.php?workbook=18_15.xlsx&amp;sheet=U0&amp;row=3456&amp;col=7&amp;number=0.406&amp;sourceID=14","0.406")</f>
        <v>0.406</v>
      </c>
    </row>
    <row r="3457" spans="1:7">
      <c r="A3457" s="3"/>
      <c r="B3457" s="3"/>
      <c r="C3457" s="3"/>
      <c r="D3457" s="3"/>
      <c r="E3457" s="3">
        <v>14</v>
      </c>
      <c r="F3457" s="4" t="str">
        <f>HYPERLINK("http://141.218.60.56/~jnz1568/getInfo.php?workbook=18_15.xlsx&amp;sheet=U0&amp;row=3457&amp;col=6&amp;number=4.3&amp;sourceID=14","4.3")</f>
        <v>4.3</v>
      </c>
      <c r="G3457" s="4" t="str">
        <f>HYPERLINK("http://141.218.60.56/~jnz1568/getInfo.php?workbook=18_15.xlsx&amp;sheet=U0&amp;row=3457&amp;col=7&amp;number=0.42&amp;sourceID=14","0.42")</f>
        <v>0.42</v>
      </c>
    </row>
    <row r="3458" spans="1:7">
      <c r="A3458" s="3"/>
      <c r="B3458" s="3"/>
      <c r="C3458" s="3"/>
      <c r="D3458" s="3"/>
      <c r="E3458" s="3">
        <v>15</v>
      </c>
      <c r="F3458" s="4" t="str">
        <f>HYPERLINK("http://141.218.60.56/~jnz1568/getInfo.php?workbook=18_15.xlsx&amp;sheet=U0&amp;row=3458&amp;col=6&amp;number=4.4&amp;sourceID=14","4.4")</f>
        <v>4.4</v>
      </c>
      <c r="G3458" s="4" t="str">
        <f>HYPERLINK("http://141.218.60.56/~jnz1568/getInfo.php?workbook=18_15.xlsx&amp;sheet=U0&amp;row=3458&amp;col=7&amp;number=0.439&amp;sourceID=14","0.439")</f>
        <v>0.439</v>
      </c>
    </row>
    <row r="3459" spans="1:7">
      <c r="A3459" s="3"/>
      <c r="B3459" s="3"/>
      <c r="C3459" s="3"/>
      <c r="D3459" s="3"/>
      <c r="E3459" s="3">
        <v>16</v>
      </c>
      <c r="F3459" s="4" t="str">
        <f>HYPERLINK("http://141.218.60.56/~jnz1568/getInfo.php?workbook=18_15.xlsx&amp;sheet=U0&amp;row=3459&amp;col=6&amp;number=4.5&amp;sourceID=14","4.5")</f>
        <v>4.5</v>
      </c>
      <c r="G3459" s="4" t="str">
        <f>HYPERLINK("http://141.218.60.56/~jnz1568/getInfo.php?workbook=18_15.xlsx&amp;sheet=U0&amp;row=3459&amp;col=7&amp;number=0.464&amp;sourceID=14","0.464")</f>
        <v>0.464</v>
      </c>
    </row>
    <row r="3460" spans="1:7">
      <c r="A3460" s="3"/>
      <c r="B3460" s="3"/>
      <c r="C3460" s="3"/>
      <c r="D3460" s="3"/>
      <c r="E3460" s="3">
        <v>17</v>
      </c>
      <c r="F3460" s="4" t="str">
        <f>HYPERLINK("http://141.218.60.56/~jnz1568/getInfo.php?workbook=18_15.xlsx&amp;sheet=U0&amp;row=3460&amp;col=6&amp;number=4.6&amp;sourceID=14","4.6")</f>
        <v>4.6</v>
      </c>
      <c r="G3460" s="4" t="str">
        <f>HYPERLINK("http://141.218.60.56/~jnz1568/getInfo.php?workbook=18_15.xlsx&amp;sheet=U0&amp;row=3460&amp;col=7&amp;number=0.499&amp;sourceID=14","0.499")</f>
        <v>0.499</v>
      </c>
    </row>
    <row r="3461" spans="1:7">
      <c r="A3461" s="3"/>
      <c r="B3461" s="3"/>
      <c r="C3461" s="3"/>
      <c r="D3461" s="3"/>
      <c r="E3461" s="3">
        <v>18</v>
      </c>
      <c r="F3461" s="4" t="str">
        <f>HYPERLINK("http://141.218.60.56/~jnz1568/getInfo.php?workbook=18_15.xlsx&amp;sheet=U0&amp;row=3461&amp;col=6&amp;number=4.7&amp;sourceID=14","4.7")</f>
        <v>4.7</v>
      </c>
      <c r="G3461" s="4" t="str">
        <f>HYPERLINK("http://141.218.60.56/~jnz1568/getInfo.php?workbook=18_15.xlsx&amp;sheet=U0&amp;row=3461&amp;col=7&amp;number=0.548&amp;sourceID=14","0.548")</f>
        <v>0.548</v>
      </c>
    </row>
    <row r="3462" spans="1:7">
      <c r="A3462" s="3"/>
      <c r="B3462" s="3"/>
      <c r="C3462" s="3"/>
      <c r="D3462" s="3"/>
      <c r="E3462" s="3">
        <v>19</v>
      </c>
      <c r="F3462" s="4" t="str">
        <f>HYPERLINK("http://141.218.60.56/~jnz1568/getInfo.php?workbook=18_15.xlsx&amp;sheet=U0&amp;row=3462&amp;col=6&amp;number=4.8&amp;sourceID=14","4.8")</f>
        <v>4.8</v>
      </c>
      <c r="G3462" s="4" t="str">
        <f>HYPERLINK("http://141.218.60.56/~jnz1568/getInfo.php?workbook=18_15.xlsx&amp;sheet=U0&amp;row=3462&amp;col=7&amp;number=0.612&amp;sourceID=14","0.612")</f>
        <v>0.612</v>
      </c>
    </row>
    <row r="3463" spans="1:7">
      <c r="A3463" s="3"/>
      <c r="B3463" s="3"/>
      <c r="C3463" s="3"/>
      <c r="D3463" s="3"/>
      <c r="E3463" s="3">
        <v>20</v>
      </c>
      <c r="F3463" s="4" t="str">
        <f>HYPERLINK("http://141.218.60.56/~jnz1568/getInfo.php?workbook=18_15.xlsx&amp;sheet=U0&amp;row=3463&amp;col=6&amp;number=4.9&amp;sourceID=14","4.9")</f>
        <v>4.9</v>
      </c>
      <c r="G3463" s="4" t="str">
        <f>HYPERLINK("http://141.218.60.56/~jnz1568/getInfo.php?workbook=18_15.xlsx&amp;sheet=U0&amp;row=3463&amp;col=7&amp;number=0.679&amp;sourceID=14","0.679")</f>
        <v>0.679</v>
      </c>
    </row>
    <row r="3464" spans="1:7">
      <c r="A3464" s="3">
        <v>18</v>
      </c>
      <c r="B3464" s="3">
        <v>15</v>
      </c>
      <c r="C3464" s="3">
        <v>22</v>
      </c>
      <c r="D3464" s="3">
        <v>25</v>
      </c>
      <c r="E3464" s="3">
        <v>1</v>
      </c>
      <c r="F3464" s="4" t="str">
        <f>HYPERLINK("http://141.218.60.56/~jnz1568/getInfo.php?workbook=18_15.xlsx&amp;sheet=U0&amp;row=3464&amp;col=6&amp;number=3&amp;sourceID=14","3")</f>
        <v>3</v>
      </c>
      <c r="G3464" s="4" t="str">
        <f>HYPERLINK("http://141.218.60.56/~jnz1568/getInfo.php?workbook=18_15.xlsx&amp;sheet=U0&amp;row=3464&amp;col=7&amp;number=1.48&amp;sourceID=14","1.48")</f>
        <v>1.48</v>
      </c>
    </row>
    <row r="3465" spans="1:7">
      <c r="A3465" s="3"/>
      <c r="B3465" s="3"/>
      <c r="C3465" s="3"/>
      <c r="D3465" s="3"/>
      <c r="E3465" s="3">
        <v>2</v>
      </c>
      <c r="F3465" s="4" t="str">
        <f>HYPERLINK("http://141.218.60.56/~jnz1568/getInfo.php?workbook=18_15.xlsx&amp;sheet=U0&amp;row=3465&amp;col=6&amp;number=3.1&amp;sourceID=14","3.1")</f>
        <v>3.1</v>
      </c>
      <c r="G3465" s="4" t="str">
        <f>HYPERLINK("http://141.218.60.56/~jnz1568/getInfo.php?workbook=18_15.xlsx&amp;sheet=U0&amp;row=3465&amp;col=7&amp;number=1.51&amp;sourceID=14","1.51")</f>
        <v>1.51</v>
      </c>
    </row>
    <row r="3466" spans="1:7">
      <c r="A3466" s="3"/>
      <c r="B3466" s="3"/>
      <c r="C3466" s="3"/>
      <c r="D3466" s="3"/>
      <c r="E3466" s="3">
        <v>3</v>
      </c>
      <c r="F3466" s="4" t="str">
        <f>HYPERLINK("http://141.218.60.56/~jnz1568/getInfo.php?workbook=18_15.xlsx&amp;sheet=U0&amp;row=3466&amp;col=6&amp;number=3.2&amp;sourceID=14","3.2")</f>
        <v>3.2</v>
      </c>
      <c r="G3466" s="4" t="str">
        <f>HYPERLINK("http://141.218.60.56/~jnz1568/getInfo.php?workbook=18_15.xlsx&amp;sheet=U0&amp;row=3466&amp;col=7&amp;number=1.54&amp;sourceID=14","1.54")</f>
        <v>1.54</v>
      </c>
    </row>
    <row r="3467" spans="1:7">
      <c r="A3467" s="3"/>
      <c r="B3467" s="3"/>
      <c r="C3467" s="3"/>
      <c r="D3467" s="3"/>
      <c r="E3467" s="3">
        <v>4</v>
      </c>
      <c r="F3467" s="4" t="str">
        <f>HYPERLINK("http://141.218.60.56/~jnz1568/getInfo.php?workbook=18_15.xlsx&amp;sheet=U0&amp;row=3467&amp;col=6&amp;number=3.3&amp;sourceID=14","3.3")</f>
        <v>3.3</v>
      </c>
      <c r="G3467" s="4" t="str">
        <f>HYPERLINK("http://141.218.60.56/~jnz1568/getInfo.php?workbook=18_15.xlsx&amp;sheet=U0&amp;row=3467&amp;col=7&amp;number=1.57&amp;sourceID=14","1.57")</f>
        <v>1.57</v>
      </c>
    </row>
    <row r="3468" spans="1:7">
      <c r="A3468" s="3"/>
      <c r="B3468" s="3"/>
      <c r="C3468" s="3"/>
      <c r="D3468" s="3"/>
      <c r="E3468" s="3">
        <v>5</v>
      </c>
      <c r="F3468" s="4" t="str">
        <f>HYPERLINK("http://141.218.60.56/~jnz1568/getInfo.php?workbook=18_15.xlsx&amp;sheet=U0&amp;row=3468&amp;col=6&amp;number=3.4&amp;sourceID=14","3.4")</f>
        <v>3.4</v>
      </c>
      <c r="G3468" s="4" t="str">
        <f>HYPERLINK("http://141.218.60.56/~jnz1568/getInfo.php?workbook=18_15.xlsx&amp;sheet=U0&amp;row=3468&amp;col=7&amp;number=1.62&amp;sourceID=14","1.62")</f>
        <v>1.62</v>
      </c>
    </row>
    <row r="3469" spans="1:7">
      <c r="A3469" s="3"/>
      <c r="B3469" s="3"/>
      <c r="C3469" s="3"/>
      <c r="D3469" s="3"/>
      <c r="E3469" s="3">
        <v>6</v>
      </c>
      <c r="F3469" s="4" t="str">
        <f>HYPERLINK("http://141.218.60.56/~jnz1568/getInfo.php?workbook=18_15.xlsx&amp;sheet=U0&amp;row=3469&amp;col=6&amp;number=3.5&amp;sourceID=14","3.5")</f>
        <v>3.5</v>
      </c>
      <c r="G3469" s="4" t="str">
        <f>HYPERLINK("http://141.218.60.56/~jnz1568/getInfo.php?workbook=18_15.xlsx&amp;sheet=U0&amp;row=3469&amp;col=7&amp;number=1.67&amp;sourceID=14","1.67")</f>
        <v>1.67</v>
      </c>
    </row>
    <row r="3470" spans="1:7">
      <c r="A3470" s="3"/>
      <c r="B3470" s="3"/>
      <c r="C3470" s="3"/>
      <c r="D3470" s="3"/>
      <c r="E3470" s="3">
        <v>7</v>
      </c>
      <c r="F3470" s="4" t="str">
        <f>HYPERLINK("http://141.218.60.56/~jnz1568/getInfo.php?workbook=18_15.xlsx&amp;sheet=U0&amp;row=3470&amp;col=6&amp;number=3.6&amp;sourceID=14","3.6")</f>
        <v>3.6</v>
      </c>
      <c r="G3470" s="4" t="str">
        <f>HYPERLINK("http://141.218.60.56/~jnz1568/getInfo.php?workbook=18_15.xlsx&amp;sheet=U0&amp;row=3470&amp;col=7&amp;number=1.73&amp;sourceID=14","1.73")</f>
        <v>1.73</v>
      </c>
    </row>
    <row r="3471" spans="1:7">
      <c r="A3471" s="3"/>
      <c r="B3471" s="3"/>
      <c r="C3471" s="3"/>
      <c r="D3471" s="3"/>
      <c r="E3471" s="3">
        <v>8</v>
      </c>
      <c r="F3471" s="4" t="str">
        <f>HYPERLINK("http://141.218.60.56/~jnz1568/getInfo.php?workbook=18_15.xlsx&amp;sheet=U0&amp;row=3471&amp;col=6&amp;number=3.7&amp;sourceID=14","3.7")</f>
        <v>3.7</v>
      </c>
      <c r="G3471" s="4" t="str">
        <f>HYPERLINK("http://141.218.60.56/~jnz1568/getInfo.php?workbook=18_15.xlsx&amp;sheet=U0&amp;row=3471&amp;col=7&amp;number=1.8&amp;sourceID=14","1.8")</f>
        <v>1.8</v>
      </c>
    </row>
    <row r="3472" spans="1:7">
      <c r="A3472" s="3"/>
      <c r="B3472" s="3"/>
      <c r="C3472" s="3"/>
      <c r="D3472" s="3"/>
      <c r="E3472" s="3">
        <v>9</v>
      </c>
      <c r="F3472" s="4" t="str">
        <f>HYPERLINK("http://141.218.60.56/~jnz1568/getInfo.php?workbook=18_15.xlsx&amp;sheet=U0&amp;row=3472&amp;col=6&amp;number=3.8&amp;sourceID=14","3.8")</f>
        <v>3.8</v>
      </c>
      <c r="G3472" s="4" t="str">
        <f>HYPERLINK("http://141.218.60.56/~jnz1568/getInfo.php?workbook=18_15.xlsx&amp;sheet=U0&amp;row=3472&amp;col=7&amp;number=1.87&amp;sourceID=14","1.87")</f>
        <v>1.87</v>
      </c>
    </row>
    <row r="3473" spans="1:7">
      <c r="A3473" s="3"/>
      <c r="B3473" s="3"/>
      <c r="C3473" s="3"/>
      <c r="D3473" s="3"/>
      <c r="E3473" s="3">
        <v>10</v>
      </c>
      <c r="F3473" s="4" t="str">
        <f>HYPERLINK("http://141.218.60.56/~jnz1568/getInfo.php?workbook=18_15.xlsx&amp;sheet=U0&amp;row=3473&amp;col=6&amp;number=3.9&amp;sourceID=14","3.9")</f>
        <v>3.9</v>
      </c>
      <c r="G3473" s="4" t="str">
        <f>HYPERLINK("http://141.218.60.56/~jnz1568/getInfo.php?workbook=18_15.xlsx&amp;sheet=U0&amp;row=3473&amp;col=7&amp;number=1.93&amp;sourceID=14","1.93")</f>
        <v>1.93</v>
      </c>
    </row>
    <row r="3474" spans="1:7">
      <c r="A3474" s="3"/>
      <c r="B3474" s="3"/>
      <c r="C3474" s="3"/>
      <c r="D3474" s="3"/>
      <c r="E3474" s="3">
        <v>11</v>
      </c>
      <c r="F3474" s="4" t="str">
        <f>HYPERLINK("http://141.218.60.56/~jnz1568/getInfo.php?workbook=18_15.xlsx&amp;sheet=U0&amp;row=3474&amp;col=6&amp;number=4&amp;sourceID=14","4")</f>
        <v>4</v>
      </c>
      <c r="G3474" s="4" t="str">
        <f>HYPERLINK("http://141.218.60.56/~jnz1568/getInfo.php?workbook=18_15.xlsx&amp;sheet=U0&amp;row=3474&amp;col=7&amp;number=1.98&amp;sourceID=14","1.98")</f>
        <v>1.98</v>
      </c>
    </row>
    <row r="3475" spans="1:7">
      <c r="A3475" s="3"/>
      <c r="B3475" s="3"/>
      <c r="C3475" s="3"/>
      <c r="D3475" s="3"/>
      <c r="E3475" s="3">
        <v>12</v>
      </c>
      <c r="F3475" s="4" t="str">
        <f>HYPERLINK("http://141.218.60.56/~jnz1568/getInfo.php?workbook=18_15.xlsx&amp;sheet=U0&amp;row=3475&amp;col=6&amp;number=4.1&amp;sourceID=14","4.1")</f>
        <v>4.1</v>
      </c>
      <c r="G3475" s="4" t="str">
        <f>HYPERLINK("http://141.218.60.56/~jnz1568/getInfo.php?workbook=18_15.xlsx&amp;sheet=U0&amp;row=3475&amp;col=7&amp;number=2.02&amp;sourceID=14","2.02")</f>
        <v>2.02</v>
      </c>
    </row>
    <row r="3476" spans="1:7">
      <c r="A3476" s="3"/>
      <c r="B3476" s="3"/>
      <c r="C3476" s="3"/>
      <c r="D3476" s="3"/>
      <c r="E3476" s="3">
        <v>13</v>
      </c>
      <c r="F3476" s="4" t="str">
        <f>HYPERLINK("http://141.218.60.56/~jnz1568/getInfo.php?workbook=18_15.xlsx&amp;sheet=U0&amp;row=3476&amp;col=6&amp;number=4.2&amp;sourceID=14","4.2")</f>
        <v>4.2</v>
      </c>
      <c r="G3476" s="4" t="str">
        <f>HYPERLINK("http://141.218.60.56/~jnz1568/getInfo.php?workbook=18_15.xlsx&amp;sheet=U0&amp;row=3476&amp;col=7&amp;number=2.03&amp;sourceID=14","2.03")</f>
        <v>2.03</v>
      </c>
    </row>
    <row r="3477" spans="1:7">
      <c r="A3477" s="3"/>
      <c r="B3477" s="3"/>
      <c r="C3477" s="3"/>
      <c r="D3477" s="3"/>
      <c r="E3477" s="3">
        <v>14</v>
      </c>
      <c r="F3477" s="4" t="str">
        <f>HYPERLINK("http://141.218.60.56/~jnz1568/getInfo.php?workbook=18_15.xlsx&amp;sheet=U0&amp;row=3477&amp;col=6&amp;number=4.3&amp;sourceID=14","4.3")</f>
        <v>4.3</v>
      </c>
      <c r="G3477" s="4" t="str">
        <f>HYPERLINK("http://141.218.60.56/~jnz1568/getInfo.php?workbook=18_15.xlsx&amp;sheet=U0&amp;row=3477&amp;col=7&amp;number=2.03&amp;sourceID=14","2.03")</f>
        <v>2.03</v>
      </c>
    </row>
    <row r="3478" spans="1:7">
      <c r="A3478" s="3"/>
      <c r="B3478" s="3"/>
      <c r="C3478" s="3"/>
      <c r="D3478" s="3"/>
      <c r="E3478" s="3">
        <v>15</v>
      </c>
      <c r="F3478" s="4" t="str">
        <f>HYPERLINK("http://141.218.60.56/~jnz1568/getInfo.php?workbook=18_15.xlsx&amp;sheet=U0&amp;row=3478&amp;col=6&amp;number=4.4&amp;sourceID=14","4.4")</f>
        <v>4.4</v>
      </c>
      <c r="G3478" s="4" t="str">
        <f>HYPERLINK("http://141.218.60.56/~jnz1568/getInfo.php?workbook=18_15.xlsx&amp;sheet=U0&amp;row=3478&amp;col=7&amp;number=2&amp;sourceID=14","2")</f>
        <v>2</v>
      </c>
    </row>
    <row r="3479" spans="1:7">
      <c r="A3479" s="3"/>
      <c r="B3479" s="3"/>
      <c r="C3479" s="3"/>
      <c r="D3479" s="3"/>
      <c r="E3479" s="3">
        <v>16</v>
      </c>
      <c r="F3479" s="4" t="str">
        <f>HYPERLINK("http://141.218.60.56/~jnz1568/getInfo.php?workbook=18_15.xlsx&amp;sheet=U0&amp;row=3479&amp;col=6&amp;number=4.5&amp;sourceID=14","4.5")</f>
        <v>4.5</v>
      </c>
      <c r="G3479" s="4" t="str">
        <f>HYPERLINK("http://141.218.60.56/~jnz1568/getInfo.php?workbook=18_15.xlsx&amp;sheet=U0&amp;row=3479&amp;col=7&amp;number=1.97&amp;sourceID=14","1.97")</f>
        <v>1.97</v>
      </c>
    </row>
    <row r="3480" spans="1:7">
      <c r="A3480" s="3"/>
      <c r="B3480" s="3"/>
      <c r="C3480" s="3"/>
      <c r="D3480" s="3"/>
      <c r="E3480" s="3">
        <v>17</v>
      </c>
      <c r="F3480" s="4" t="str">
        <f>HYPERLINK("http://141.218.60.56/~jnz1568/getInfo.php?workbook=18_15.xlsx&amp;sheet=U0&amp;row=3480&amp;col=6&amp;number=4.6&amp;sourceID=14","4.6")</f>
        <v>4.6</v>
      </c>
      <c r="G3480" s="4" t="str">
        <f>HYPERLINK("http://141.218.60.56/~jnz1568/getInfo.php?workbook=18_15.xlsx&amp;sheet=U0&amp;row=3480&amp;col=7&amp;number=1.93&amp;sourceID=14","1.93")</f>
        <v>1.93</v>
      </c>
    </row>
    <row r="3481" spans="1:7">
      <c r="A3481" s="3"/>
      <c r="B3481" s="3"/>
      <c r="C3481" s="3"/>
      <c r="D3481" s="3"/>
      <c r="E3481" s="3">
        <v>18</v>
      </c>
      <c r="F3481" s="4" t="str">
        <f>HYPERLINK("http://141.218.60.56/~jnz1568/getInfo.php?workbook=18_15.xlsx&amp;sheet=U0&amp;row=3481&amp;col=6&amp;number=4.7&amp;sourceID=14","4.7")</f>
        <v>4.7</v>
      </c>
      <c r="G3481" s="4" t="str">
        <f>HYPERLINK("http://141.218.60.56/~jnz1568/getInfo.php?workbook=18_15.xlsx&amp;sheet=U0&amp;row=3481&amp;col=7&amp;number=1.89&amp;sourceID=14","1.89")</f>
        <v>1.89</v>
      </c>
    </row>
    <row r="3482" spans="1:7">
      <c r="A3482" s="3"/>
      <c r="B3482" s="3"/>
      <c r="C3482" s="3"/>
      <c r="D3482" s="3"/>
      <c r="E3482" s="3">
        <v>19</v>
      </c>
      <c r="F3482" s="4" t="str">
        <f>HYPERLINK("http://141.218.60.56/~jnz1568/getInfo.php?workbook=18_15.xlsx&amp;sheet=U0&amp;row=3482&amp;col=6&amp;number=4.8&amp;sourceID=14","4.8")</f>
        <v>4.8</v>
      </c>
      <c r="G3482" s="4" t="str">
        <f>HYPERLINK("http://141.218.60.56/~jnz1568/getInfo.php?workbook=18_15.xlsx&amp;sheet=U0&amp;row=3482&amp;col=7&amp;number=1.87&amp;sourceID=14","1.87")</f>
        <v>1.87</v>
      </c>
    </row>
    <row r="3483" spans="1:7">
      <c r="A3483" s="3"/>
      <c r="B3483" s="3"/>
      <c r="C3483" s="3"/>
      <c r="D3483" s="3"/>
      <c r="E3483" s="3">
        <v>20</v>
      </c>
      <c r="F3483" s="4" t="str">
        <f>HYPERLINK("http://141.218.60.56/~jnz1568/getInfo.php?workbook=18_15.xlsx&amp;sheet=U0&amp;row=3483&amp;col=6&amp;number=4.9&amp;sourceID=14","4.9")</f>
        <v>4.9</v>
      </c>
      <c r="G3483" s="4" t="str">
        <f>HYPERLINK("http://141.218.60.56/~jnz1568/getInfo.php?workbook=18_15.xlsx&amp;sheet=U0&amp;row=3483&amp;col=7&amp;number=1.82&amp;sourceID=14","1.82")</f>
        <v>1.82</v>
      </c>
    </row>
    <row r="3484" spans="1:7">
      <c r="A3484" s="3">
        <v>18</v>
      </c>
      <c r="B3484" s="3">
        <v>15</v>
      </c>
      <c r="C3484" s="3">
        <v>23</v>
      </c>
      <c r="D3484" s="3">
        <v>25</v>
      </c>
      <c r="E3484" s="3">
        <v>1</v>
      </c>
      <c r="F3484" s="4" t="str">
        <f>HYPERLINK("http://141.218.60.56/~jnz1568/getInfo.php?workbook=18_15.xlsx&amp;sheet=U0&amp;row=3484&amp;col=6&amp;number=3&amp;sourceID=14","3")</f>
        <v>3</v>
      </c>
      <c r="G3484" s="4" t="str">
        <f>HYPERLINK("http://141.218.60.56/~jnz1568/getInfo.php?workbook=18_15.xlsx&amp;sheet=U0&amp;row=3484&amp;col=7&amp;number=2.01&amp;sourceID=14","2.01")</f>
        <v>2.01</v>
      </c>
    </row>
    <row r="3485" spans="1:7">
      <c r="A3485" s="3"/>
      <c r="B3485" s="3"/>
      <c r="C3485" s="3"/>
      <c r="D3485" s="3"/>
      <c r="E3485" s="3">
        <v>2</v>
      </c>
      <c r="F3485" s="4" t="str">
        <f>HYPERLINK("http://141.218.60.56/~jnz1568/getInfo.php?workbook=18_15.xlsx&amp;sheet=U0&amp;row=3485&amp;col=6&amp;number=3.1&amp;sourceID=14","3.1")</f>
        <v>3.1</v>
      </c>
      <c r="G3485" s="4" t="str">
        <f>HYPERLINK("http://141.218.60.56/~jnz1568/getInfo.php?workbook=18_15.xlsx&amp;sheet=U0&amp;row=3485&amp;col=7&amp;number=2.04&amp;sourceID=14","2.04")</f>
        <v>2.04</v>
      </c>
    </row>
    <row r="3486" spans="1:7">
      <c r="A3486" s="3"/>
      <c r="B3486" s="3"/>
      <c r="C3486" s="3"/>
      <c r="D3486" s="3"/>
      <c r="E3486" s="3">
        <v>3</v>
      </c>
      <c r="F3486" s="4" t="str">
        <f>HYPERLINK("http://141.218.60.56/~jnz1568/getInfo.php?workbook=18_15.xlsx&amp;sheet=U0&amp;row=3486&amp;col=6&amp;number=3.2&amp;sourceID=14","3.2")</f>
        <v>3.2</v>
      </c>
      <c r="G3486" s="4" t="str">
        <f>HYPERLINK("http://141.218.60.56/~jnz1568/getInfo.php?workbook=18_15.xlsx&amp;sheet=U0&amp;row=3486&amp;col=7&amp;number=2.09&amp;sourceID=14","2.09")</f>
        <v>2.09</v>
      </c>
    </row>
    <row r="3487" spans="1:7">
      <c r="A3487" s="3"/>
      <c r="B3487" s="3"/>
      <c r="C3487" s="3"/>
      <c r="D3487" s="3"/>
      <c r="E3487" s="3">
        <v>4</v>
      </c>
      <c r="F3487" s="4" t="str">
        <f>HYPERLINK("http://141.218.60.56/~jnz1568/getInfo.php?workbook=18_15.xlsx&amp;sheet=U0&amp;row=3487&amp;col=6&amp;number=3.3&amp;sourceID=14","3.3")</f>
        <v>3.3</v>
      </c>
      <c r="G3487" s="4" t="str">
        <f>HYPERLINK("http://141.218.60.56/~jnz1568/getInfo.php?workbook=18_15.xlsx&amp;sheet=U0&amp;row=3487&amp;col=7&amp;number=2.15&amp;sourceID=14","2.15")</f>
        <v>2.15</v>
      </c>
    </row>
    <row r="3488" spans="1:7">
      <c r="A3488" s="3"/>
      <c r="B3488" s="3"/>
      <c r="C3488" s="3"/>
      <c r="D3488" s="3"/>
      <c r="E3488" s="3">
        <v>5</v>
      </c>
      <c r="F3488" s="4" t="str">
        <f>HYPERLINK("http://141.218.60.56/~jnz1568/getInfo.php?workbook=18_15.xlsx&amp;sheet=U0&amp;row=3488&amp;col=6&amp;number=3.4&amp;sourceID=14","3.4")</f>
        <v>3.4</v>
      </c>
      <c r="G3488" s="4" t="str">
        <f>HYPERLINK("http://141.218.60.56/~jnz1568/getInfo.php?workbook=18_15.xlsx&amp;sheet=U0&amp;row=3488&amp;col=7&amp;number=2.22&amp;sourceID=14","2.22")</f>
        <v>2.22</v>
      </c>
    </row>
    <row r="3489" spans="1:7">
      <c r="A3489" s="3"/>
      <c r="B3489" s="3"/>
      <c r="C3489" s="3"/>
      <c r="D3489" s="3"/>
      <c r="E3489" s="3">
        <v>6</v>
      </c>
      <c r="F3489" s="4" t="str">
        <f>HYPERLINK("http://141.218.60.56/~jnz1568/getInfo.php?workbook=18_15.xlsx&amp;sheet=U0&amp;row=3489&amp;col=6&amp;number=3.5&amp;sourceID=14","3.5")</f>
        <v>3.5</v>
      </c>
      <c r="G3489" s="4" t="str">
        <f>HYPERLINK("http://141.218.60.56/~jnz1568/getInfo.php?workbook=18_15.xlsx&amp;sheet=U0&amp;row=3489&amp;col=7&amp;number=2.3&amp;sourceID=14","2.3")</f>
        <v>2.3</v>
      </c>
    </row>
    <row r="3490" spans="1:7">
      <c r="A3490" s="3"/>
      <c r="B3490" s="3"/>
      <c r="C3490" s="3"/>
      <c r="D3490" s="3"/>
      <c r="E3490" s="3">
        <v>7</v>
      </c>
      <c r="F3490" s="4" t="str">
        <f>HYPERLINK("http://141.218.60.56/~jnz1568/getInfo.php?workbook=18_15.xlsx&amp;sheet=U0&amp;row=3490&amp;col=6&amp;number=3.6&amp;sourceID=14","3.6")</f>
        <v>3.6</v>
      </c>
      <c r="G3490" s="4" t="str">
        <f>HYPERLINK("http://141.218.60.56/~jnz1568/getInfo.php?workbook=18_15.xlsx&amp;sheet=U0&amp;row=3490&amp;col=7&amp;number=2.4&amp;sourceID=14","2.4")</f>
        <v>2.4</v>
      </c>
    </row>
    <row r="3491" spans="1:7">
      <c r="A3491" s="3"/>
      <c r="B3491" s="3"/>
      <c r="C3491" s="3"/>
      <c r="D3491" s="3"/>
      <c r="E3491" s="3">
        <v>8</v>
      </c>
      <c r="F3491" s="4" t="str">
        <f>HYPERLINK("http://141.218.60.56/~jnz1568/getInfo.php?workbook=18_15.xlsx&amp;sheet=U0&amp;row=3491&amp;col=6&amp;number=3.7&amp;sourceID=14","3.7")</f>
        <v>3.7</v>
      </c>
      <c r="G3491" s="4" t="str">
        <f>HYPERLINK("http://141.218.60.56/~jnz1568/getInfo.php?workbook=18_15.xlsx&amp;sheet=U0&amp;row=3491&amp;col=7&amp;number=2.51&amp;sourceID=14","2.51")</f>
        <v>2.51</v>
      </c>
    </row>
    <row r="3492" spans="1:7">
      <c r="A3492" s="3"/>
      <c r="B3492" s="3"/>
      <c r="C3492" s="3"/>
      <c r="D3492" s="3"/>
      <c r="E3492" s="3">
        <v>9</v>
      </c>
      <c r="F3492" s="4" t="str">
        <f>HYPERLINK("http://141.218.60.56/~jnz1568/getInfo.php?workbook=18_15.xlsx&amp;sheet=U0&amp;row=3492&amp;col=6&amp;number=3.8&amp;sourceID=14","3.8")</f>
        <v>3.8</v>
      </c>
      <c r="G3492" s="4" t="str">
        <f>HYPERLINK("http://141.218.60.56/~jnz1568/getInfo.php?workbook=18_15.xlsx&amp;sheet=U0&amp;row=3492&amp;col=7&amp;number=2.63&amp;sourceID=14","2.63")</f>
        <v>2.63</v>
      </c>
    </row>
    <row r="3493" spans="1:7">
      <c r="A3493" s="3"/>
      <c r="B3493" s="3"/>
      <c r="C3493" s="3"/>
      <c r="D3493" s="3"/>
      <c r="E3493" s="3">
        <v>10</v>
      </c>
      <c r="F3493" s="4" t="str">
        <f>HYPERLINK("http://141.218.60.56/~jnz1568/getInfo.php?workbook=18_15.xlsx&amp;sheet=U0&amp;row=3493&amp;col=6&amp;number=3.9&amp;sourceID=14","3.9")</f>
        <v>3.9</v>
      </c>
      <c r="G3493" s="4" t="str">
        <f>HYPERLINK("http://141.218.60.56/~jnz1568/getInfo.php?workbook=18_15.xlsx&amp;sheet=U0&amp;row=3493&amp;col=7&amp;number=2.75&amp;sourceID=14","2.75")</f>
        <v>2.75</v>
      </c>
    </row>
    <row r="3494" spans="1:7">
      <c r="A3494" s="3"/>
      <c r="B3494" s="3"/>
      <c r="C3494" s="3"/>
      <c r="D3494" s="3"/>
      <c r="E3494" s="3">
        <v>11</v>
      </c>
      <c r="F3494" s="4" t="str">
        <f>HYPERLINK("http://141.218.60.56/~jnz1568/getInfo.php?workbook=18_15.xlsx&amp;sheet=U0&amp;row=3494&amp;col=6&amp;number=4&amp;sourceID=14","4")</f>
        <v>4</v>
      </c>
      <c r="G3494" s="4" t="str">
        <f>HYPERLINK("http://141.218.60.56/~jnz1568/getInfo.php?workbook=18_15.xlsx&amp;sheet=U0&amp;row=3494&amp;col=7&amp;number=2.85&amp;sourceID=14","2.85")</f>
        <v>2.85</v>
      </c>
    </row>
    <row r="3495" spans="1:7">
      <c r="A3495" s="3"/>
      <c r="B3495" s="3"/>
      <c r="C3495" s="3"/>
      <c r="D3495" s="3"/>
      <c r="E3495" s="3">
        <v>12</v>
      </c>
      <c r="F3495" s="4" t="str">
        <f>HYPERLINK("http://141.218.60.56/~jnz1568/getInfo.php?workbook=18_15.xlsx&amp;sheet=U0&amp;row=3495&amp;col=6&amp;number=4.1&amp;sourceID=14","4.1")</f>
        <v>4.1</v>
      </c>
      <c r="G3495" s="4" t="str">
        <f>HYPERLINK("http://141.218.60.56/~jnz1568/getInfo.php?workbook=18_15.xlsx&amp;sheet=U0&amp;row=3495&amp;col=7&amp;number=2.94&amp;sourceID=14","2.94")</f>
        <v>2.94</v>
      </c>
    </row>
    <row r="3496" spans="1:7">
      <c r="A3496" s="3"/>
      <c r="B3496" s="3"/>
      <c r="C3496" s="3"/>
      <c r="D3496" s="3"/>
      <c r="E3496" s="3">
        <v>13</v>
      </c>
      <c r="F3496" s="4" t="str">
        <f>HYPERLINK("http://141.218.60.56/~jnz1568/getInfo.php?workbook=18_15.xlsx&amp;sheet=U0&amp;row=3496&amp;col=6&amp;number=4.2&amp;sourceID=14","4.2")</f>
        <v>4.2</v>
      </c>
      <c r="G3496" s="4" t="str">
        <f>HYPERLINK("http://141.218.60.56/~jnz1568/getInfo.php?workbook=18_15.xlsx&amp;sheet=U0&amp;row=3496&amp;col=7&amp;number=3&amp;sourceID=14","3")</f>
        <v>3</v>
      </c>
    </row>
    <row r="3497" spans="1:7">
      <c r="A3497" s="3"/>
      <c r="B3497" s="3"/>
      <c r="C3497" s="3"/>
      <c r="D3497" s="3"/>
      <c r="E3497" s="3">
        <v>14</v>
      </c>
      <c r="F3497" s="4" t="str">
        <f>HYPERLINK("http://141.218.60.56/~jnz1568/getInfo.php?workbook=18_15.xlsx&amp;sheet=U0&amp;row=3497&amp;col=6&amp;number=4.3&amp;sourceID=14","4.3")</f>
        <v>4.3</v>
      </c>
      <c r="G3497" s="4" t="str">
        <f>HYPERLINK("http://141.218.60.56/~jnz1568/getInfo.php?workbook=18_15.xlsx&amp;sheet=U0&amp;row=3497&amp;col=7&amp;number=3.03&amp;sourceID=14","3.03")</f>
        <v>3.03</v>
      </c>
    </row>
    <row r="3498" spans="1:7">
      <c r="A3498" s="3"/>
      <c r="B3498" s="3"/>
      <c r="C3498" s="3"/>
      <c r="D3498" s="3"/>
      <c r="E3498" s="3">
        <v>15</v>
      </c>
      <c r="F3498" s="4" t="str">
        <f>HYPERLINK("http://141.218.60.56/~jnz1568/getInfo.php?workbook=18_15.xlsx&amp;sheet=U0&amp;row=3498&amp;col=6&amp;number=4.4&amp;sourceID=14","4.4")</f>
        <v>4.4</v>
      </c>
      <c r="G3498" s="4" t="str">
        <f>HYPERLINK("http://141.218.60.56/~jnz1568/getInfo.php?workbook=18_15.xlsx&amp;sheet=U0&amp;row=3498&amp;col=7&amp;number=3.03&amp;sourceID=14","3.03")</f>
        <v>3.03</v>
      </c>
    </row>
    <row r="3499" spans="1:7">
      <c r="A3499" s="3"/>
      <c r="B3499" s="3"/>
      <c r="C3499" s="3"/>
      <c r="D3499" s="3"/>
      <c r="E3499" s="3">
        <v>16</v>
      </c>
      <c r="F3499" s="4" t="str">
        <f>HYPERLINK("http://141.218.60.56/~jnz1568/getInfo.php?workbook=18_15.xlsx&amp;sheet=U0&amp;row=3499&amp;col=6&amp;number=4.5&amp;sourceID=14","4.5")</f>
        <v>4.5</v>
      </c>
      <c r="G3499" s="4" t="str">
        <f>HYPERLINK("http://141.218.60.56/~jnz1568/getInfo.php?workbook=18_15.xlsx&amp;sheet=U0&amp;row=3499&amp;col=7&amp;number=3.01&amp;sourceID=14","3.01")</f>
        <v>3.01</v>
      </c>
    </row>
    <row r="3500" spans="1:7">
      <c r="A3500" s="3"/>
      <c r="B3500" s="3"/>
      <c r="C3500" s="3"/>
      <c r="D3500" s="3"/>
      <c r="E3500" s="3">
        <v>17</v>
      </c>
      <c r="F3500" s="4" t="str">
        <f>HYPERLINK("http://141.218.60.56/~jnz1568/getInfo.php?workbook=18_15.xlsx&amp;sheet=U0&amp;row=3500&amp;col=6&amp;number=4.6&amp;sourceID=14","4.6")</f>
        <v>4.6</v>
      </c>
      <c r="G3500" s="4" t="str">
        <f>HYPERLINK("http://141.218.60.56/~jnz1568/getInfo.php?workbook=18_15.xlsx&amp;sheet=U0&amp;row=3500&amp;col=7&amp;number=2.98&amp;sourceID=14","2.98")</f>
        <v>2.98</v>
      </c>
    </row>
    <row r="3501" spans="1:7">
      <c r="A3501" s="3"/>
      <c r="B3501" s="3"/>
      <c r="C3501" s="3"/>
      <c r="D3501" s="3"/>
      <c r="E3501" s="3">
        <v>18</v>
      </c>
      <c r="F3501" s="4" t="str">
        <f>HYPERLINK("http://141.218.60.56/~jnz1568/getInfo.php?workbook=18_15.xlsx&amp;sheet=U0&amp;row=3501&amp;col=6&amp;number=4.7&amp;sourceID=14","4.7")</f>
        <v>4.7</v>
      </c>
      <c r="G3501" s="4" t="str">
        <f>HYPERLINK("http://141.218.60.56/~jnz1568/getInfo.php?workbook=18_15.xlsx&amp;sheet=U0&amp;row=3501&amp;col=7&amp;number=2.97&amp;sourceID=14","2.97")</f>
        <v>2.97</v>
      </c>
    </row>
    <row r="3502" spans="1:7">
      <c r="A3502" s="3"/>
      <c r="B3502" s="3"/>
      <c r="C3502" s="3"/>
      <c r="D3502" s="3"/>
      <c r="E3502" s="3">
        <v>19</v>
      </c>
      <c r="F3502" s="4" t="str">
        <f>HYPERLINK("http://141.218.60.56/~jnz1568/getInfo.php?workbook=18_15.xlsx&amp;sheet=U0&amp;row=3502&amp;col=6&amp;number=4.8&amp;sourceID=14","4.8")</f>
        <v>4.8</v>
      </c>
      <c r="G3502" s="4" t="str">
        <f>HYPERLINK("http://141.218.60.56/~jnz1568/getInfo.php?workbook=18_15.xlsx&amp;sheet=U0&amp;row=3502&amp;col=7&amp;number=2.97&amp;sourceID=14","2.97")</f>
        <v>2.97</v>
      </c>
    </row>
    <row r="3503" spans="1:7">
      <c r="A3503" s="3"/>
      <c r="B3503" s="3"/>
      <c r="C3503" s="3"/>
      <c r="D3503" s="3"/>
      <c r="E3503" s="3">
        <v>20</v>
      </c>
      <c r="F3503" s="4" t="str">
        <f>HYPERLINK("http://141.218.60.56/~jnz1568/getInfo.php?workbook=18_15.xlsx&amp;sheet=U0&amp;row=3503&amp;col=6&amp;number=4.9&amp;sourceID=14","4.9")</f>
        <v>4.9</v>
      </c>
      <c r="G3503" s="4" t="str">
        <f>HYPERLINK("http://141.218.60.56/~jnz1568/getInfo.php?workbook=18_15.xlsx&amp;sheet=U0&amp;row=3503&amp;col=7&amp;number=2.94&amp;sourceID=14","2.94")</f>
        <v>2.94</v>
      </c>
    </row>
    <row r="3504" spans="1:7">
      <c r="A3504" s="3">
        <v>18</v>
      </c>
      <c r="B3504" s="3">
        <v>15</v>
      </c>
      <c r="C3504" s="3">
        <v>24</v>
      </c>
      <c r="D3504" s="3">
        <v>25</v>
      </c>
      <c r="E3504" s="3">
        <v>1</v>
      </c>
      <c r="F3504" s="4" t="str">
        <f>HYPERLINK("http://141.218.60.56/~jnz1568/getInfo.php?workbook=18_15.xlsx&amp;sheet=U0&amp;row=3504&amp;col=6&amp;number=3&amp;sourceID=14","3")</f>
        <v>3</v>
      </c>
      <c r="G3504" s="4" t="str">
        <f>HYPERLINK("http://141.218.60.56/~jnz1568/getInfo.php?workbook=18_15.xlsx&amp;sheet=U0&amp;row=3504&amp;col=7&amp;number=5.01&amp;sourceID=14","5.01")</f>
        <v>5.01</v>
      </c>
    </row>
    <row r="3505" spans="1:7">
      <c r="A3505" s="3"/>
      <c r="B3505" s="3"/>
      <c r="C3505" s="3"/>
      <c r="D3505" s="3"/>
      <c r="E3505" s="3">
        <v>2</v>
      </c>
      <c r="F3505" s="4" t="str">
        <f>HYPERLINK("http://141.218.60.56/~jnz1568/getInfo.php?workbook=18_15.xlsx&amp;sheet=U0&amp;row=3505&amp;col=6&amp;number=3.1&amp;sourceID=14","3.1")</f>
        <v>3.1</v>
      </c>
      <c r="G3505" s="4" t="str">
        <f>HYPERLINK("http://141.218.60.56/~jnz1568/getInfo.php?workbook=18_15.xlsx&amp;sheet=U0&amp;row=3505&amp;col=7&amp;number=5.06&amp;sourceID=14","5.06")</f>
        <v>5.06</v>
      </c>
    </row>
    <row r="3506" spans="1:7">
      <c r="A3506" s="3"/>
      <c r="B3506" s="3"/>
      <c r="C3506" s="3"/>
      <c r="D3506" s="3"/>
      <c r="E3506" s="3">
        <v>3</v>
      </c>
      <c r="F3506" s="4" t="str">
        <f>HYPERLINK("http://141.218.60.56/~jnz1568/getInfo.php?workbook=18_15.xlsx&amp;sheet=U0&amp;row=3506&amp;col=6&amp;number=3.2&amp;sourceID=14","3.2")</f>
        <v>3.2</v>
      </c>
      <c r="G3506" s="4" t="str">
        <f>HYPERLINK("http://141.218.60.56/~jnz1568/getInfo.php?workbook=18_15.xlsx&amp;sheet=U0&amp;row=3506&amp;col=7&amp;number=5.12&amp;sourceID=14","5.12")</f>
        <v>5.12</v>
      </c>
    </row>
    <row r="3507" spans="1:7">
      <c r="A3507" s="3"/>
      <c r="B3507" s="3"/>
      <c r="C3507" s="3"/>
      <c r="D3507" s="3"/>
      <c r="E3507" s="3">
        <v>4</v>
      </c>
      <c r="F3507" s="4" t="str">
        <f>HYPERLINK("http://141.218.60.56/~jnz1568/getInfo.php?workbook=18_15.xlsx&amp;sheet=U0&amp;row=3507&amp;col=6&amp;number=3.3&amp;sourceID=14","3.3")</f>
        <v>3.3</v>
      </c>
      <c r="G3507" s="4" t="str">
        <f>HYPERLINK("http://141.218.60.56/~jnz1568/getInfo.php?workbook=18_15.xlsx&amp;sheet=U0&amp;row=3507&amp;col=7&amp;number=5.2&amp;sourceID=14","5.2")</f>
        <v>5.2</v>
      </c>
    </row>
    <row r="3508" spans="1:7">
      <c r="A3508" s="3"/>
      <c r="B3508" s="3"/>
      <c r="C3508" s="3"/>
      <c r="D3508" s="3"/>
      <c r="E3508" s="3">
        <v>5</v>
      </c>
      <c r="F3508" s="4" t="str">
        <f>HYPERLINK("http://141.218.60.56/~jnz1568/getInfo.php?workbook=18_15.xlsx&amp;sheet=U0&amp;row=3508&amp;col=6&amp;number=3.4&amp;sourceID=14","3.4")</f>
        <v>3.4</v>
      </c>
      <c r="G3508" s="4" t="str">
        <f>HYPERLINK("http://141.218.60.56/~jnz1568/getInfo.php?workbook=18_15.xlsx&amp;sheet=U0&amp;row=3508&amp;col=7&amp;number=5.3&amp;sourceID=14","5.3")</f>
        <v>5.3</v>
      </c>
    </row>
    <row r="3509" spans="1:7">
      <c r="A3509" s="3"/>
      <c r="B3509" s="3"/>
      <c r="C3509" s="3"/>
      <c r="D3509" s="3"/>
      <c r="E3509" s="3">
        <v>6</v>
      </c>
      <c r="F3509" s="4" t="str">
        <f>HYPERLINK("http://141.218.60.56/~jnz1568/getInfo.php?workbook=18_15.xlsx&amp;sheet=U0&amp;row=3509&amp;col=6&amp;number=3.5&amp;sourceID=14","3.5")</f>
        <v>3.5</v>
      </c>
      <c r="G3509" s="4" t="str">
        <f>HYPERLINK("http://141.218.60.56/~jnz1568/getInfo.php?workbook=18_15.xlsx&amp;sheet=U0&amp;row=3509&amp;col=7&amp;number=5.42&amp;sourceID=14","5.42")</f>
        <v>5.42</v>
      </c>
    </row>
    <row r="3510" spans="1:7">
      <c r="A3510" s="3"/>
      <c r="B3510" s="3"/>
      <c r="C3510" s="3"/>
      <c r="D3510" s="3"/>
      <c r="E3510" s="3">
        <v>7</v>
      </c>
      <c r="F3510" s="4" t="str">
        <f>HYPERLINK("http://141.218.60.56/~jnz1568/getInfo.php?workbook=18_15.xlsx&amp;sheet=U0&amp;row=3510&amp;col=6&amp;number=3.6&amp;sourceID=14","3.6")</f>
        <v>3.6</v>
      </c>
      <c r="G3510" s="4" t="str">
        <f>HYPERLINK("http://141.218.60.56/~jnz1568/getInfo.php?workbook=18_15.xlsx&amp;sheet=U0&amp;row=3510&amp;col=7&amp;number=5.57&amp;sourceID=14","5.57")</f>
        <v>5.57</v>
      </c>
    </row>
    <row r="3511" spans="1:7">
      <c r="A3511" s="3"/>
      <c r="B3511" s="3"/>
      <c r="C3511" s="3"/>
      <c r="D3511" s="3"/>
      <c r="E3511" s="3">
        <v>8</v>
      </c>
      <c r="F3511" s="4" t="str">
        <f>HYPERLINK("http://141.218.60.56/~jnz1568/getInfo.php?workbook=18_15.xlsx&amp;sheet=U0&amp;row=3511&amp;col=6&amp;number=3.7&amp;sourceID=14","3.7")</f>
        <v>3.7</v>
      </c>
      <c r="G3511" s="4" t="str">
        <f>HYPERLINK("http://141.218.60.56/~jnz1568/getInfo.php?workbook=18_15.xlsx&amp;sheet=U0&amp;row=3511&amp;col=7&amp;number=5.77&amp;sourceID=14","5.77")</f>
        <v>5.77</v>
      </c>
    </row>
    <row r="3512" spans="1:7">
      <c r="A3512" s="3"/>
      <c r="B3512" s="3"/>
      <c r="C3512" s="3"/>
      <c r="D3512" s="3"/>
      <c r="E3512" s="3">
        <v>9</v>
      </c>
      <c r="F3512" s="4" t="str">
        <f>HYPERLINK("http://141.218.60.56/~jnz1568/getInfo.php?workbook=18_15.xlsx&amp;sheet=U0&amp;row=3512&amp;col=6&amp;number=3.8&amp;sourceID=14","3.8")</f>
        <v>3.8</v>
      </c>
      <c r="G3512" s="4" t="str">
        <f>HYPERLINK("http://141.218.60.56/~jnz1568/getInfo.php?workbook=18_15.xlsx&amp;sheet=U0&amp;row=3512&amp;col=7&amp;number=6.03&amp;sourceID=14","6.03")</f>
        <v>6.03</v>
      </c>
    </row>
    <row r="3513" spans="1:7">
      <c r="A3513" s="3"/>
      <c r="B3513" s="3"/>
      <c r="C3513" s="3"/>
      <c r="D3513" s="3"/>
      <c r="E3513" s="3">
        <v>10</v>
      </c>
      <c r="F3513" s="4" t="str">
        <f>HYPERLINK("http://141.218.60.56/~jnz1568/getInfo.php?workbook=18_15.xlsx&amp;sheet=U0&amp;row=3513&amp;col=6&amp;number=3.9&amp;sourceID=14","3.9")</f>
        <v>3.9</v>
      </c>
      <c r="G3513" s="4" t="str">
        <f>HYPERLINK("http://141.218.60.56/~jnz1568/getInfo.php?workbook=18_15.xlsx&amp;sheet=U0&amp;row=3513&amp;col=7&amp;number=6.35&amp;sourceID=14","6.35")</f>
        <v>6.35</v>
      </c>
    </row>
    <row r="3514" spans="1:7">
      <c r="A3514" s="3"/>
      <c r="B3514" s="3"/>
      <c r="C3514" s="3"/>
      <c r="D3514" s="3"/>
      <c r="E3514" s="3">
        <v>11</v>
      </c>
      <c r="F3514" s="4" t="str">
        <f>HYPERLINK("http://141.218.60.56/~jnz1568/getInfo.php?workbook=18_15.xlsx&amp;sheet=U0&amp;row=3514&amp;col=6&amp;number=4&amp;sourceID=14","4")</f>
        <v>4</v>
      </c>
      <c r="G3514" s="4" t="str">
        <f>HYPERLINK("http://141.218.60.56/~jnz1568/getInfo.php?workbook=18_15.xlsx&amp;sheet=U0&amp;row=3514&amp;col=7&amp;number=6.75&amp;sourceID=14","6.75")</f>
        <v>6.75</v>
      </c>
    </row>
    <row r="3515" spans="1:7">
      <c r="A3515" s="3"/>
      <c r="B3515" s="3"/>
      <c r="C3515" s="3"/>
      <c r="D3515" s="3"/>
      <c r="E3515" s="3">
        <v>12</v>
      </c>
      <c r="F3515" s="4" t="str">
        <f>HYPERLINK("http://141.218.60.56/~jnz1568/getInfo.php?workbook=18_15.xlsx&amp;sheet=U0&amp;row=3515&amp;col=6&amp;number=4.1&amp;sourceID=14","4.1")</f>
        <v>4.1</v>
      </c>
      <c r="G3515" s="4" t="str">
        <f>HYPERLINK("http://141.218.60.56/~jnz1568/getInfo.php?workbook=18_15.xlsx&amp;sheet=U0&amp;row=3515&amp;col=7&amp;number=7.2&amp;sourceID=14","7.2")</f>
        <v>7.2</v>
      </c>
    </row>
    <row r="3516" spans="1:7">
      <c r="A3516" s="3"/>
      <c r="B3516" s="3"/>
      <c r="C3516" s="3"/>
      <c r="D3516" s="3"/>
      <c r="E3516" s="3">
        <v>13</v>
      </c>
      <c r="F3516" s="4" t="str">
        <f>HYPERLINK("http://141.218.60.56/~jnz1568/getInfo.php?workbook=18_15.xlsx&amp;sheet=U0&amp;row=3516&amp;col=6&amp;number=4.2&amp;sourceID=14","4.2")</f>
        <v>4.2</v>
      </c>
      <c r="G3516" s="4" t="str">
        <f>HYPERLINK("http://141.218.60.56/~jnz1568/getInfo.php?workbook=18_15.xlsx&amp;sheet=U0&amp;row=3516&amp;col=7&amp;number=7.61&amp;sourceID=14","7.61")</f>
        <v>7.61</v>
      </c>
    </row>
    <row r="3517" spans="1:7">
      <c r="A3517" s="3"/>
      <c r="B3517" s="3"/>
      <c r="C3517" s="3"/>
      <c r="D3517" s="3"/>
      <c r="E3517" s="3">
        <v>14</v>
      </c>
      <c r="F3517" s="4" t="str">
        <f>HYPERLINK("http://141.218.60.56/~jnz1568/getInfo.php?workbook=18_15.xlsx&amp;sheet=U0&amp;row=3517&amp;col=6&amp;number=4.3&amp;sourceID=14","4.3")</f>
        <v>4.3</v>
      </c>
      <c r="G3517" s="4" t="str">
        <f>HYPERLINK("http://141.218.60.56/~jnz1568/getInfo.php?workbook=18_15.xlsx&amp;sheet=U0&amp;row=3517&amp;col=7&amp;number=7.89&amp;sourceID=14","7.89")</f>
        <v>7.89</v>
      </c>
    </row>
    <row r="3518" spans="1:7">
      <c r="A3518" s="3"/>
      <c r="B3518" s="3"/>
      <c r="C3518" s="3"/>
      <c r="D3518" s="3"/>
      <c r="E3518" s="3">
        <v>15</v>
      </c>
      <c r="F3518" s="4" t="str">
        <f>HYPERLINK("http://141.218.60.56/~jnz1568/getInfo.php?workbook=18_15.xlsx&amp;sheet=U0&amp;row=3518&amp;col=6&amp;number=4.4&amp;sourceID=14","4.4")</f>
        <v>4.4</v>
      </c>
      <c r="G3518" s="4" t="str">
        <f>HYPERLINK("http://141.218.60.56/~jnz1568/getInfo.php?workbook=18_15.xlsx&amp;sheet=U0&amp;row=3518&amp;col=7&amp;number=8.04&amp;sourceID=14","8.04")</f>
        <v>8.04</v>
      </c>
    </row>
    <row r="3519" spans="1:7">
      <c r="A3519" s="3"/>
      <c r="B3519" s="3"/>
      <c r="C3519" s="3"/>
      <c r="D3519" s="3"/>
      <c r="E3519" s="3">
        <v>16</v>
      </c>
      <c r="F3519" s="4" t="str">
        <f>HYPERLINK("http://141.218.60.56/~jnz1568/getInfo.php?workbook=18_15.xlsx&amp;sheet=U0&amp;row=3519&amp;col=6&amp;number=4.5&amp;sourceID=14","4.5")</f>
        <v>4.5</v>
      </c>
      <c r="G3519" s="4" t="str">
        <f>HYPERLINK("http://141.218.60.56/~jnz1568/getInfo.php?workbook=18_15.xlsx&amp;sheet=U0&amp;row=3519&amp;col=7&amp;number=8.07&amp;sourceID=14","8.07")</f>
        <v>8.07</v>
      </c>
    </row>
    <row r="3520" spans="1:7">
      <c r="A3520" s="3"/>
      <c r="B3520" s="3"/>
      <c r="C3520" s="3"/>
      <c r="D3520" s="3"/>
      <c r="E3520" s="3">
        <v>17</v>
      </c>
      <c r="F3520" s="4" t="str">
        <f>HYPERLINK("http://141.218.60.56/~jnz1568/getInfo.php?workbook=18_15.xlsx&amp;sheet=U0&amp;row=3520&amp;col=6&amp;number=4.6&amp;sourceID=14","4.6")</f>
        <v>4.6</v>
      </c>
      <c r="G3520" s="4" t="str">
        <f>HYPERLINK("http://141.218.60.56/~jnz1568/getInfo.php?workbook=18_15.xlsx&amp;sheet=U0&amp;row=3520&amp;col=7&amp;number=8.01&amp;sourceID=14","8.01")</f>
        <v>8.01</v>
      </c>
    </row>
    <row r="3521" spans="1:7">
      <c r="A3521" s="3"/>
      <c r="B3521" s="3"/>
      <c r="C3521" s="3"/>
      <c r="D3521" s="3"/>
      <c r="E3521" s="3">
        <v>18</v>
      </c>
      <c r="F3521" s="4" t="str">
        <f>HYPERLINK("http://141.218.60.56/~jnz1568/getInfo.php?workbook=18_15.xlsx&amp;sheet=U0&amp;row=3521&amp;col=6&amp;number=4.7&amp;sourceID=14","4.7")</f>
        <v>4.7</v>
      </c>
      <c r="G3521" s="4" t="str">
        <f>HYPERLINK("http://141.218.60.56/~jnz1568/getInfo.php?workbook=18_15.xlsx&amp;sheet=U0&amp;row=3521&amp;col=7&amp;number=7.88&amp;sourceID=14","7.88")</f>
        <v>7.88</v>
      </c>
    </row>
    <row r="3522" spans="1:7">
      <c r="A3522" s="3"/>
      <c r="B3522" s="3"/>
      <c r="C3522" s="3"/>
      <c r="D3522" s="3"/>
      <c r="E3522" s="3">
        <v>19</v>
      </c>
      <c r="F3522" s="4" t="str">
        <f>HYPERLINK("http://141.218.60.56/~jnz1568/getInfo.php?workbook=18_15.xlsx&amp;sheet=U0&amp;row=3522&amp;col=6&amp;number=4.8&amp;sourceID=14","4.8")</f>
        <v>4.8</v>
      </c>
      <c r="G3522" s="4" t="str">
        <f>HYPERLINK("http://141.218.60.56/~jnz1568/getInfo.php?workbook=18_15.xlsx&amp;sheet=U0&amp;row=3522&amp;col=7&amp;number=7.68&amp;sourceID=14","7.68")</f>
        <v>7.68</v>
      </c>
    </row>
    <row r="3523" spans="1:7">
      <c r="A3523" s="3"/>
      <c r="B3523" s="3"/>
      <c r="C3523" s="3"/>
      <c r="D3523" s="3"/>
      <c r="E3523" s="3">
        <v>20</v>
      </c>
      <c r="F3523" s="4" t="str">
        <f>HYPERLINK("http://141.218.60.56/~jnz1568/getInfo.php?workbook=18_15.xlsx&amp;sheet=U0&amp;row=3523&amp;col=6&amp;number=4.9&amp;sourceID=14","4.9")</f>
        <v>4.9</v>
      </c>
      <c r="G3523" s="4" t="str">
        <f>HYPERLINK("http://141.218.60.56/~jnz1568/getInfo.php?workbook=18_15.xlsx&amp;sheet=U0&amp;row=3523&amp;col=7&amp;number=7.36&amp;sourceID=14","7.36")</f>
        <v>7.36</v>
      </c>
    </row>
    <row r="3524" spans="1:7">
      <c r="A3524" s="3">
        <v>18</v>
      </c>
      <c r="B3524" s="3">
        <v>15</v>
      </c>
      <c r="C3524" s="3">
        <v>25</v>
      </c>
      <c r="D3524" s="3">
        <v>26</v>
      </c>
      <c r="E3524" s="3">
        <v>1</v>
      </c>
      <c r="F3524" s="4" t="str">
        <f>HYPERLINK("http://141.218.60.56/~jnz1568/getInfo.php?workbook=18_15.xlsx&amp;sheet=U0&amp;row=3524&amp;col=6&amp;number=3&amp;sourceID=14","3")</f>
        <v>3</v>
      </c>
      <c r="G3524" s="4" t="str">
        <f>HYPERLINK("http://141.218.60.56/~jnz1568/getInfo.php?workbook=18_15.xlsx&amp;sheet=U0&amp;row=3524&amp;col=7&amp;number=0.0528&amp;sourceID=14","0.0528")</f>
        <v>0.0528</v>
      </c>
    </row>
    <row r="3525" spans="1:7">
      <c r="A3525" s="3"/>
      <c r="B3525" s="3"/>
      <c r="C3525" s="3"/>
      <c r="D3525" s="3"/>
      <c r="E3525" s="3">
        <v>2</v>
      </c>
      <c r="F3525" s="4" t="str">
        <f>HYPERLINK("http://141.218.60.56/~jnz1568/getInfo.php?workbook=18_15.xlsx&amp;sheet=U0&amp;row=3525&amp;col=6&amp;number=3.1&amp;sourceID=14","3.1")</f>
        <v>3.1</v>
      </c>
      <c r="G3525" s="4" t="str">
        <f>HYPERLINK("http://141.218.60.56/~jnz1568/getInfo.php?workbook=18_15.xlsx&amp;sheet=U0&amp;row=3525&amp;col=7&amp;number=0.0525&amp;sourceID=14","0.0525")</f>
        <v>0.0525</v>
      </c>
    </row>
    <row r="3526" spans="1:7">
      <c r="A3526" s="3"/>
      <c r="B3526" s="3"/>
      <c r="C3526" s="3"/>
      <c r="D3526" s="3"/>
      <c r="E3526" s="3">
        <v>3</v>
      </c>
      <c r="F3526" s="4" t="str">
        <f>HYPERLINK("http://141.218.60.56/~jnz1568/getInfo.php?workbook=18_15.xlsx&amp;sheet=U0&amp;row=3526&amp;col=6&amp;number=3.2&amp;sourceID=14","3.2")</f>
        <v>3.2</v>
      </c>
      <c r="G3526" s="4" t="str">
        <f>HYPERLINK("http://141.218.60.56/~jnz1568/getInfo.php?workbook=18_15.xlsx&amp;sheet=U0&amp;row=3526&amp;col=7&amp;number=0.0521&amp;sourceID=14","0.0521")</f>
        <v>0.0521</v>
      </c>
    </row>
    <row r="3527" spans="1:7">
      <c r="A3527" s="3"/>
      <c r="B3527" s="3"/>
      <c r="C3527" s="3"/>
      <c r="D3527" s="3"/>
      <c r="E3527" s="3">
        <v>4</v>
      </c>
      <c r="F3527" s="4" t="str">
        <f>HYPERLINK("http://141.218.60.56/~jnz1568/getInfo.php?workbook=18_15.xlsx&amp;sheet=U0&amp;row=3527&amp;col=6&amp;number=3.3&amp;sourceID=14","3.3")</f>
        <v>3.3</v>
      </c>
      <c r="G3527" s="4" t="str">
        <f>HYPERLINK("http://141.218.60.56/~jnz1568/getInfo.php?workbook=18_15.xlsx&amp;sheet=U0&amp;row=3527&amp;col=7&amp;number=0.0516&amp;sourceID=14","0.0516")</f>
        <v>0.0516</v>
      </c>
    </row>
    <row r="3528" spans="1:7">
      <c r="A3528" s="3"/>
      <c r="B3528" s="3"/>
      <c r="C3528" s="3"/>
      <c r="D3528" s="3"/>
      <c r="E3528" s="3">
        <v>5</v>
      </c>
      <c r="F3528" s="4" t="str">
        <f>HYPERLINK("http://141.218.60.56/~jnz1568/getInfo.php?workbook=18_15.xlsx&amp;sheet=U0&amp;row=3528&amp;col=6&amp;number=3.4&amp;sourceID=14","3.4")</f>
        <v>3.4</v>
      </c>
      <c r="G3528" s="4" t="str">
        <f>HYPERLINK("http://141.218.60.56/~jnz1568/getInfo.php?workbook=18_15.xlsx&amp;sheet=U0&amp;row=3528&amp;col=7&amp;number=0.051&amp;sourceID=14","0.051")</f>
        <v>0.051</v>
      </c>
    </row>
    <row r="3529" spans="1:7">
      <c r="A3529" s="3"/>
      <c r="B3529" s="3"/>
      <c r="C3529" s="3"/>
      <c r="D3529" s="3"/>
      <c r="E3529" s="3">
        <v>6</v>
      </c>
      <c r="F3529" s="4" t="str">
        <f>HYPERLINK("http://141.218.60.56/~jnz1568/getInfo.php?workbook=18_15.xlsx&amp;sheet=U0&amp;row=3529&amp;col=6&amp;number=3.5&amp;sourceID=14","3.5")</f>
        <v>3.5</v>
      </c>
      <c r="G3529" s="4" t="str">
        <f>HYPERLINK("http://141.218.60.56/~jnz1568/getInfo.php?workbook=18_15.xlsx&amp;sheet=U0&amp;row=3529&amp;col=7&amp;number=0.0502&amp;sourceID=14","0.0502")</f>
        <v>0.0502</v>
      </c>
    </row>
    <row r="3530" spans="1:7">
      <c r="A3530" s="3"/>
      <c r="B3530" s="3"/>
      <c r="C3530" s="3"/>
      <c r="D3530" s="3"/>
      <c r="E3530" s="3">
        <v>7</v>
      </c>
      <c r="F3530" s="4" t="str">
        <f>HYPERLINK("http://141.218.60.56/~jnz1568/getInfo.php?workbook=18_15.xlsx&amp;sheet=U0&amp;row=3530&amp;col=6&amp;number=3.6&amp;sourceID=14","3.6")</f>
        <v>3.6</v>
      </c>
      <c r="G3530" s="4" t="str">
        <f>HYPERLINK("http://141.218.60.56/~jnz1568/getInfo.php?workbook=18_15.xlsx&amp;sheet=U0&amp;row=3530&amp;col=7&amp;number=0.0493&amp;sourceID=14","0.0493")</f>
        <v>0.0493</v>
      </c>
    </row>
    <row r="3531" spans="1:7">
      <c r="A3531" s="3"/>
      <c r="B3531" s="3"/>
      <c r="C3531" s="3"/>
      <c r="D3531" s="3"/>
      <c r="E3531" s="3">
        <v>8</v>
      </c>
      <c r="F3531" s="4" t="str">
        <f>HYPERLINK("http://141.218.60.56/~jnz1568/getInfo.php?workbook=18_15.xlsx&amp;sheet=U0&amp;row=3531&amp;col=6&amp;number=3.7&amp;sourceID=14","3.7")</f>
        <v>3.7</v>
      </c>
      <c r="G3531" s="4" t="str">
        <f>HYPERLINK("http://141.218.60.56/~jnz1568/getInfo.php?workbook=18_15.xlsx&amp;sheet=U0&amp;row=3531&amp;col=7&amp;number=0.0481&amp;sourceID=14","0.0481")</f>
        <v>0.0481</v>
      </c>
    </row>
    <row r="3532" spans="1:7">
      <c r="A3532" s="3"/>
      <c r="B3532" s="3"/>
      <c r="C3532" s="3"/>
      <c r="D3532" s="3"/>
      <c r="E3532" s="3">
        <v>9</v>
      </c>
      <c r="F3532" s="4" t="str">
        <f>HYPERLINK("http://141.218.60.56/~jnz1568/getInfo.php?workbook=18_15.xlsx&amp;sheet=U0&amp;row=3532&amp;col=6&amp;number=3.8&amp;sourceID=14","3.8")</f>
        <v>3.8</v>
      </c>
      <c r="G3532" s="4" t="str">
        <f>HYPERLINK("http://141.218.60.56/~jnz1568/getInfo.php?workbook=18_15.xlsx&amp;sheet=U0&amp;row=3532&amp;col=7&amp;number=0.0468&amp;sourceID=14","0.0468")</f>
        <v>0.0468</v>
      </c>
    </row>
    <row r="3533" spans="1:7">
      <c r="A3533" s="3"/>
      <c r="B3533" s="3"/>
      <c r="C3533" s="3"/>
      <c r="D3533" s="3"/>
      <c r="E3533" s="3">
        <v>10</v>
      </c>
      <c r="F3533" s="4" t="str">
        <f>HYPERLINK("http://141.218.60.56/~jnz1568/getInfo.php?workbook=18_15.xlsx&amp;sheet=U0&amp;row=3533&amp;col=6&amp;number=3.9&amp;sourceID=14","3.9")</f>
        <v>3.9</v>
      </c>
      <c r="G3533" s="4" t="str">
        <f>HYPERLINK("http://141.218.60.56/~jnz1568/getInfo.php?workbook=18_15.xlsx&amp;sheet=U0&amp;row=3533&amp;col=7&amp;number=0.0451&amp;sourceID=14","0.0451")</f>
        <v>0.0451</v>
      </c>
    </row>
    <row r="3534" spans="1:7">
      <c r="A3534" s="3"/>
      <c r="B3534" s="3"/>
      <c r="C3534" s="3"/>
      <c r="D3534" s="3"/>
      <c r="E3534" s="3">
        <v>11</v>
      </c>
      <c r="F3534" s="4" t="str">
        <f>HYPERLINK("http://141.218.60.56/~jnz1568/getInfo.php?workbook=18_15.xlsx&amp;sheet=U0&amp;row=3534&amp;col=6&amp;number=4&amp;sourceID=14","4")</f>
        <v>4</v>
      </c>
      <c r="G3534" s="4" t="str">
        <f>HYPERLINK("http://141.218.60.56/~jnz1568/getInfo.php?workbook=18_15.xlsx&amp;sheet=U0&amp;row=3534&amp;col=7&amp;number=0.0432&amp;sourceID=14","0.0432")</f>
        <v>0.0432</v>
      </c>
    </row>
    <row r="3535" spans="1:7">
      <c r="A3535" s="3"/>
      <c r="B3535" s="3"/>
      <c r="C3535" s="3"/>
      <c r="D3535" s="3"/>
      <c r="E3535" s="3">
        <v>12</v>
      </c>
      <c r="F3535" s="4" t="str">
        <f>HYPERLINK("http://141.218.60.56/~jnz1568/getInfo.php?workbook=18_15.xlsx&amp;sheet=U0&amp;row=3535&amp;col=6&amp;number=4.1&amp;sourceID=14","4.1")</f>
        <v>4.1</v>
      </c>
      <c r="G3535" s="4" t="str">
        <f>HYPERLINK("http://141.218.60.56/~jnz1568/getInfo.php?workbook=18_15.xlsx&amp;sheet=U0&amp;row=3535&amp;col=7&amp;number=0.041&amp;sourceID=14","0.041")</f>
        <v>0.041</v>
      </c>
    </row>
    <row r="3536" spans="1:7">
      <c r="A3536" s="3"/>
      <c r="B3536" s="3"/>
      <c r="C3536" s="3"/>
      <c r="D3536" s="3"/>
      <c r="E3536" s="3">
        <v>13</v>
      </c>
      <c r="F3536" s="4" t="str">
        <f>HYPERLINK("http://141.218.60.56/~jnz1568/getInfo.php?workbook=18_15.xlsx&amp;sheet=U0&amp;row=3536&amp;col=6&amp;number=4.2&amp;sourceID=14","4.2")</f>
        <v>4.2</v>
      </c>
      <c r="G3536" s="4" t="str">
        <f>HYPERLINK("http://141.218.60.56/~jnz1568/getInfo.php?workbook=18_15.xlsx&amp;sheet=U0&amp;row=3536&amp;col=7&amp;number=0.0386&amp;sourceID=14","0.0386")</f>
        <v>0.0386</v>
      </c>
    </row>
    <row r="3537" spans="1:7">
      <c r="A3537" s="3"/>
      <c r="B3537" s="3"/>
      <c r="C3537" s="3"/>
      <c r="D3537" s="3"/>
      <c r="E3537" s="3">
        <v>14</v>
      </c>
      <c r="F3537" s="4" t="str">
        <f>HYPERLINK("http://141.218.60.56/~jnz1568/getInfo.php?workbook=18_15.xlsx&amp;sheet=U0&amp;row=3537&amp;col=6&amp;number=4.3&amp;sourceID=14","4.3")</f>
        <v>4.3</v>
      </c>
      <c r="G3537" s="4" t="str">
        <f>HYPERLINK("http://141.218.60.56/~jnz1568/getInfo.php?workbook=18_15.xlsx&amp;sheet=U0&amp;row=3537&amp;col=7&amp;number=0.0362&amp;sourceID=14","0.0362")</f>
        <v>0.0362</v>
      </c>
    </row>
    <row r="3538" spans="1:7">
      <c r="A3538" s="3"/>
      <c r="B3538" s="3"/>
      <c r="C3538" s="3"/>
      <c r="D3538" s="3"/>
      <c r="E3538" s="3">
        <v>15</v>
      </c>
      <c r="F3538" s="4" t="str">
        <f>HYPERLINK("http://141.218.60.56/~jnz1568/getInfo.php?workbook=18_15.xlsx&amp;sheet=U0&amp;row=3538&amp;col=6&amp;number=4.4&amp;sourceID=14","4.4")</f>
        <v>4.4</v>
      </c>
      <c r="G3538" s="4" t="str">
        <f>HYPERLINK("http://141.218.60.56/~jnz1568/getInfo.php?workbook=18_15.xlsx&amp;sheet=U0&amp;row=3538&amp;col=7&amp;number=0.0338&amp;sourceID=14","0.0338")</f>
        <v>0.0338</v>
      </c>
    </row>
    <row r="3539" spans="1:7">
      <c r="A3539" s="3"/>
      <c r="B3539" s="3"/>
      <c r="C3539" s="3"/>
      <c r="D3539" s="3"/>
      <c r="E3539" s="3">
        <v>16</v>
      </c>
      <c r="F3539" s="4" t="str">
        <f>HYPERLINK("http://141.218.60.56/~jnz1568/getInfo.php?workbook=18_15.xlsx&amp;sheet=U0&amp;row=3539&amp;col=6&amp;number=4.5&amp;sourceID=14","4.5")</f>
        <v>4.5</v>
      </c>
      <c r="G3539" s="4" t="str">
        <f>HYPERLINK("http://141.218.60.56/~jnz1568/getInfo.php?workbook=18_15.xlsx&amp;sheet=U0&amp;row=3539&amp;col=7&amp;number=0.0318&amp;sourceID=14","0.0318")</f>
        <v>0.0318</v>
      </c>
    </row>
    <row r="3540" spans="1:7">
      <c r="A3540" s="3"/>
      <c r="B3540" s="3"/>
      <c r="C3540" s="3"/>
      <c r="D3540" s="3"/>
      <c r="E3540" s="3">
        <v>17</v>
      </c>
      <c r="F3540" s="4" t="str">
        <f>HYPERLINK("http://141.218.60.56/~jnz1568/getInfo.php?workbook=18_15.xlsx&amp;sheet=U0&amp;row=3540&amp;col=6&amp;number=4.6&amp;sourceID=14","4.6")</f>
        <v>4.6</v>
      </c>
      <c r="G3540" s="4" t="str">
        <f>HYPERLINK("http://141.218.60.56/~jnz1568/getInfo.php?workbook=18_15.xlsx&amp;sheet=U0&amp;row=3540&amp;col=7&amp;number=0.0304&amp;sourceID=14","0.0304")</f>
        <v>0.0304</v>
      </c>
    </row>
    <row r="3541" spans="1:7">
      <c r="A3541" s="3"/>
      <c r="B3541" s="3"/>
      <c r="C3541" s="3"/>
      <c r="D3541" s="3"/>
      <c r="E3541" s="3">
        <v>18</v>
      </c>
      <c r="F3541" s="4" t="str">
        <f>HYPERLINK("http://141.218.60.56/~jnz1568/getInfo.php?workbook=18_15.xlsx&amp;sheet=U0&amp;row=3541&amp;col=6&amp;number=4.7&amp;sourceID=14","4.7")</f>
        <v>4.7</v>
      </c>
      <c r="G3541" s="4" t="str">
        <f>HYPERLINK("http://141.218.60.56/~jnz1568/getInfo.php?workbook=18_15.xlsx&amp;sheet=U0&amp;row=3541&amp;col=7&amp;number=0.0299&amp;sourceID=14","0.0299")</f>
        <v>0.0299</v>
      </c>
    </row>
    <row r="3542" spans="1:7">
      <c r="A3542" s="3"/>
      <c r="B3542" s="3"/>
      <c r="C3542" s="3"/>
      <c r="D3542" s="3"/>
      <c r="E3542" s="3">
        <v>19</v>
      </c>
      <c r="F3542" s="4" t="str">
        <f>HYPERLINK("http://141.218.60.56/~jnz1568/getInfo.php?workbook=18_15.xlsx&amp;sheet=U0&amp;row=3542&amp;col=6&amp;number=4.8&amp;sourceID=14","4.8")</f>
        <v>4.8</v>
      </c>
      <c r="G3542" s="4" t="str">
        <f>HYPERLINK("http://141.218.60.56/~jnz1568/getInfo.php?workbook=18_15.xlsx&amp;sheet=U0&amp;row=3542&amp;col=7&amp;number=0.0304&amp;sourceID=14","0.0304")</f>
        <v>0.0304</v>
      </c>
    </row>
    <row r="3543" spans="1:7">
      <c r="A3543" s="3"/>
      <c r="B3543" s="3"/>
      <c r="C3543" s="3"/>
      <c r="D3543" s="3"/>
      <c r="E3543" s="3">
        <v>20</v>
      </c>
      <c r="F3543" s="4" t="str">
        <f>HYPERLINK("http://141.218.60.56/~jnz1568/getInfo.php?workbook=18_15.xlsx&amp;sheet=U0&amp;row=3543&amp;col=6&amp;number=4.9&amp;sourceID=14","4.9")</f>
        <v>4.9</v>
      </c>
      <c r="G3543" s="4" t="str">
        <f>HYPERLINK("http://141.218.60.56/~jnz1568/getInfo.php?workbook=18_15.xlsx&amp;sheet=U0&amp;row=3543&amp;col=7&amp;number=0.0313&amp;sourceID=14","0.0313")</f>
        <v>0.0313</v>
      </c>
    </row>
    <row r="3544" spans="1:7">
      <c r="A3544" s="3">
        <v>18</v>
      </c>
      <c r="B3544" s="3">
        <v>15</v>
      </c>
      <c r="C3544" s="3">
        <v>25</v>
      </c>
      <c r="D3544" s="3">
        <v>27</v>
      </c>
      <c r="E3544" s="3">
        <v>1</v>
      </c>
      <c r="F3544" s="4" t="str">
        <f>HYPERLINK("http://141.218.60.56/~jnz1568/getInfo.php?workbook=18_15.xlsx&amp;sheet=U0&amp;row=3544&amp;col=6&amp;number=3&amp;sourceID=14","3")</f>
        <v>3</v>
      </c>
      <c r="G3544" s="4" t="str">
        <f>HYPERLINK("http://141.218.60.56/~jnz1568/getInfo.php?workbook=18_15.xlsx&amp;sheet=U0&amp;row=3544&amp;col=7&amp;number=0.242&amp;sourceID=14","0.242")</f>
        <v>0.242</v>
      </c>
    </row>
    <row r="3545" spans="1:7">
      <c r="A3545" s="3"/>
      <c r="B3545" s="3"/>
      <c r="C3545" s="3"/>
      <c r="D3545" s="3"/>
      <c r="E3545" s="3">
        <v>2</v>
      </c>
      <c r="F3545" s="4" t="str">
        <f>HYPERLINK("http://141.218.60.56/~jnz1568/getInfo.php?workbook=18_15.xlsx&amp;sheet=U0&amp;row=3545&amp;col=6&amp;number=3.1&amp;sourceID=14","3.1")</f>
        <v>3.1</v>
      </c>
      <c r="G3545" s="4" t="str">
        <f>HYPERLINK("http://141.218.60.56/~jnz1568/getInfo.php?workbook=18_15.xlsx&amp;sheet=U0&amp;row=3545&amp;col=7&amp;number=0.239&amp;sourceID=14","0.239")</f>
        <v>0.239</v>
      </c>
    </row>
    <row r="3546" spans="1:7">
      <c r="A3546" s="3"/>
      <c r="B3546" s="3"/>
      <c r="C3546" s="3"/>
      <c r="D3546" s="3"/>
      <c r="E3546" s="3">
        <v>3</v>
      </c>
      <c r="F3546" s="4" t="str">
        <f>HYPERLINK("http://141.218.60.56/~jnz1568/getInfo.php?workbook=18_15.xlsx&amp;sheet=U0&amp;row=3546&amp;col=6&amp;number=3.2&amp;sourceID=14","3.2")</f>
        <v>3.2</v>
      </c>
      <c r="G3546" s="4" t="str">
        <f>HYPERLINK("http://141.218.60.56/~jnz1568/getInfo.php?workbook=18_15.xlsx&amp;sheet=U0&amp;row=3546&amp;col=7&amp;number=0.235&amp;sourceID=14","0.235")</f>
        <v>0.235</v>
      </c>
    </row>
    <row r="3547" spans="1:7">
      <c r="A3547" s="3"/>
      <c r="B3547" s="3"/>
      <c r="C3547" s="3"/>
      <c r="D3547" s="3"/>
      <c r="E3547" s="3">
        <v>4</v>
      </c>
      <c r="F3547" s="4" t="str">
        <f>HYPERLINK("http://141.218.60.56/~jnz1568/getInfo.php?workbook=18_15.xlsx&amp;sheet=U0&amp;row=3547&amp;col=6&amp;number=3.3&amp;sourceID=14","3.3")</f>
        <v>3.3</v>
      </c>
      <c r="G3547" s="4" t="str">
        <f>HYPERLINK("http://141.218.60.56/~jnz1568/getInfo.php?workbook=18_15.xlsx&amp;sheet=U0&amp;row=3547&amp;col=7&amp;number=0.23&amp;sourceID=14","0.23")</f>
        <v>0.23</v>
      </c>
    </row>
    <row r="3548" spans="1:7">
      <c r="A3548" s="3"/>
      <c r="B3548" s="3"/>
      <c r="C3548" s="3"/>
      <c r="D3548" s="3"/>
      <c r="E3548" s="3">
        <v>5</v>
      </c>
      <c r="F3548" s="4" t="str">
        <f>HYPERLINK("http://141.218.60.56/~jnz1568/getInfo.php?workbook=18_15.xlsx&amp;sheet=U0&amp;row=3548&amp;col=6&amp;number=3.4&amp;sourceID=14","3.4")</f>
        <v>3.4</v>
      </c>
      <c r="G3548" s="4" t="str">
        <f>HYPERLINK("http://141.218.60.56/~jnz1568/getInfo.php?workbook=18_15.xlsx&amp;sheet=U0&amp;row=3548&amp;col=7&amp;number=0.224&amp;sourceID=14","0.224")</f>
        <v>0.224</v>
      </c>
    </row>
    <row r="3549" spans="1:7">
      <c r="A3549" s="3"/>
      <c r="B3549" s="3"/>
      <c r="C3549" s="3"/>
      <c r="D3549" s="3"/>
      <c r="E3549" s="3">
        <v>6</v>
      </c>
      <c r="F3549" s="4" t="str">
        <f>HYPERLINK("http://141.218.60.56/~jnz1568/getInfo.php?workbook=18_15.xlsx&amp;sheet=U0&amp;row=3549&amp;col=6&amp;number=3.5&amp;sourceID=14","3.5")</f>
        <v>3.5</v>
      </c>
      <c r="G3549" s="4" t="str">
        <f>HYPERLINK("http://141.218.60.56/~jnz1568/getInfo.php?workbook=18_15.xlsx&amp;sheet=U0&amp;row=3549&amp;col=7&amp;number=0.217&amp;sourceID=14","0.217")</f>
        <v>0.217</v>
      </c>
    </row>
    <row r="3550" spans="1:7">
      <c r="A3550" s="3"/>
      <c r="B3550" s="3"/>
      <c r="C3550" s="3"/>
      <c r="D3550" s="3"/>
      <c r="E3550" s="3">
        <v>7</v>
      </c>
      <c r="F3550" s="4" t="str">
        <f>HYPERLINK("http://141.218.60.56/~jnz1568/getInfo.php?workbook=18_15.xlsx&amp;sheet=U0&amp;row=3550&amp;col=6&amp;number=3.6&amp;sourceID=14","3.6")</f>
        <v>3.6</v>
      </c>
      <c r="G3550" s="4" t="str">
        <f>HYPERLINK("http://141.218.60.56/~jnz1568/getInfo.php?workbook=18_15.xlsx&amp;sheet=U0&amp;row=3550&amp;col=7&amp;number=0.209&amp;sourceID=14","0.209")</f>
        <v>0.209</v>
      </c>
    </row>
    <row r="3551" spans="1:7">
      <c r="A3551" s="3"/>
      <c r="B3551" s="3"/>
      <c r="C3551" s="3"/>
      <c r="D3551" s="3"/>
      <c r="E3551" s="3">
        <v>8</v>
      </c>
      <c r="F3551" s="4" t="str">
        <f>HYPERLINK("http://141.218.60.56/~jnz1568/getInfo.php?workbook=18_15.xlsx&amp;sheet=U0&amp;row=3551&amp;col=6&amp;number=3.7&amp;sourceID=14","3.7")</f>
        <v>3.7</v>
      </c>
      <c r="G3551" s="4" t="str">
        <f>HYPERLINK("http://141.218.60.56/~jnz1568/getInfo.php?workbook=18_15.xlsx&amp;sheet=U0&amp;row=3551&amp;col=7&amp;number=0.2&amp;sourceID=14","0.2")</f>
        <v>0.2</v>
      </c>
    </row>
    <row r="3552" spans="1:7">
      <c r="A3552" s="3"/>
      <c r="B3552" s="3"/>
      <c r="C3552" s="3"/>
      <c r="D3552" s="3"/>
      <c r="E3552" s="3">
        <v>9</v>
      </c>
      <c r="F3552" s="4" t="str">
        <f>HYPERLINK("http://141.218.60.56/~jnz1568/getInfo.php?workbook=18_15.xlsx&amp;sheet=U0&amp;row=3552&amp;col=6&amp;number=3.8&amp;sourceID=14","3.8")</f>
        <v>3.8</v>
      </c>
      <c r="G3552" s="4" t="str">
        <f>HYPERLINK("http://141.218.60.56/~jnz1568/getInfo.php?workbook=18_15.xlsx&amp;sheet=U0&amp;row=3552&amp;col=7&amp;number=0.192&amp;sourceID=14","0.192")</f>
        <v>0.192</v>
      </c>
    </row>
    <row r="3553" spans="1:7">
      <c r="A3553" s="3"/>
      <c r="B3553" s="3"/>
      <c r="C3553" s="3"/>
      <c r="D3553" s="3"/>
      <c r="E3553" s="3">
        <v>10</v>
      </c>
      <c r="F3553" s="4" t="str">
        <f>HYPERLINK("http://141.218.60.56/~jnz1568/getInfo.php?workbook=18_15.xlsx&amp;sheet=U0&amp;row=3553&amp;col=6&amp;number=3.9&amp;sourceID=14","3.9")</f>
        <v>3.9</v>
      </c>
      <c r="G3553" s="4" t="str">
        <f>HYPERLINK("http://141.218.60.56/~jnz1568/getInfo.php?workbook=18_15.xlsx&amp;sheet=U0&amp;row=3553&amp;col=7&amp;number=0.185&amp;sourceID=14","0.185")</f>
        <v>0.185</v>
      </c>
    </row>
    <row r="3554" spans="1:7">
      <c r="A3554" s="3"/>
      <c r="B3554" s="3"/>
      <c r="C3554" s="3"/>
      <c r="D3554" s="3"/>
      <c r="E3554" s="3">
        <v>11</v>
      </c>
      <c r="F3554" s="4" t="str">
        <f>HYPERLINK("http://141.218.60.56/~jnz1568/getInfo.php?workbook=18_15.xlsx&amp;sheet=U0&amp;row=3554&amp;col=6&amp;number=4&amp;sourceID=14","4")</f>
        <v>4</v>
      </c>
      <c r="G3554" s="4" t="str">
        <f>HYPERLINK("http://141.218.60.56/~jnz1568/getInfo.php?workbook=18_15.xlsx&amp;sheet=U0&amp;row=3554&amp;col=7&amp;number=0.182&amp;sourceID=14","0.182")</f>
        <v>0.182</v>
      </c>
    </row>
    <row r="3555" spans="1:7">
      <c r="A3555" s="3"/>
      <c r="B3555" s="3"/>
      <c r="C3555" s="3"/>
      <c r="D3555" s="3"/>
      <c r="E3555" s="3">
        <v>12</v>
      </c>
      <c r="F3555" s="4" t="str">
        <f>HYPERLINK("http://141.218.60.56/~jnz1568/getInfo.php?workbook=18_15.xlsx&amp;sheet=U0&amp;row=3555&amp;col=6&amp;number=4.1&amp;sourceID=14","4.1")</f>
        <v>4.1</v>
      </c>
      <c r="G3555" s="4" t="str">
        <f>HYPERLINK("http://141.218.60.56/~jnz1568/getInfo.php?workbook=18_15.xlsx&amp;sheet=U0&amp;row=3555&amp;col=7&amp;number=0.181&amp;sourceID=14","0.181")</f>
        <v>0.181</v>
      </c>
    </row>
    <row r="3556" spans="1:7">
      <c r="A3556" s="3"/>
      <c r="B3556" s="3"/>
      <c r="C3556" s="3"/>
      <c r="D3556" s="3"/>
      <c r="E3556" s="3">
        <v>13</v>
      </c>
      <c r="F3556" s="4" t="str">
        <f>HYPERLINK("http://141.218.60.56/~jnz1568/getInfo.php?workbook=18_15.xlsx&amp;sheet=U0&amp;row=3556&amp;col=6&amp;number=4.2&amp;sourceID=14","4.2")</f>
        <v>4.2</v>
      </c>
      <c r="G3556" s="4" t="str">
        <f>HYPERLINK("http://141.218.60.56/~jnz1568/getInfo.php?workbook=18_15.xlsx&amp;sheet=U0&amp;row=3556&amp;col=7&amp;number=0.182&amp;sourceID=14","0.182")</f>
        <v>0.182</v>
      </c>
    </row>
    <row r="3557" spans="1:7">
      <c r="A3557" s="3"/>
      <c r="B3557" s="3"/>
      <c r="C3557" s="3"/>
      <c r="D3557" s="3"/>
      <c r="E3557" s="3">
        <v>14</v>
      </c>
      <c r="F3557" s="4" t="str">
        <f>HYPERLINK("http://141.218.60.56/~jnz1568/getInfo.php?workbook=18_15.xlsx&amp;sheet=U0&amp;row=3557&amp;col=6&amp;number=4.3&amp;sourceID=14","4.3")</f>
        <v>4.3</v>
      </c>
      <c r="G3557" s="4" t="str">
        <f>HYPERLINK("http://141.218.60.56/~jnz1568/getInfo.php?workbook=18_15.xlsx&amp;sheet=U0&amp;row=3557&amp;col=7&amp;number=0.183&amp;sourceID=14","0.183")</f>
        <v>0.183</v>
      </c>
    </row>
    <row r="3558" spans="1:7">
      <c r="A3558" s="3"/>
      <c r="B3558" s="3"/>
      <c r="C3558" s="3"/>
      <c r="D3558" s="3"/>
      <c r="E3558" s="3">
        <v>15</v>
      </c>
      <c r="F3558" s="4" t="str">
        <f>HYPERLINK("http://141.218.60.56/~jnz1568/getInfo.php?workbook=18_15.xlsx&amp;sheet=U0&amp;row=3558&amp;col=6&amp;number=4.4&amp;sourceID=14","4.4")</f>
        <v>4.4</v>
      </c>
      <c r="G3558" s="4" t="str">
        <f>HYPERLINK("http://141.218.60.56/~jnz1568/getInfo.php?workbook=18_15.xlsx&amp;sheet=U0&amp;row=3558&amp;col=7&amp;number=0.183&amp;sourceID=14","0.183")</f>
        <v>0.183</v>
      </c>
    </row>
    <row r="3559" spans="1:7">
      <c r="A3559" s="3"/>
      <c r="B3559" s="3"/>
      <c r="C3559" s="3"/>
      <c r="D3559" s="3"/>
      <c r="E3559" s="3">
        <v>16</v>
      </c>
      <c r="F3559" s="4" t="str">
        <f>HYPERLINK("http://141.218.60.56/~jnz1568/getInfo.php?workbook=18_15.xlsx&amp;sheet=U0&amp;row=3559&amp;col=6&amp;number=4.5&amp;sourceID=14","4.5")</f>
        <v>4.5</v>
      </c>
      <c r="G3559" s="4" t="str">
        <f>HYPERLINK("http://141.218.60.56/~jnz1568/getInfo.php?workbook=18_15.xlsx&amp;sheet=U0&amp;row=3559&amp;col=7&amp;number=0.181&amp;sourceID=14","0.181")</f>
        <v>0.181</v>
      </c>
    </row>
    <row r="3560" spans="1:7">
      <c r="A3560" s="3"/>
      <c r="B3560" s="3"/>
      <c r="C3560" s="3"/>
      <c r="D3560" s="3"/>
      <c r="E3560" s="3">
        <v>17</v>
      </c>
      <c r="F3560" s="4" t="str">
        <f>HYPERLINK("http://141.218.60.56/~jnz1568/getInfo.php?workbook=18_15.xlsx&amp;sheet=U0&amp;row=3560&amp;col=6&amp;number=4.6&amp;sourceID=14","4.6")</f>
        <v>4.6</v>
      </c>
      <c r="G3560" s="4" t="str">
        <f>HYPERLINK("http://141.218.60.56/~jnz1568/getInfo.php?workbook=18_15.xlsx&amp;sheet=U0&amp;row=3560&amp;col=7&amp;number=0.18&amp;sourceID=14","0.18")</f>
        <v>0.18</v>
      </c>
    </row>
    <row r="3561" spans="1:7">
      <c r="A3561" s="3"/>
      <c r="B3561" s="3"/>
      <c r="C3561" s="3"/>
      <c r="D3561" s="3"/>
      <c r="E3561" s="3">
        <v>18</v>
      </c>
      <c r="F3561" s="4" t="str">
        <f>HYPERLINK("http://141.218.60.56/~jnz1568/getInfo.php?workbook=18_15.xlsx&amp;sheet=U0&amp;row=3561&amp;col=6&amp;number=4.7&amp;sourceID=14","4.7")</f>
        <v>4.7</v>
      </c>
      <c r="G3561" s="4" t="str">
        <f>HYPERLINK("http://141.218.60.56/~jnz1568/getInfo.php?workbook=18_15.xlsx&amp;sheet=U0&amp;row=3561&amp;col=7&amp;number=0.179&amp;sourceID=14","0.179")</f>
        <v>0.179</v>
      </c>
    </row>
    <row r="3562" spans="1:7">
      <c r="A3562" s="3"/>
      <c r="B3562" s="3"/>
      <c r="C3562" s="3"/>
      <c r="D3562" s="3"/>
      <c r="E3562" s="3">
        <v>19</v>
      </c>
      <c r="F3562" s="4" t="str">
        <f>HYPERLINK("http://141.218.60.56/~jnz1568/getInfo.php?workbook=18_15.xlsx&amp;sheet=U0&amp;row=3562&amp;col=6&amp;number=4.8&amp;sourceID=14","4.8")</f>
        <v>4.8</v>
      </c>
      <c r="G3562" s="4" t="str">
        <f>HYPERLINK("http://141.218.60.56/~jnz1568/getInfo.php?workbook=18_15.xlsx&amp;sheet=U0&amp;row=3562&amp;col=7&amp;number=0.179&amp;sourceID=14","0.179")</f>
        <v>0.179</v>
      </c>
    </row>
    <row r="3563" spans="1:7">
      <c r="A3563" s="3"/>
      <c r="B3563" s="3"/>
      <c r="C3563" s="3"/>
      <c r="D3563" s="3"/>
      <c r="E3563" s="3">
        <v>20</v>
      </c>
      <c r="F3563" s="4" t="str">
        <f>HYPERLINK("http://141.218.60.56/~jnz1568/getInfo.php?workbook=18_15.xlsx&amp;sheet=U0&amp;row=3563&amp;col=6&amp;number=4.9&amp;sourceID=14","4.9")</f>
        <v>4.9</v>
      </c>
      <c r="G3563" s="4" t="str">
        <f>HYPERLINK("http://141.218.60.56/~jnz1568/getInfo.php?workbook=18_15.xlsx&amp;sheet=U0&amp;row=3563&amp;col=7&amp;number=0.176&amp;sourceID=14","0.176")</f>
        <v>0.176</v>
      </c>
    </row>
    <row r="3564" spans="1:7">
      <c r="A3564" s="3">
        <v>18</v>
      </c>
      <c r="B3564" s="3">
        <v>15</v>
      </c>
      <c r="C3564" s="3">
        <v>25</v>
      </c>
      <c r="D3564" s="3">
        <v>28</v>
      </c>
      <c r="E3564" s="3">
        <v>1</v>
      </c>
      <c r="F3564" s="4" t="str">
        <f>HYPERLINK("http://141.218.60.56/~jnz1568/getInfo.php?workbook=18_15.xlsx&amp;sheet=U0&amp;row=3564&amp;col=6&amp;number=3&amp;sourceID=14","3")</f>
        <v>3</v>
      </c>
      <c r="G3564" s="4" t="str">
        <f>HYPERLINK("http://141.218.60.56/~jnz1568/getInfo.php?workbook=18_15.xlsx&amp;sheet=U0&amp;row=3564&amp;col=7&amp;number=0.721&amp;sourceID=14","0.721")</f>
        <v>0.721</v>
      </c>
    </row>
    <row r="3565" spans="1:7">
      <c r="A3565" s="3"/>
      <c r="B3565" s="3"/>
      <c r="C3565" s="3"/>
      <c r="D3565" s="3"/>
      <c r="E3565" s="3">
        <v>2</v>
      </c>
      <c r="F3565" s="4" t="str">
        <f>HYPERLINK("http://141.218.60.56/~jnz1568/getInfo.php?workbook=18_15.xlsx&amp;sheet=U0&amp;row=3565&amp;col=6&amp;number=3.1&amp;sourceID=14","3.1")</f>
        <v>3.1</v>
      </c>
      <c r="G3565" s="4" t="str">
        <f>HYPERLINK("http://141.218.60.56/~jnz1568/getInfo.php?workbook=18_15.xlsx&amp;sheet=U0&amp;row=3565&amp;col=7&amp;number=0.707&amp;sourceID=14","0.707")</f>
        <v>0.707</v>
      </c>
    </row>
    <row r="3566" spans="1:7">
      <c r="A3566" s="3"/>
      <c r="B3566" s="3"/>
      <c r="C3566" s="3"/>
      <c r="D3566" s="3"/>
      <c r="E3566" s="3">
        <v>3</v>
      </c>
      <c r="F3566" s="4" t="str">
        <f>HYPERLINK("http://141.218.60.56/~jnz1568/getInfo.php?workbook=18_15.xlsx&amp;sheet=U0&amp;row=3566&amp;col=6&amp;number=3.2&amp;sourceID=14","3.2")</f>
        <v>3.2</v>
      </c>
      <c r="G3566" s="4" t="str">
        <f>HYPERLINK("http://141.218.60.56/~jnz1568/getInfo.php?workbook=18_15.xlsx&amp;sheet=U0&amp;row=3566&amp;col=7&amp;number=0.69&amp;sourceID=14","0.69")</f>
        <v>0.69</v>
      </c>
    </row>
    <row r="3567" spans="1:7">
      <c r="A3567" s="3"/>
      <c r="B3567" s="3"/>
      <c r="C3567" s="3"/>
      <c r="D3567" s="3"/>
      <c r="E3567" s="3">
        <v>4</v>
      </c>
      <c r="F3567" s="4" t="str">
        <f>HYPERLINK("http://141.218.60.56/~jnz1568/getInfo.php?workbook=18_15.xlsx&amp;sheet=U0&amp;row=3567&amp;col=6&amp;number=3.3&amp;sourceID=14","3.3")</f>
        <v>3.3</v>
      </c>
      <c r="G3567" s="4" t="str">
        <f>HYPERLINK("http://141.218.60.56/~jnz1568/getInfo.php?workbook=18_15.xlsx&amp;sheet=U0&amp;row=3567&amp;col=7&amp;number=0.67&amp;sourceID=14","0.67")</f>
        <v>0.67</v>
      </c>
    </row>
    <row r="3568" spans="1:7">
      <c r="A3568" s="3"/>
      <c r="B3568" s="3"/>
      <c r="C3568" s="3"/>
      <c r="D3568" s="3"/>
      <c r="E3568" s="3">
        <v>5</v>
      </c>
      <c r="F3568" s="4" t="str">
        <f>HYPERLINK("http://141.218.60.56/~jnz1568/getInfo.php?workbook=18_15.xlsx&amp;sheet=U0&amp;row=3568&amp;col=6&amp;number=3.4&amp;sourceID=14","3.4")</f>
        <v>3.4</v>
      </c>
      <c r="G3568" s="4" t="str">
        <f>HYPERLINK("http://141.218.60.56/~jnz1568/getInfo.php?workbook=18_15.xlsx&amp;sheet=U0&amp;row=3568&amp;col=7&amp;number=0.646&amp;sourceID=14","0.646")</f>
        <v>0.646</v>
      </c>
    </row>
    <row r="3569" spans="1:7">
      <c r="A3569" s="3"/>
      <c r="B3569" s="3"/>
      <c r="C3569" s="3"/>
      <c r="D3569" s="3"/>
      <c r="E3569" s="3">
        <v>6</v>
      </c>
      <c r="F3569" s="4" t="str">
        <f>HYPERLINK("http://141.218.60.56/~jnz1568/getInfo.php?workbook=18_15.xlsx&amp;sheet=U0&amp;row=3569&amp;col=6&amp;number=3.5&amp;sourceID=14","3.5")</f>
        <v>3.5</v>
      </c>
      <c r="G3569" s="4" t="str">
        <f>HYPERLINK("http://141.218.60.56/~jnz1568/getInfo.php?workbook=18_15.xlsx&amp;sheet=U0&amp;row=3569&amp;col=7&amp;number=0.62&amp;sourceID=14","0.62")</f>
        <v>0.62</v>
      </c>
    </row>
    <row r="3570" spans="1:7">
      <c r="A3570" s="3"/>
      <c r="B3570" s="3"/>
      <c r="C3570" s="3"/>
      <c r="D3570" s="3"/>
      <c r="E3570" s="3">
        <v>7</v>
      </c>
      <c r="F3570" s="4" t="str">
        <f>HYPERLINK("http://141.218.60.56/~jnz1568/getInfo.php?workbook=18_15.xlsx&amp;sheet=U0&amp;row=3570&amp;col=6&amp;number=3.6&amp;sourceID=14","3.6")</f>
        <v>3.6</v>
      </c>
      <c r="G3570" s="4" t="str">
        <f>HYPERLINK("http://141.218.60.56/~jnz1568/getInfo.php?workbook=18_15.xlsx&amp;sheet=U0&amp;row=3570&amp;col=7&amp;number=0.591&amp;sourceID=14","0.591")</f>
        <v>0.591</v>
      </c>
    </row>
    <row r="3571" spans="1:7">
      <c r="A3571" s="3"/>
      <c r="B3571" s="3"/>
      <c r="C3571" s="3"/>
      <c r="D3571" s="3"/>
      <c r="E3571" s="3">
        <v>8</v>
      </c>
      <c r="F3571" s="4" t="str">
        <f>HYPERLINK("http://141.218.60.56/~jnz1568/getInfo.php?workbook=18_15.xlsx&amp;sheet=U0&amp;row=3571&amp;col=6&amp;number=3.7&amp;sourceID=14","3.7")</f>
        <v>3.7</v>
      </c>
      <c r="G3571" s="4" t="str">
        <f>HYPERLINK("http://141.218.60.56/~jnz1568/getInfo.php?workbook=18_15.xlsx&amp;sheet=U0&amp;row=3571&amp;col=7&amp;number=0.562&amp;sourceID=14","0.562")</f>
        <v>0.562</v>
      </c>
    </row>
    <row r="3572" spans="1:7">
      <c r="A3572" s="3"/>
      <c r="B3572" s="3"/>
      <c r="C3572" s="3"/>
      <c r="D3572" s="3"/>
      <c r="E3572" s="3">
        <v>9</v>
      </c>
      <c r="F3572" s="4" t="str">
        <f>HYPERLINK("http://141.218.60.56/~jnz1568/getInfo.php?workbook=18_15.xlsx&amp;sheet=U0&amp;row=3572&amp;col=6&amp;number=3.8&amp;sourceID=14","3.8")</f>
        <v>3.8</v>
      </c>
      <c r="G3572" s="4" t="str">
        <f>HYPERLINK("http://141.218.60.56/~jnz1568/getInfo.php?workbook=18_15.xlsx&amp;sheet=U0&amp;row=3572&amp;col=7&amp;number=0.539&amp;sourceID=14","0.539")</f>
        <v>0.539</v>
      </c>
    </row>
    <row r="3573" spans="1:7">
      <c r="A3573" s="3"/>
      <c r="B3573" s="3"/>
      <c r="C3573" s="3"/>
      <c r="D3573" s="3"/>
      <c r="E3573" s="3">
        <v>10</v>
      </c>
      <c r="F3573" s="4" t="str">
        <f>HYPERLINK("http://141.218.60.56/~jnz1568/getInfo.php?workbook=18_15.xlsx&amp;sheet=U0&amp;row=3573&amp;col=6&amp;number=3.9&amp;sourceID=14","3.9")</f>
        <v>3.9</v>
      </c>
      <c r="G3573" s="4" t="str">
        <f>HYPERLINK("http://141.218.60.56/~jnz1568/getInfo.php?workbook=18_15.xlsx&amp;sheet=U0&amp;row=3573&amp;col=7&amp;number=0.524&amp;sourceID=14","0.524")</f>
        <v>0.524</v>
      </c>
    </row>
    <row r="3574" spans="1:7">
      <c r="A3574" s="3"/>
      <c r="B3574" s="3"/>
      <c r="C3574" s="3"/>
      <c r="D3574" s="3"/>
      <c r="E3574" s="3">
        <v>11</v>
      </c>
      <c r="F3574" s="4" t="str">
        <f>HYPERLINK("http://141.218.60.56/~jnz1568/getInfo.php?workbook=18_15.xlsx&amp;sheet=U0&amp;row=3574&amp;col=6&amp;number=4&amp;sourceID=14","4")</f>
        <v>4</v>
      </c>
      <c r="G3574" s="4" t="str">
        <f>HYPERLINK("http://141.218.60.56/~jnz1568/getInfo.php?workbook=18_15.xlsx&amp;sheet=U0&amp;row=3574&amp;col=7&amp;number=0.515&amp;sourceID=14","0.515")</f>
        <v>0.515</v>
      </c>
    </row>
    <row r="3575" spans="1:7">
      <c r="A3575" s="3"/>
      <c r="B3575" s="3"/>
      <c r="C3575" s="3"/>
      <c r="D3575" s="3"/>
      <c r="E3575" s="3">
        <v>12</v>
      </c>
      <c r="F3575" s="4" t="str">
        <f>HYPERLINK("http://141.218.60.56/~jnz1568/getInfo.php?workbook=18_15.xlsx&amp;sheet=U0&amp;row=3575&amp;col=6&amp;number=4.1&amp;sourceID=14","4.1")</f>
        <v>4.1</v>
      </c>
      <c r="G3575" s="4" t="str">
        <f>HYPERLINK("http://141.218.60.56/~jnz1568/getInfo.php?workbook=18_15.xlsx&amp;sheet=U0&amp;row=3575&amp;col=7&amp;number=0.51&amp;sourceID=14","0.51")</f>
        <v>0.51</v>
      </c>
    </row>
    <row r="3576" spans="1:7">
      <c r="A3576" s="3"/>
      <c r="B3576" s="3"/>
      <c r="C3576" s="3"/>
      <c r="D3576" s="3"/>
      <c r="E3576" s="3">
        <v>13</v>
      </c>
      <c r="F3576" s="4" t="str">
        <f>HYPERLINK("http://141.218.60.56/~jnz1568/getInfo.php?workbook=18_15.xlsx&amp;sheet=U0&amp;row=3576&amp;col=6&amp;number=4.2&amp;sourceID=14","4.2")</f>
        <v>4.2</v>
      </c>
      <c r="G3576" s="4" t="str">
        <f>HYPERLINK("http://141.218.60.56/~jnz1568/getInfo.php?workbook=18_15.xlsx&amp;sheet=U0&amp;row=3576&amp;col=7&amp;number=0.503&amp;sourceID=14","0.503")</f>
        <v>0.503</v>
      </c>
    </row>
    <row r="3577" spans="1:7">
      <c r="A3577" s="3"/>
      <c r="B3577" s="3"/>
      <c r="C3577" s="3"/>
      <c r="D3577" s="3"/>
      <c r="E3577" s="3">
        <v>14</v>
      </c>
      <c r="F3577" s="4" t="str">
        <f>HYPERLINK("http://141.218.60.56/~jnz1568/getInfo.php?workbook=18_15.xlsx&amp;sheet=U0&amp;row=3577&amp;col=6&amp;number=4.3&amp;sourceID=14","4.3")</f>
        <v>4.3</v>
      </c>
      <c r="G3577" s="4" t="str">
        <f>HYPERLINK("http://141.218.60.56/~jnz1568/getInfo.php?workbook=18_15.xlsx&amp;sheet=U0&amp;row=3577&amp;col=7&amp;number=0.494&amp;sourceID=14","0.494")</f>
        <v>0.494</v>
      </c>
    </row>
    <row r="3578" spans="1:7">
      <c r="A3578" s="3"/>
      <c r="B3578" s="3"/>
      <c r="C3578" s="3"/>
      <c r="D3578" s="3"/>
      <c r="E3578" s="3">
        <v>15</v>
      </c>
      <c r="F3578" s="4" t="str">
        <f>HYPERLINK("http://141.218.60.56/~jnz1568/getInfo.php?workbook=18_15.xlsx&amp;sheet=U0&amp;row=3578&amp;col=6&amp;number=4.4&amp;sourceID=14","4.4")</f>
        <v>4.4</v>
      </c>
      <c r="G3578" s="4" t="str">
        <f>HYPERLINK("http://141.218.60.56/~jnz1568/getInfo.php?workbook=18_15.xlsx&amp;sheet=U0&amp;row=3578&amp;col=7&amp;number=0.48&amp;sourceID=14","0.48")</f>
        <v>0.48</v>
      </c>
    </row>
    <row r="3579" spans="1:7">
      <c r="A3579" s="3"/>
      <c r="B3579" s="3"/>
      <c r="C3579" s="3"/>
      <c r="D3579" s="3"/>
      <c r="E3579" s="3">
        <v>16</v>
      </c>
      <c r="F3579" s="4" t="str">
        <f>HYPERLINK("http://141.218.60.56/~jnz1568/getInfo.php?workbook=18_15.xlsx&amp;sheet=U0&amp;row=3579&amp;col=6&amp;number=4.5&amp;sourceID=14","4.5")</f>
        <v>4.5</v>
      </c>
      <c r="G3579" s="4" t="str">
        <f>HYPERLINK("http://141.218.60.56/~jnz1568/getInfo.php?workbook=18_15.xlsx&amp;sheet=U0&amp;row=3579&amp;col=7&amp;number=0.463&amp;sourceID=14","0.463")</f>
        <v>0.463</v>
      </c>
    </row>
    <row r="3580" spans="1:7">
      <c r="A3580" s="3"/>
      <c r="B3580" s="3"/>
      <c r="C3580" s="3"/>
      <c r="D3580" s="3"/>
      <c r="E3580" s="3">
        <v>17</v>
      </c>
      <c r="F3580" s="4" t="str">
        <f>HYPERLINK("http://141.218.60.56/~jnz1568/getInfo.php?workbook=18_15.xlsx&amp;sheet=U0&amp;row=3580&amp;col=6&amp;number=4.6&amp;sourceID=14","4.6")</f>
        <v>4.6</v>
      </c>
      <c r="G3580" s="4" t="str">
        <f>HYPERLINK("http://141.218.60.56/~jnz1568/getInfo.php?workbook=18_15.xlsx&amp;sheet=U0&amp;row=3580&amp;col=7&amp;number=0.443&amp;sourceID=14","0.443")</f>
        <v>0.443</v>
      </c>
    </row>
    <row r="3581" spans="1:7">
      <c r="A3581" s="3"/>
      <c r="B3581" s="3"/>
      <c r="C3581" s="3"/>
      <c r="D3581" s="3"/>
      <c r="E3581" s="3">
        <v>18</v>
      </c>
      <c r="F3581" s="4" t="str">
        <f>HYPERLINK("http://141.218.60.56/~jnz1568/getInfo.php?workbook=18_15.xlsx&amp;sheet=U0&amp;row=3581&amp;col=6&amp;number=4.7&amp;sourceID=14","4.7")</f>
        <v>4.7</v>
      </c>
      <c r="G3581" s="4" t="str">
        <f>HYPERLINK("http://141.218.60.56/~jnz1568/getInfo.php?workbook=18_15.xlsx&amp;sheet=U0&amp;row=3581&amp;col=7&amp;number=0.42&amp;sourceID=14","0.42")</f>
        <v>0.42</v>
      </c>
    </row>
    <row r="3582" spans="1:7">
      <c r="A3582" s="3"/>
      <c r="B3582" s="3"/>
      <c r="C3582" s="3"/>
      <c r="D3582" s="3"/>
      <c r="E3582" s="3">
        <v>19</v>
      </c>
      <c r="F3582" s="4" t="str">
        <f>HYPERLINK("http://141.218.60.56/~jnz1568/getInfo.php?workbook=18_15.xlsx&amp;sheet=U0&amp;row=3582&amp;col=6&amp;number=4.8&amp;sourceID=14","4.8")</f>
        <v>4.8</v>
      </c>
      <c r="G3582" s="4" t="str">
        <f>HYPERLINK("http://141.218.60.56/~jnz1568/getInfo.php?workbook=18_15.xlsx&amp;sheet=U0&amp;row=3582&amp;col=7&amp;number=0.393&amp;sourceID=14","0.393")</f>
        <v>0.393</v>
      </c>
    </row>
    <row r="3583" spans="1:7">
      <c r="A3583" s="3"/>
      <c r="B3583" s="3"/>
      <c r="C3583" s="3"/>
      <c r="D3583" s="3"/>
      <c r="E3583" s="3">
        <v>20</v>
      </c>
      <c r="F3583" s="4" t="str">
        <f>HYPERLINK("http://141.218.60.56/~jnz1568/getInfo.php?workbook=18_15.xlsx&amp;sheet=U0&amp;row=3583&amp;col=6&amp;number=4.9&amp;sourceID=14","4.9")</f>
        <v>4.9</v>
      </c>
      <c r="G3583" s="4" t="str">
        <f>HYPERLINK("http://141.218.60.56/~jnz1568/getInfo.php?workbook=18_15.xlsx&amp;sheet=U0&amp;row=3583&amp;col=7&amp;number=0.365&amp;sourceID=14","0.365")</f>
        <v>0.365</v>
      </c>
    </row>
    <row r="3584" spans="1:7">
      <c r="A3584" s="3">
        <v>18</v>
      </c>
      <c r="B3584" s="3">
        <v>15</v>
      </c>
      <c r="C3584" s="3">
        <v>25</v>
      </c>
      <c r="D3584" s="3">
        <v>29</v>
      </c>
      <c r="E3584" s="3">
        <v>1</v>
      </c>
      <c r="F3584" s="4" t="str">
        <f>HYPERLINK("http://141.218.60.56/~jnz1568/getInfo.php?workbook=18_15.xlsx&amp;sheet=U0&amp;row=3584&amp;col=6&amp;number=3&amp;sourceID=14","3")</f>
        <v>3</v>
      </c>
      <c r="G3584" s="4" t="str">
        <f>HYPERLINK("http://141.218.60.56/~jnz1568/getInfo.php?workbook=18_15.xlsx&amp;sheet=U0&amp;row=3584&amp;col=7&amp;number=1.47&amp;sourceID=14","1.47")</f>
        <v>1.47</v>
      </c>
    </row>
    <row r="3585" spans="1:7">
      <c r="A3585" s="3"/>
      <c r="B3585" s="3"/>
      <c r="C3585" s="3"/>
      <c r="D3585" s="3"/>
      <c r="E3585" s="3">
        <v>2</v>
      </c>
      <c r="F3585" s="4" t="str">
        <f>HYPERLINK("http://141.218.60.56/~jnz1568/getInfo.php?workbook=18_15.xlsx&amp;sheet=U0&amp;row=3585&amp;col=6&amp;number=3.1&amp;sourceID=14","3.1")</f>
        <v>3.1</v>
      </c>
      <c r="G3585" s="4" t="str">
        <f>HYPERLINK("http://141.218.60.56/~jnz1568/getInfo.php?workbook=18_15.xlsx&amp;sheet=U0&amp;row=3585&amp;col=7&amp;number=1.43&amp;sourceID=14","1.43")</f>
        <v>1.43</v>
      </c>
    </row>
    <row r="3586" spans="1:7">
      <c r="A3586" s="3"/>
      <c r="B3586" s="3"/>
      <c r="C3586" s="3"/>
      <c r="D3586" s="3"/>
      <c r="E3586" s="3">
        <v>3</v>
      </c>
      <c r="F3586" s="4" t="str">
        <f>HYPERLINK("http://141.218.60.56/~jnz1568/getInfo.php?workbook=18_15.xlsx&amp;sheet=U0&amp;row=3586&amp;col=6&amp;number=3.2&amp;sourceID=14","3.2")</f>
        <v>3.2</v>
      </c>
      <c r="G3586" s="4" t="str">
        <f>HYPERLINK("http://141.218.60.56/~jnz1568/getInfo.php?workbook=18_15.xlsx&amp;sheet=U0&amp;row=3586&amp;col=7&amp;number=1.39&amp;sourceID=14","1.39")</f>
        <v>1.39</v>
      </c>
    </row>
    <row r="3587" spans="1:7">
      <c r="A3587" s="3"/>
      <c r="B3587" s="3"/>
      <c r="C3587" s="3"/>
      <c r="D3587" s="3"/>
      <c r="E3587" s="3">
        <v>4</v>
      </c>
      <c r="F3587" s="4" t="str">
        <f>HYPERLINK("http://141.218.60.56/~jnz1568/getInfo.php?workbook=18_15.xlsx&amp;sheet=U0&amp;row=3587&amp;col=6&amp;number=3.3&amp;sourceID=14","3.3")</f>
        <v>3.3</v>
      </c>
      <c r="G3587" s="4" t="str">
        <f>HYPERLINK("http://141.218.60.56/~jnz1568/getInfo.php?workbook=18_15.xlsx&amp;sheet=U0&amp;row=3587&amp;col=7&amp;number=1.35&amp;sourceID=14","1.35")</f>
        <v>1.35</v>
      </c>
    </row>
    <row r="3588" spans="1:7">
      <c r="A3588" s="3"/>
      <c r="B3588" s="3"/>
      <c r="C3588" s="3"/>
      <c r="D3588" s="3"/>
      <c r="E3588" s="3">
        <v>5</v>
      </c>
      <c r="F3588" s="4" t="str">
        <f>HYPERLINK("http://141.218.60.56/~jnz1568/getInfo.php?workbook=18_15.xlsx&amp;sheet=U0&amp;row=3588&amp;col=6&amp;number=3.4&amp;sourceID=14","3.4")</f>
        <v>3.4</v>
      </c>
      <c r="G3588" s="4" t="str">
        <f>HYPERLINK("http://141.218.60.56/~jnz1568/getInfo.php?workbook=18_15.xlsx&amp;sheet=U0&amp;row=3588&amp;col=7&amp;number=1.29&amp;sourceID=14","1.29")</f>
        <v>1.29</v>
      </c>
    </row>
    <row r="3589" spans="1:7">
      <c r="A3589" s="3"/>
      <c r="B3589" s="3"/>
      <c r="C3589" s="3"/>
      <c r="D3589" s="3"/>
      <c r="E3589" s="3">
        <v>6</v>
      </c>
      <c r="F3589" s="4" t="str">
        <f>HYPERLINK("http://141.218.60.56/~jnz1568/getInfo.php?workbook=18_15.xlsx&amp;sheet=U0&amp;row=3589&amp;col=6&amp;number=3.5&amp;sourceID=14","3.5")</f>
        <v>3.5</v>
      </c>
      <c r="G3589" s="4" t="str">
        <f>HYPERLINK("http://141.218.60.56/~jnz1568/getInfo.php?workbook=18_15.xlsx&amp;sheet=U0&amp;row=3589&amp;col=7&amp;number=1.22&amp;sourceID=14","1.22")</f>
        <v>1.22</v>
      </c>
    </row>
    <row r="3590" spans="1:7">
      <c r="A3590" s="3"/>
      <c r="B3590" s="3"/>
      <c r="C3590" s="3"/>
      <c r="D3590" s="3"/>
      <c r="E3590" s="3">
        <v>7</v>
      </c>
      <c r="F3590" s="4" t="str">
        <f>HYPERLINK("http://141.218.60.56/~jnz1568/getInfo.php?workbook=18_15.xlsx&amp;sheet=U0&amp;row=3590&amp;col=6&amp;number=3.6&amp;sourceID=14","3.6")</f>
        <v>3.6</v>
      </c>
      <c r="G3590" s="4" t="str">
        <f>HYPERLINK("http://141.218.60.56/~jnz1568/getInfo.php?workbook=18_15.xlsx&amp;sheet=U0&amp;row=3590&amp;col=7&amp;number=1.14&amp;sourceID=14","1.14")</f>
        <v>1.14</v>
      </c>
    </row>
    <row r="3591" spans="1:7">
      <c r="A3591" s="3"/>
      <c r="B3591" s="3"/>
      <c r="C3591" s="3"/>
      <c r="D3591" s="3"/>
      <c r="E3591" s="3">
        <v>8</v>
      </c>
      <c r="F3591" s="4" t="str">
        <f>HYPERLINK("http://141.218.60.56/~jnz1568/getInfo.php?workbook=18_15.xlsx&amp;sheet=U0&amp;row=3591&amp;col=6&amp;number=3.7&amp;sourceID=14","3.7")</f>
        <v>3.7</v>
      </c>
      <c r="G3591" s="4" t="str">
        <f>HYPERLINK("http://141.218.60.56/~jnz1568/getInfo.php?workbook=18_15.xlsx&amp;sheet=U0&amp;row=3591&amp;col=7&amp;number=1.05&amp;sourceID=14","1.05")</f>
        <v>1.05</v>
      </c>
    </row>
    <row r="3592" spans="1:7">
      <c r="A3592" s="3"/>
      <c r="B3592" s="3"/>
      <c r="C3592" s="3"/>
      <c r="D3592" s="3"/>
      <c r="E3592" s="3">
        <v>9</v>
      </c>
      <c r="F3592" s="4" t="str">
        <f>HYPERLINK("http://141.218.60.56/~jnz1568/getInfo.php?workbook=18_15.xlsx&amp;sheet=U0&amp;row=3592&amp;col=6&amp;number=3.8&amp;sourceID=14","3.8")</f>
        <v>3.8</v>
      </c>
      <c r="G3592" s="4" t="str">
        <f>HYPERLINK("http://141.218.60.56/~jnz1568/getInfo.php?workbook=18_15.xlsx&amp;sheet=U0&amp;row=3592&amp;col=7&amp;number=0.963&amp;sourceID=14","0.963")</f>
        <v>0.963</v>
      </c>
    </row>
    <row r="3593" spans="1:7">
      <c r="A3593" s="3"/>
      <c r="B3593" s="3"/>
      <c r="C3593" s="3"/>
      <c r="D3593" s="3"/>
      <c r="E3593" s="3">
        <v>10</v>
      </c>
      <c r="F3593" s="4" t="str">
        <f>HYPERLINK("http://141.218.60.56/~jnz1568/getInfo.php?workbook=18_15.xlsx&amp;sheet=U0&amp;row=3593&amp;col=6&amp;number=3.9&amp;sourceID=14","3.9")</f>
        <v>3.9</v>
      </c>
      <c r="G3593" s="4" t="str">
        <f>HYPERLINK("http://141.218.60.56/~jnz1568/getInfo.php?workbook=18_15.xlsx&amp;sheet=U0&amp;row=3593&amp;col=7&amp;number=0.878&amp;sourceID=14","0.878")</f>
        <v>0.878</v>
      </c>
    </row>
    <row r="3594" spans="1:7">
      <c r="A3594" s="3"/>
      <c r="B3594" s="3"/>
      <c r="C3594" s="3"/>
      <c r="D3594" s="3"/>
      <c r="E3594" s="3">
        <v>11</v>
      </c>
      <c r="F3594" s="4" t="str">
        <f>HYPERLINK("http://141.218.60.56/~jnz1568/getInfo.php?workbook=18_15.xlsx&amp;sheet=U0&amp;row=3594&amp;col=6&amp;number=4&amp;sourceID=14","4")</f>
        <v>4</v>
      </c>
      <c r="G3594" s="4" t="str">
        <f>HYPERLINK("http://141.218.60.56/~jnz1568/getInfo.php?workbook=18_15.xlsx&amp;sheet=U0&amp;row=3594&amp;col=7&amp;number=0.808&amp;sourceID=14","0.808")</f>
        <v>0.808</v>
      </c>
    </row>
    <row r="3595" spans="1:7">
      <c r="A3595" s="3"/>
      <c r="B3595" s="3"/>
      <c r="C3595" s="3"/>
      <c r="D3595" s="3"/>
      <c r="E3595" s="3">
        <v>12</v>
      </c>
      <c r="F3595" s="4" t="str">
        <f>HYPERLINK("http://141.218.60.56/~jnz1568/getInfo.php?workbook=18_15.xlsx&amp;sheet=U0&amp;row=3595&amp;col=6&amp;number=4.1&amp;sourceID=14","4.1")</f>
        <v>4.1</v>
      </c>
      <c r="G3595" s="4" t="str">
        <f>HYPERLINK("http://141.218.60.56/~jnz1568/getInfo.php?workbook=18_15.xlsx&amp;sheet=U0&amp;row=3595&amp;col=7&amp;number=0.755&amp;sourceID=14","0.755")</f>
        <v>0.755</v>
      </c>
    </row>
    <row r="3596" spans="1:7">
      <c r="A3596" s="3"/>
      <c r="B3596" s="3"/>
      <c r="C3596" s="3"/>
      <c r="D3596" s="3"/>
      <c r="E3596" s="3">
        <v>13</v>
      </c>
      <c r="F3596" s="4" t="str">
        <f>HYPERLINK("http://141.218.60.56/~jnz1568/getInfo.php?workbook=18_15.xlsx&amp;sheet=U0&amp;row=3596&amp;col=6&amp;number=4.2&amp;sourceID=14","4.2")</f>
        <v>4.2</v>
      </c>
      <c r="G3596" s="4" t="str">
        <f>HYPERLINK("http://141.218.60.56/~jnz1568/getInfo.php?workbook=18_15.xlsx&amp;sheet=U0&amp;row=3596&amp;col=7&amp;number=0.714&amp;sourceID=14","0.714")</f>
        <v>0.714</v>
      </c>
    </row>
    <row r="3597" spans="1:7">
      <c r="A3597" s="3"/>
      <c r="B3597" s="3"/>
      <c r="C3597" s="3"/>
      <c r="D3597" s="3"/>
      <c r="E3597" s="3">
        <v>14</v>
      </c>
      <c r="F3597" s="4" t="str">
        <f>HYPERLINK("http://141.218.60.56/~jnz1568/getInfo.php?workbook=18_15.xlsx&amp;sheet=U0&amp;row=3597&amp;col=6&amp;number=4.3&amp;sourceID=14","4.3")</f>
        <v>4.3</v>
      </c>
      <c r="G3597" s="4" t="str">
        <f>HYPERLINK("http://141.218.60.56/~jnz1568/getInfo.php?workbook=18_15.xlsx&amp;sheet=U0&amp;row=3597&amp;col=7&amp;number=0.677&amp;sourceID=14","0.677")</f>
        <v>0.677</v>
      </c>
    </row>
    <row r="3598" spans="1:7">
      <c r="A3598" s="3"/>
      <c r="B3598" s="3"/>
      <c r="C3598" s="3"/>
      <c r="D3598" s="3"/>
      <c r="E3598" s="3">
        <v>15</v>
      </c>
      <c r="F3598" s="4" t="str">
        <f>HYPERLINK("http://141.218.60.56/~jnz1568/getInfo.php?workbook=18_15.xlsx&amp;sheet=U0&amp;row=3598&amp;col=6&amp;number=4.4&amp;sourceID=14","4.4")</f>
        <v>4.4</v>
      </c>
      <c r="G3598" s="4" t="str">
        <f>HYPERLINK("http://141.218.60.56/~jnz1568/getInfo.php?workbook=18_15.xlsx&amp;sheet=U0&amp;row=3598&amp;col=7&amp;number=0.641&amp;sourceID=14","0.641")</f>
        <v>0.641</v>
      </c>
    </row>
    <row r="3599" spans="1:7">
      <c r="A3599" s="3"/>
      <c r="B3599" s="3"/>
      <c r="C3599" s="3"/>
      <c r="D3599" s="3"/>
      <c r="E3599" s="3">
        <v>16</v>
      </c>
      <c r="F3599" s="4" t="str">
        <f>HYPERLINK("http://141.218.60.56/~jnz1568/getInfo.php?workbook=18_15.xlsx&amp;sheet=U0&amp;row=3599&amp;col=6&amp;number=4.5&amp;sourceID=14","4.5")</f>
        <v>4.5</v>
      </c>
      <c r="G3599" s="4" t="str">
        <f>HYPERLINK("http://141.218.60.56/~jnz1568/getInfo.php?workbook=18_15.xlsx&amp;sheet=U0&amp;row=3599&amp;col=7&amp;number=0.604&amp;sourceID=14","0.604")</f>
        <v>0.604</v>
      </c>
    </row>
    <row r="3600" spans="1:7">
      <c r="A3600" s="3"/>
      <c r="B3600" s="3"/>
      <c r="C3600" s="3"/>
      <c r="D3600" s="3"/>
      <c r="E3600" s="3">
        <v>17</v>
      </c>
      <c r="F3600" s="4" t="str">
        <f>HYPERLINK("http://141.218.60.56/~jnz1568/getInfo.php?workbook=18_15.xlsx&amp;sheet=U0&amp;row=3600&amp;col=6&amp;number=4.6&amp;sourceID=14","4.6")</f>
        <v>4.6</v>
      </c>
      <c r="G3600" s="4" t="str">
        <f>HYPERLINK("http://141.218.60.56/~jnz1568/getInfo.php?workbook=18_15.xlsx&amp;sheet=U0&amp;row=3600&amp;col=7&amp;number=0.569&amp;sourceID=14","0.569")</f>
        <v>0.569</v>
      </c>
    </row>
    <row r="3601" spans="1:7">
      <c r="A3601" s="3"/>
      <c r="B3601" s="3"/>
      <c r="C3601" s="3"/>
      <c r="D3601" s="3"/>
      <c r="E3601" s="3">
        <v>18</v>
      </c>
      <c r="F3601" s="4" t="str">
        <f>HYPERLINK("http://141.218.60.56/~jnz1568/getInfo.php?workbook=18_15.xlsx&amp;sheet=U0&amp;row=3601&amp;col=6&amp;number=4.7&amp;sourceID=14","4.7")</f>
        <v>4.7</v>
      </c>
      <c r="G3601" s="4" t="str">
        <f>HYPERLINK("http://141.218.60.56/~jnz1568/getInfo.php?workbook=18_15.xlsx&amp;sheet=U0&amp;row=3601&amp;col=7&amp;number=0.539&amp;sourceID=14","0.539")</f>
        <v>0.539</v>
      </c>
    </row>
    <row r="3602" spans="1:7">
      <c r="A3602" s="3"/>
      <c r="B3602" s="3"/>
      <c r="C3602" s="3"/>
      <c r="D3602" s="3"/>
      <c r="E3602" s="3">
        <v>19</v>
      </c>
      <c r="F3602" s="4" t="str">
        <f>HYPERLINK("http://141.218.60.56/~jnz1568/getInfo.php?workbook=18_15.xlsx&amp;sheet=U0&amp;row=3602&amp;col=6&amp;number=4.8&amp;sourceID=14","4.8")</f>
        <v>4.8</v>
      </c>
      <c r="G3602" s="4" t="str">
        <f>HYPERLINK("http://141.218.60.56/~jnz1568/getInfo.php?workbook=18_15.xlsx&amp;sheet=U0&amp;row=3602&amp;col=7&amp;number=0.514&amp;sourceID=14","0.514")</f>
        <v>0.514</v>
      </c>
    </row>
    <row r="3603" spans="1:7">
      <c r="A3603" s="3"/>
      <c r="B3603" s="3"/>
      <c r="C3603" s="3"/>
      <c r="D3603" s="3"/>
      <c r="E3603" s="3">
        <v>20</v>
      </c>
      <c r="F3603" s="4" t="str">
        <f>HYPERLINK("http://141.218.60.56/~jnz1568/getInfo.php?workbook=18_15.xlsx&amp;sheet=U0&amp;row=3603&amp;col=6&amp;number=4.9&amp;sourceID=14","4.9")</f>
        <v>4.9</v>
      </c>
      <c r="G3603" s="4" t="str">
        <f>HYPERLINK("http://141.218.60.56/~jnz1568/getInfo.php?workbook=18_15.xlsx&amp;sheet=U0&amp;row=3603&amp;col=7&amp;number=0.487&amp;sourceID=14","0.487")</f>
        <v>0.487</v>
      </c>
    </row>
    <row r="3604" spans="1:7">
      <c r="A3604" s="3">
        <v>18</v>
      </c>
      <c r="B3604" s="3">
        <v>15</v>
      </c>
      <c r="C3604" s="3">
        <v>25</v>
      </c>
      <c r="D3604" s="3">
        <v>30</v>
      </c>
      <c r="E3604" s="3">
        <v>1</v>
      </c>
      <c r="F3604" s="4" t="str">
        <f>HYPERLINK("http://141.218.60.56/~jnz1568/getInfo.php?workbook=18_15.xlsx&amp;sheet=U0&amp;row=3604&amp;col=6&amp;number=3&amp;sourceID=14","3")</f>
        <v>3</v>
      </c>
      <c r="G3604" s="4" t="str">
        <f>HYPERLINK("http://141.218.60.56/~jnz1568/getInfo.php?workbook=18_15.xlsx&amp;sheet=U0&amp;row=3604&amp;col=7&amp;number=5.12&amp;sourceID=14","5.12")</f>
        <v>5.12</v>
      </c>
    </row>
    <row r="3605" spans="1:7">
      <c r="A3605" s="3"/>
      <c r="B3605" s="3"/>
      <c r="C3605" s="3"/>
      <c r="D3605" s="3"/>
      <c r="E3605" s="3">
        <v>2</v>
      </c>
      <c r="F3605" s="4" t="str">
        <f>HYPERLINK("http://141.218.60.56/~jnz1568/getInfo.php?workbook=18_15.xlsx&amp;sheet=U0&amp;row=3605&amp;col=6&amp;number=3.1&amp;sourceID=14","3.1")</f>
        <v>3.1</v>
      </c>
      <c r="G3605" s="4" t="str">
        <f>HYPERLINK("http://141.218.60.56/~jnz1568/getInfo.php?workbook=18_15.xlsx&amp;sheet=U0&amp;row=3605&amp;col=7&amp;number=4.98&amp;sourceID=14","4.98")</f>
        <v>4.98</v>
      </c>
    </row>
    <row r="3606" spans="1:7">
      <c r="A3606" s="3"/>
      <c r="B3606" s="3"/>
      <c r="C3606" s="3"/>
      <c r="D3606" s="3"/>
      <c r="E3606" s="3">
        <v>3</v>
      </c>
      <c r="F3606" s="4" t="str">
        <f>HYPERLINK("http://141.218.60.56/~jnz1568/getInfo.php?workbook=18_15.xlsx&amp;sheet=U0&amp;row=3606&amp;col=6&amp;number=3.2&amp;sourceID=14","3.2")</f>
        <v>3.2</v>
      </c>
      <c r="G3606" s="4" t="str">
        <f>HYPERLINK("http://141.218.60.56/~jnz1568/getInfo.php?workbook=18_15.xlsx&amp;sheet=U0&amp;row=3606&amp;col=7&amp;number=4.82&amp;sourceID=14","4.82")</f>
        <v>4.82</v>
      </c>
    </row>
    <row r="3607" spans="1:7">
      <c r="A3607" s="3"/>
      <c r="B3607" s="3"/>
      <c r="C3607" s="3"/>
      <c r="D3607" s="3"/>
      <c r="E3607" s="3">
        <v>4</v>
      </c>
      <c r="F3607" s="4" t="str">
        <f>HYPERLINK("http://141.218.60.56/~jnz1568/getInfo.php?workbook=18_15.xlsx&amp;sheet=U0&amp;row=3607&amp;col=6&amp;number=3.3&amp;sourceID=14","3.3")</f>
        <v>3.3</v>
      </c>
      <c r="G3607" s="4" t="str">
        <f>HYPERLINK("http://141.218.60.56/~jnz1568/getInfo.php?workbook=18_15.xlsx&amp;sheet=U0&amp;row=3607&amp;col=7&amp;number=4.62&amp;sourceID=14","4.62")</f>
        <v>4.62</v>
      </c>
    </row>
    <row r="3608" spans="1:7">
      <c r="A3608" s="3"/>
      <c r="B3608" s="3"/>
      <c r="C3608" s="3"/>
      <c r="D3608" s="3"/>
      <c r="E3608" s="3">
        <v>5</v>
      </c>
      <c r="F3608" s="4" t="str">
        <f>HYPERLINK("http://141.218.60.56/~jnz1568/getInfo.php?workbook=18_15.xlsx&amp;sheet=U0&amp;row=3608&amp;col=6&amp;number=3.4&amp;sourceID=14","3.4")</f>
        <v>3.4</v>
      </c>
      <c r="G3608" s="4" t="str">
        <f>HYPERLINK("http://141.218.60.56/~jnz1568/getInfo.php?workbook=18_15.xlsx&amp;sheet=U0&amp;row=3608&amp;col=7&amp;number=4.37&amp;sourceID=14","4.37")</f>
        <v>4.37</v>
      </c>
    </row>
    <row r="3609" spans="1:7">
      <c r="A3609" s="3"/>
      <c r="B3609" s="3"/>
      <c r="C3609" s="3"/>
      <c r="D3609" s="3"/>
      <c r="E3609" s="3">
        <v>6</v>
      </c>
      <c r="F3609" s="4" t="str">
        <f>HYPERLINK("http://141.218.60.56/~jnz1568/getInfo.php?workbook=18_15.xlsx&amp;sheet=U0&amp;row=3609&amp;col=6&amp;number=3.5&amp;sourceID=14","3.5")</f>
        <v>3.5</v>
      </c>
      <c r="G3609" s="4" t="str">
        <f>HYPERLINK("http://141.218.60.56/~jnz1568/getInfo.php?workbook=18_15.xlsx&amp;sheet=U0&amp;row=3609&amp;col=7&amp;number=4.08&amp;sourceID=14","4.08")</f>
        <v>4.08</v>
      </c>
    </row>
    <row r="3610" spans="1:7">
      <c r="A3610" s="3"/>
      <c r="B3610" s="3"/>
      <c r="C3610" s="3"/>
      <c r="D3610" s="3"/>
      <c r="E3610" s="3">
        <v>7</v>
      </c>
      <c r="F3610" s="4" t="str">
        <f>HYPERLINK("http://141.218.60.56/~jnz1568/getInfo.php?workbook=18_15.xlsx&amp;sheet=U0&amp;row=3610&amp;col=6&amp;number=3.6&amp;sourceID=14","3.6")</f>
        <v>3.6</v>
      </c>
      <c r="G3610" s="4" t="str">
        <f>HYPERLINK("http://141.218.60.56/~jnz1568/getInfo.php?workbook=18_15.xlsx&amp;sheet=U0&amp;row=3610&amp;col=7&amp;number=3.75&amp;sourceID=14","3.75")</f>
        <v>3.75</v>
      </c>
    </row>
    <row r="3611" spans="1:7">
      <c r="A3611" s="3"/>
      <c r="B3611" s="3"/>
      <c r="C3611" s="3"/>
      <c r="D3611" s="3"/>
      <c r="E3611" s="3">
        <v>8</v>
      </c>
      <c r="F3611" s="4" t="str">
        <f>HYPERLINK("http://141.218.60.56/~jnz1568/getInfo.php?workbook=18_15.xlsx&amp;sheet=U0&amp;row=3611&amp;col=6&amp;number=3.7&amp;sourceID=14","3.7")</f>
        <v>3.7</v>
      </c>
      <c r="G3611" s="4" t="str">
        <f>HYPERLINK("http://141.218.60.56/~jnz1568/getInfo.php?workbook=18_15.xlsx&amp;sheet=U0&amp;row=3611&amp;col=7&amp;number=3.38&amp;sourceID=14","3.38")</f>
        <v>3.38</v>
      </c>
    </row>
    <row r="3612" spans="1:7">
      <c r="A3612" s="3"/>
      <c r="B3612" s="3"/>
      <c r="C3612" s="3"/>
      <c r="D3612" s="3"/>
      <c r="E3612" s="3">
        <v>9</v>
      </c>
      <c r="F3612" s="4" t="str">
        <f>HYPERLINK("http://141.218.60.56/~jnz1568/getInfo.php?workbook=18_15.xlsx&amp;sheet=U0&amp;row=3612&amp;col=6&amp;number=3.8&amp;sourceID=14","3.8")</f>
        <v>3.8</v>
      </c>
      <c r="G3612" s="4" t="str">
        <f>HYPERLINK("http://141.218.60.56/~jnz1568/getInfo.php?workbook=18_15.xlsx&amp;sheet=U0&amp;row=3612&amp;col=7&amp;number=2.99&amp;sourceID=14","2.99")</f>
        <v>2.99</v>
      </c>
    </row>
    <row r="3613" spans="1:7">
      <c r="A3613" s="3"/>
      <c r="B3613" s="3"/>
      <c r="C3613" s="3"/>
      <c r="D3613" s="3"/>
      <c r="E3613" s="3">
        <v>10</v>
      </c>
      <c r="F3613" s="4" t="str">
        <f>HYPERLINK("http://141.218.60.56/~jnz1568/getInfo.php?workbook=18_15.xlsx&amp;sheet=U0&amp;row=3613&amp;col=6&amp;number=3.9&amp;sourceID=14","3.9")</f>
        <v>3.9</v>
      </c>
      <c r="G3613" s="4" t="str">
        <f>HYPERLINK("http://141.218.60.56/~jnz1568/getInfo.php?workbook=18_15.xlsx&amp;sheet=U0&amp;row=3613&amp;col=7&amp;number=2.62&amp;sourceID=14","2.62")</f>
        <v>2.62</v>
      </c>
    </row>
    <row r="3614" spans="1:7">
      <c r="A3614" s="3"/>
      <c r="B3614" s="3"/>
      <c r="C3614" s="3"/>
      <c r="D3614" s="3"/>
      <c r="E3614" s="3">
        <v>11</v>
      </c>
      <c r="F3614" s="4" t="str">
        <f>HYPERLINK("http://141.218.60.56/~jnz1568/getInfo.php?workbook=18_15.xlsx&amp;sheet=U0&amp;row=3614&amp;col=6&amp;number=4&amp;sourceID=14","4")</f>
        <v>4</v>
      </c>
      <c r="G3614" s="4" t="str">
        <f>HYPERLINK("http://141.218.60.56/~jnz1568/getInfo.php?workbook=18_15.xlsx&amp;sheet=U0&amp;row=3614&amp;col=7&amp;number=2.32&amp;sourceID=14","2.32")</f>
        <v>2.32</v>
      </c>
    </row>
    <row r="3615" spans="1:7">
      <c r="A3615" s="3"/>
      <c r="B3615" s="3"/>
      <c r="C3615" s="3"/>
      <c r="D3615" s="3"/>
      <c r="E3615" s="3">
        <v>12</v>
      </c>
      <c r="F3615" s="4" t="str">
        <f>HYPERLINK("http://141.218.60.56/~jnz1568/getInfo.php?workbook=18_15.xlsx&amp;sheet=U0&amp;row=3615&amp;col=6&amp;number=4.1&amp;sourceID=14","4.1")</f>
        <v>4.1</v>
      </c>
      <c r="G3615" s="4" t="str">
        <f>HYPERLINK("http://141.218.60.56/~jnz1568/getInfo.php?workbook=18_15.xlsx&amp;sheet=U0&amp;row=3615&amp;col=7&amp;number=2.09&amp;sourceID=14","2.09")</f>
        <v>2.09</v>
      </c>
    </row>
    <row r="3616" spans="1:7">
      <c r="A3616" s="3"/>
      <c r="B3616" s="3"/>
      <c r="C3616" s="3"/>
      <c r="D3616" s="3"/>
      <c r="E3616" s="3">
        <v>13</v>
      </c>
      <c r="F3616" s="4" t="str">
        <f>HYPERLINK("http://141.218.60.56/~jnz1568/getInfo.php?workbook=18_15.xlsx&amp;sheet=U0&amp;row=3616&amp;col=6&amp;number=4.2&amp;sourceID=14","4.2")</f>
        <v>4.2</v>
      </c>
      <c r="G3616" s="4" t="str">
        <f>HYPERLINK("http://141.218.60.56/~jnz1568/getInfo.php?workbook=18_15.xlsx&amp;sheet=U0&amp;row=3616&amp;col=7&amp;number=1.92&amp;sourceID=14","1.92")</f>
        <v>1.92</v>
      </c>
    </row>
    <row r="3617" spans="1:7">
      <c r="A3617" s="3"/>
      <c r="B3617" s="3"/>
      <c r="C3617" s="3"/>
      <c r="D3617" s="3"/>
      <c r="E3617" s="3">
        <v>14</v>
      </c>
      <c r="F3617" s="4" t="str">
        <f>HYPERLINK("http://141.218.60.56/~jnz1568/getInfo.php?workbook=18_15.xlsx&amp;sheet=U0&amp;row=3617&amp;col=6&amp;number=4.3&amp;sourceID=14","4.3")</f>
        <v>4.3</v>
      </c>
      <c r="G3617" s="4" t="str">
        <f>HYPERLINK("http://141.218.60.56/~jnz1568/getInfo.php?workbook=18_15.xlsx&amp;sheet=U0&amp;row=3617&amp;col=7&amp;number=1.78&amp;sourceID=14","1.78")</f>
        <v>1.78</v>
      </c>
    </row>
    <row r="3618" spans="1:7">
      <c r="A3618" s="3"/>
      <c r="B3618" s="3"/>
      <c r="C3618" s="3"/>
      <c r="D3618" s="3"/>
      <c r="E3618" s="3">
        <v>15</v>
      </c>
      <c r="F3618" s="4" t="str">
        <f>HYPERLINK("http://141.218.60.56/~jnz1568/getInfo.php?workbook=18_15.xlsx&amp;sheet=U0&amp;row=3618&amp;col=6&amp;number=4.4&amp;sourceID=14","4.4")</f>
        <v>4.4</v>
      </c>
      <c r="G3618" s="4" t="str">
        <f>HYPERLINK("http://141.218.60.56/~jnz1568/getInfo.php?workbook=18_15.xlsx&amp;sheet=U0&amp;row=3618&amp;col=7&amp;number=1.66&amp;sourceID=14","1.66")</f>
        <v>1.66</v>
      </c>
    </row>
    <row r="3619" spans="1:7">
      <c r="A3619" s="3"/>
      <c r="B3619" s="3"/>
      <c r="C3619" s="3"/>
      <c r="D3619" s="3"/>
      <c r="E3619" s="3">
        <v>16</v>
      </c>
      <c r="F3619" s="4" t="str">
        <f>HYPERLINK("http://141.218.60.56/~jnz1568/getInfo.php?workbook=18_15.xlsx&amp;sheet=U0&amp;row=3619&amp;col=6&amp;number=4.5&amp;sourceID=14","4.5")</f>
        <v>4.5</v>
      </c>
      <c r="G3619" s="4" t="str">
        <f>HYPERLINK("http://141.218.60.56/~jnz1568/getInfo.php?workbook=18_15.xlsx&amp;sheet=U0&amp;row=3619&amp;col=7&amp;number=1.56&amp;sourceID=14","1.56")</f>
        <v>1.56</v>
      </c>
    </row>
    <row r="3620" spans="1:7">
      <c r="A3620" s="3"/>
      <c r="B3620" s="3"/>
      <c r="C3620" s="3"/>
      <c r="D3620" s="3"/>
      <c r="E3620" s="3">
        <v>17</v>
      </c>
      <c r="F3620" s="4" t="str">
        <f>HYPERLINK("http://141.218.60.56/~jnz1568/getInfo.php?workbook=18_15.xlsx&amp;sheet=U0&amp;row=3620&amp;col=6&amp;number=4.6&amp;sourceID=14","4.6")</f>
        <v>4.6</v>
      </c>
      <c r="G3620" s="4" t="str">
        <f>HYPERLINK("http://141.218.60.56/~jnz1568/getInfo.php?workbook=18_15.xlsx&amp;sheet=U0&amp;row=3620&amp;col=7&amp;number=1.46&amp;sourceID=14","1.46")</f>
        <v>1.46</v>
      </c>
    </row>
    <row r="3621" spans="1:7">
      <c r="A3621" s="3"/>
      <c r="B3621" s="3"/>
      <c r="C3621" s="3"/>
      <c r="D3621" s="3"/>
      <c r="E3621" s="3">
        <v>18</v>
      </c>
      <c r="F3621" s="4" t="str">
        <f>HYPERLINK("http://141.218.60.56/~jnz1568/getInfo.php?workbook=18_15.xlsx&amp;sheet=U0&amp;row=3621&amp;col=6&amp;number=4.7&amp;sourceID=14","4.7")</f>
        <v>4.7</v>
      </c>
      <c r="G3621" s="4" t="str">
        <f>HYPERLINK("http://141.218.60.56/~jnz1568/getInfo.php?workbook=18_15.xlsx&amp;sheet=U0&amp;row=3621&amp;col=7&amp;number=1.39&amp;sourceID=14","1.39")</f>
        <v>1.39</v>
      </c>
    </row>
    <row r="3622" spans="1:7">
      <c r="A3622" s="3"/>
      <c r="B3622" s="3"/>
      <c r="C3622" s="3"/>
      <c r="D3622" s="3"/>
      <c r="E3622" s="3">
        <v>19</v>
      </c>
      <c r="F3622" s="4" t="str">
        <f>HYPERLINK("http://141.218.60.56/~jnz1568/getInfo.php?workbook=18_15.xlsx&amp;sheet=U0&amp;row=3622&amp;col=6&amp;number=4.8&amp;sourceID=14","4.8")</f>
        <v>4.8</v>
      </c>
      <c r="G3622" s="4" t="str">
        <f>HYPERLINK("http://141.218.60.56/~jnz1568/getInfo.php?workbook=18_15.xlsx&amp;sheet=U0&amp;row=3622&amp;col=7&amp;number=1.33&amp;sourceID=14","1.33")</f>
        <v>1.33</v>
      </c>
    </row>
    <row r="3623" spans="1:7">
      <c r="A3623" s="3"/>
      <c r="B3623" s="3"/>
      <c r="C3623" s="3"/>
      <c r="D3623" s="3"/>
      <c r="E3623" s="3">
        <v>20</v>
      </c>
      <c r="F3623" s="4" t="str">
        <f>HYPERLINK("http://141.218.60.56/~jnz1568/getInfo.php?workbook=18_15.xlsx&amp;sheet=U0&amp;row=3623&amp;col=6&amp;number=4.9&amp;sourceID=14","4.9")</f>
        <v>4.9</v>
      </c>
      <c r="G3623" s="4" t="str">
        <f>HYPERLINK("http://141.218.60.56/~jnz1568/getInfo.php?workbook=18_15.xlsx&amp;sheet=U0&amp;row=3623&amp;col=7&amp;number=1.27&amp;sourceID=14","1.27")</f>
        <v>1.27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2015-04-20T14:50:40Z</dcterms:created>
  <dcterms:modified xsi:type="dcterms:W3CDTF">2015-04-20T14:50:40Z</dcterms:modified>
</cp:coreProperties>
</file>